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drawings/drawing8.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D:\Los documentos\Gob regional\Puente Ccanchi\Valorizaciones\Del inspector\9. Dic-2022\"/>
    </mc:Choice>
  </mc:AlternateContent>
  <bookViews>
    <workbookView xWindow="-108" yWindow="-108" windowWidth="23256" windowHeight="12576" tabRatio="920" firstSheet="10" activeTab="27"/>
  </bookViews>
  <sheets>
    <sheet name="CARAT_" sheetId="3" r:id="rId1"/>
    <sheet name="cronogramaSUP" sheetId="104" r:id="rId2"/>
    <sheet name="MODIF" sheetId="103" r:id="rId3"/>
    <sheet name="FIANZAS" sheetId="102" r:id="rId4"/>
    <sheet name="RIESGOS" sheetId="101" r:id="rId5"/>
    <sheet name="INTERFERENCIAS" sheetId="100" r:id="rId6"/>
    <sheet name="consultas" sheetId="99" r:id="rId7"/>
    <sheet name="FICHA" sheetId="98" r:id="rId8"/>
    <sheet name="Hoja1" sheetId="1" r:id="rId9"/>
    <sheet name="CALEND_" sheetId="4" r:id="rId10"/>
    <sheet name="CURVA S" sheetId="44" r:id="rId11"/>
    <sheet name="MT_VAL" sheetId="9" r:id="rId12"/>
    <sheet name="VAL_RES." sheetId="41" r:id="rId13"/>
    <sheet name="PUENTE CCANCHI" sheetId="48" r:id="rId14"/>
    <sheet name="6. INST. MEC Y COM." sheetId="81" state="hidden" r:id="rId15"/>
    <sheet name="7. EQUIP E IMPLE. " sheetId="82" state="hidden" r:id="rId16"/>
    <sheet name="8. CAPACITACIÓN" sheetId="83" state="hidden" r:id="rId17"/>
    <sheet name="9. CONTINGENCIA" sheetId="84" state="hidden" r:id="rId18"/>
    <sheet name="COE_REAJ_OB. PUENTE" sheetId="71" r:id="rId19"/>
    <sheet name="COE_REAJ_MECA-COMU." sheetId="85" state="hidden" r:id="rId20"/>
    <sheet name="REINT_REAJ_" sheetId="19" r:id="rId21"/>
    <sheet name="REINT_REAJ_ (2)" sheetId="96" r:id="rId22"/>
    <sheet name="D_MAT" sheetId="78" r:id="rId23"/>
    <sheet name="D_DIRECTO" sheetId="95" r:id="rId24"/>
    <sheet name="AM_DIRECTO" sheetId="74" r:id="rId25"/>
    <sheet name="Hoja2" sheetId="105" r:id="rId26"/>
    <sheet name="AM_MAT_" sheetId="93" r:id="rId27"/>
    <sheet name="RESUM_VAL_" sheetId="5" r:id="rId28"/>
    <sheet name="R-ITEM I" sheetId="87" r:id="rId29"/>
  </sheets>
  <externalReferences>
    <externalReference r:id="rId30"/>
    <externalReference r:id="rId31"/>
    <externalReference r:id="rId32"/>
  </externalReferences>
  <definedNames>
    <definedName name="_xlnm._FilterDatabase" localSheetId="14" hidden="1">'6. INST. MEC Y COM.'!$A$14:$O$22</definedName>
    <definedName name="_xlnm._FilterDatabase" localSheetId="15" hidden="1">'7. EQUIP E IMPLE. '!$A$14:$O$268</definedName>
    <definedName name="_xlnm._FilterDatabase" localSheetId="16" hidden="1">'8. CAPACITACIÓN'!$A$14:$O$17</definedName>
    <definedName name="_xlnm._FilterDatabase" localSheetId="17" hidden="1">'9. CONTINGENCIA'!$A$14:$O$203</definedName>
    <definedName name="_xlnm._FilterDatabase" localSheetId="10" hidden="1">'CURVA S'!$D$29:$J$29</definedName>
    <definedName name="_xlnm._FilterDatabase" localSheetId="13" hidden="1">'PUENTE CCANCHI'!$A$14:$O$14</definedName>
    <definedName name="_Hlk19203565" localSheetId="5">INTERFERENCIAS!$C$15</definedName>
    <definedName name="ADDFD" localSheetId="14">#REF!</definedName>
    <definedName name="ADDFD" localSheetId="15">#REF!</definedName>
    <definedName name="ADDFD" localSheetId="16">#REF!</definedName>
    <definedName name="ADDFD" localSheetId="17">#REF!</definedName>
    <definedName name="ADDFD" localSheetId="19">'COE_REAJ_MECA-COMU.'!#REF!</definedName>
    <definedName name="ADDFD" localSheetId="21">#REF!</definedName>
    <definedName name="ADDFD" localSheetId="28">#REF!</definedName>
    <definedName name="ADDFD">#REF!</definedName>
    <definedName name="_xlnm.Print_Area" localSheetId="14">'6. INST. MEC Y COM.'!$A$1:$O$31</definedName>
    <definedName name="_xlnm.Print_Area" localSheetId="15">'7. EQUIP E IMPLE. '!$A$1:$O$269</definedName>
    <definedName name="_xlnm.Print_Area" localSheetId="16">'8. CAPACITACIÓN'!$A$1:$O$19</definedName>
    <definedName name="_xlnm.Print_Area" localSheetId="17">'9. CONTINGENCIA'!$A$1:$O$212</definedName>
    <definedName name="_xlnm.Print_Area" localSheetId="24">AM_DIRECTO!$A$1:$H$34</definedName>
    <definedName name="_xlnm.Print_Area" localSheetId="26">AM_MAT_!$A$60:$L$143</definedName>
    <definedName name="_xlnm.Print_Area" localSheetId="9">CALEND_!$A$2:$AA$40</definedName>
    <definedName name="_xlnm.Print_Area" localSheetId="0">CARAT_!$A$2:$J$55</definedName>
    <definedName name="_xlnm.Print_Area" localSheetId="19">'COE_REAJ_MECA-COMU.'!$A$1:$AT$32</definedName>
    <definedName name="_xlnm.Print_Area" localSheetId="18">'COE_REAJ_OB. PUENTE'!$A$2:$AF$56</definedName>
    <definedName name="_xlnm.Print_Area" localSheetId="10">'CURVA S'!$U$3:$AH$88</definedName>
    <definedName name="_xlnm.Print_Area" localSheetId="23">D_DIRECTO!$A$1:$I$38</definedName>
    <definedName name="_xlnm.Print_Area" localSheetId="22">D_MAT!$A$1:$M$92</definedName>
    <definedName name="_xlnm.Print_Area" localSheetId="8">Hoja1!$A$1:$E$56</definedName>
    <definedName name="_xlnm.Print_Area" localSheetId="11">MT_VAL!$A$3:$K$48</definedName>
    <definedName name="_xlnm.Print_Area" localSheetId="13">'PUENTE CCANCHI'!$A$1:$P$131</definedName>
    <definedName name="_xlnm.Print_Area" localSheetId="20">REINT_REAJ_!$A$1:$K$36</definedName>
    <definedName name="_xlnm.Print_Area" localSheetId="21">'REINT_REAJ_ (2)'!$A$1:$O$38</definedName>
    <definedName name="_xlnm.Print_Area" localSheetId="27">RESUM_VAL_!$A$1:$M$38</definedName>
    <definedName name="_xlnm.Print_Area" localSheetId="28">'R-ITEM I'!$A$1:$J$59</definedName>
    <definedName name="_xlnm.Print_Area" localSheetId="12">VAL_RES.!$A$1:$Z$89</definedName>
    <definedName name="ASSDSSD" localSheetId="14">#REF!</definedName>
    <definedName name="ASSDSSD" localSheetId="15">#REF!</definedName>
    <definedName name="ASSDSSD" localSheetId="16">#REF!</definedName>
    <definedName name="ASSDSSD" localSheetId="17">#REF!</definedName>
    <definedName name="ASSDSSD" localSheetId="19">'COE_REAJ_MECA-COMU.'!#REF!</definedName>
    <definedName name="ASSDSSD" localSheetId="21">#REF!</definedName>
    <definedName name="ASSDSSD" localSheetId="28">#REF!</definedName>
    <definedName name="ASSDSSD">#REF!</definedName>
    <definedName name="DFDFDF" localSheetId="14">#REF!</definedName>
    <definedName name="DFDFDF" localSheetId="15">#REF!</definedName>
    <definedName name="DFDFDF" localSheetId="16">#REF!</definedName>
    <definedName name="DFDFDF" localSheetId="17">#REF!</definedName>
    <definedName name="DFDFDF" localSheetId="19">'COE_REAJ_MECA-COMU.'!#REF!</definedName>
    <definedName name="DFDFDF" localSheetId="21">#REF!</definedName>
    <definedName name="DFDFDF" localSheetId="28">#REF!</definedName>
    <definedName name="DFDFDF">#REF!</definedName>
    <definedName name="DFGGDF" localSheetId="14">#REF!</definedName>
    <definedName name="DFGGDF" localSheetId="15">#REF!</definedName>
    <definedName name="DFGGDF" localSheetId="16">#REF!</definedName>
    <definedName name="DFGGDF" localSheetId="17">#REF!</definedName>
    <definedName name="DFGGDF" localSheetId="19">'COE_REAJ_MECA-COMU.'!#REF!</definedName>
    <definedName name="DFGGDF" localSheetId="23">#REF!</definedName>
    <definedName name="DFGGDF" localSheetId="22">#REF!</definedName>
    <definedName name="DFGGDF" localSheetId="21">#REF!</definedName>
    <definedName name="DFGGDF" localSheetId="28">#REF!</definedName>
    <definedName name="DFGGDF">#REF!</definedName>
    <definedName name="DGFHGG" localSheetId="14">#REF!</definedName>
    <definedName name="DGFHGG" localSheetId="15">#REF!</definedName>
    <definedName name="DGFHGG" localSheetId="16">#REF!</definedName>
    <definedName name="DGFHGG" localSheetId="17">#REF!</definedName>
    <definedName name="DGFHGG" localSheetId="19">'COE_REAJ_MECA-COMU.'!#REF!</definedName>
    <definedName name="DGFHGG" localSheetId="21">#REF!</definedName>
    <definedName name="DGFHGG" localSheetId="28">#REF!</definedName>
    <definedName name="DGFHGG">#REF!</definedName>
    <definedName name="EREERRRERE" localSheetId="14">#REF!</definedName>
    <definedName name="EREERRRERE" localSheetId="15">#REF!</definedName>
    <definedName name="EREERRRERE" localSheetId="16">#REF!</definedName>
    <definedName name="EREERRRERE" localSheetId="17">#REF!</definedName>
    <definedName name="EREERRRERE" localSheetId="24">#REF!</definedName>
    <definedName name="EREERRRERE" localSheetId="19">'COE_REAJ_MECA-COMU.'!#REF!</definedName>
    <definedName name="EREERRRERE" localSheetId="18">'COE_REAJ_OB. PUENTE'!#REF!</definedName>
    <definedName name="EREERRRERE" localSheetId="23">#REF!</definedName>
    <definedName name="EREERRRERE" localSheetId="22">#REF!</definedName>
    <definedName name="EREERRRERE" localSheetId="21">#REF!</definedName>
    <definedName name="EREERRRERE" localSheetId="28">#REF!</definedName>
    <definedName name="EREERRRERE">#REF!</definedName>
    <definedName name="ERGD" localSheetId="14">#REF!</definedName>
    <definedName name="ERGD" localSheetId="15">#REF!</definedName>
    <definedName name="ERGD" localSheetId="16">#REF!</definedName>
    <definedName name="ERGD" localSheetId="17">#REF!</definedName>
    <definedName name="ERGD" localSheetId="19">'COE_REAJ_MECA-COMU.'!#REF!</definedName>
    <definedName name="ERGD" localSheetId="23">#REF!</definedName>
    <definedName name="ERGD" localSheetId="22">#REF!</definedName>
    <definedName name="ERGD" localSheetId="21">#REF!</definedName>
    <definedName name="ERGD" localSheetId="28">#REF!</definedName>
    <definedName name="ERGD">#REF!</definedName>
    <definedName name="FB" localSheetId="14">#REF!</definedName>
    <definedName name="FB" localSheetId="15">#REF!</definedName>
    <definedName name="FB" localSheetId="16">#REF!</definedName>
    <definedName name="FB" localSheetId="17">#REF!</definedName>
    <definedName name="FB" localSheetId="19">'COE_REAJ_MECA-COMU.'!#REF!</definedName>
    <definedName name="FB" localSheetId="23">#REF!</definedName>
    <definedName name="FB" localSheetId="22">#REF!</definedName>
    <definedName name="FB" localSheetId="21">#REF!</definedName>
    <definedName name="FB" localSheetId="28">#REF!</definedName>
    <definedName name="FB">#REF!</definedName>
    <definedName name="FGGSAA" localSheetId="14">#REF!</definedName>
    <definedName name="FGGSAA" localSheetId="15">#REF!</definedName>
    <definedName name="FGGSAA" localSheetId="16">#REF!</definedName>
    <definedName name="FGGSAA" localSheetId="17">#REF!</definedName>
    <definedName name="FGGSAA" localSheetId="19">'COE_REAJ_MECA-COMU.'!#REF!</definedName>
    <definedName name="FGGSAA" localSheetId="21">#REF!</definedName>
    <definedName name="FGGSAA" localSheetId="28">#REF!</definedName>
    <definedName name="FGGSAA">#REF!</definedName>
    <definedName name="GAFGFG" localSheetId="14">#REF!</definedName>
    <definedName name="GAFGFG" localSheetId="15">#REF!</definedName>
    <definedName name="GAFGFG" localSheetId="16">#REF!</definedName>
    <definedName name="GAFGFG" localSheetId="17">#REF!</definedName>
    <definedName name="GAFGFG" localSheetId="19">'COE_REAJ_MECA-COMU.'!#REF!</definedName>
    <definedName name="GAFGFG" localSheetId="21">#REF!</definedName>
    <definedName name="GAFGFG" localSheetId="28">#REF!</definedName>
    <definedName name="GAFGFG">#REF!</definedName>
    <definedName name="GHFJF" localSheetId="14">#REF!</definedName>
    <definedName name="GHFJF" localSheetId="15">#REF!</definedName>
    <definedName name="GHFJF" localSheetId="16">#REF!</definedName>
    <definedName name="GHFJF" localSheetId="17">#REF!</definedName>
    <definedName name="GHFJF" localSheetId="19">'COE_REAJ_MECA-COMU.'!#REF!</definedName>
    <definedName name="GHFJF" localSheetId="23">#REF!</definedName>
    <definedName name="GHFJF" localSheetId="22">#REF!</definedName>
    <definedName name="GHFJF" localSheetId="21">#REF!</definedName>
    <definedName name="GHFJF" localSheetId="28">#REF!</definedName>
    <definedName name="GHFJF">#REF!</definedName>
    <definedName name="HFSSDG" localSheetId="14">#REF!</definedName>
    <definedName name="HFSSDG" localSheetId="15">#REF!</definedName>
    <definedName name="HFSSDG" localSheetId="16">#REF!</definedName>
    <definedName name="HFSSDG" localSheetId="17">#REF!</definedName>
    <definedName name="HFSSDG" localSheetId="19">'COE_REAJ_MECA-COMU.'!#REF!</definedName>
    <definedName name="HFSSDG" localSheetId="23">#REF!</definedName>
    <definedName name="HFSSDG" localSheetId="22">#REF!</definedName>
    <definedName name="HFSSDG" localSheetId="21">#REF!</definedName>
    <definedName name="HFSSDG" localSheetId="28">#REF!</definedName>
    <definedName name="HFSSDG">#REF!</definedName>
    <definedName name="HHJHJ" localSheetId="14">#REF!</definedName>
    <definedName name="HHJHJ" localSheetId="15">#REF!</definedName>
    <definedName name="HHJHJ" localSheetId="16">#REF!</definedName>
    <definedName name="HHJHJ" localSheetId="17">#REF!</definedName>
    <definedName name="HHJHJ" localSheetId="19">'COE_REAJ_MECA-COMU.'!#REF!</definedName>
    <definedName name="HHJHJ" localSheetId="21">#REF!</definedName>
    <definedName name="HHJHJ" localSheetId="28">#REF!</definedName>
    <definedName name="HHJHJ">#REF!</definedName>
    <definedName name="HHNM" localSheetId="14">#REF!</definedName>
    <definedName name="HHNM" localSheetId="15">#REF!</definedName>
    <definedName name="HHNM" localSheetId="16">#REF!</definedName>
    <definedName name="HHNM" localSheetId="17">#REF!</definedName>
    <definedName name="HHNM" localSheetId="19">'COE_REAJ_MECA-COMU.'!#REF!</definedName>
    <definedName name="HHNM" localSheetId="21">#REF!</definedName>
    <definedName name="HHNM" localSheetId="28">#REF!</definedName>
    <definedName name="HHNM">#REF!</definedName>
    <definedName name="HJHH" localSheetId="14">#REF!</definedName>
    <definedName name="HJHH" localSheetId="15">#REF!</definedName>
    <definedName name="HJHH" localSheetId="16">#REF!</definedName>
    <definedName name="HJHH" localSheetId="17">#REF!</definedName>
    <definedName name="HJHH" localSheetId="19">'COE_REAJ_MECA-COMU.'!#REF!</definedName>
    <definedName name="HJHH" localSheetId="21">#REF!</definedName>
    <definedName name="HJHH" localSheetId="28">#REF!</definedName>
    <definedName name="HJHH">#REF!</definedName>
    <definedName name="HJHJH" localSheetId="14">#REF!</definedName>
    <definedName name="HJHJH" localSheetId="15">#REF!</definedName>
    <definedName name="HJHJH" localSheetId="16">#REF!</definedName>
    <definedName name="HJHJH" localSheetId="17">#REF!</definedName>
    <definedName name="HJHJH" localSheetId="19">'COE_REAJ_MECA-COMU.'!#REF!</definedName>
    <definedName name="HJHJH" localSheetId="21">#REF!</definedName>
    <definedName name="HJHJH" localSheetId="28">#REF!</definedName>
    <definedName name="HJHJH">#REF!</definedName>
    <definedName name="JFHGH" localSheetId="14">#REF!</definedName>
    <definedName name="JFHGH" localSheetId="15">#REF!</definedName>
    <definedName name="JFHGH" localSheetId="16">#REF!</definedName>
    <definedName name="JFHGH" localSheetId="17">#REF!</definedName>
    <definedName name="JFHGH" localSheetId="19">'COE_REAJ_MECA-COMU.'!#REF!</definedName>
    <definedName name="JFHGH" localSheetId="21">#REF!</definedName>
    <definedName name="JFHGH" localSheetId="28">#REF!</definedName>
    <definedName name="JFHGH">#REF!</definedName>
    <definedName name="JHGJHG" localSheetId="14">#REF!</definedName>
    <definedName name="JHGJHG" localSheetId="15">#REF!</definedName>
    <definedName name="JHGJHG" localSheetId="16">#REF!</definedName>
    <definedName name="JHGJHG" localSheetId="17">#REF!</definedName>
    <definedName name="JHGJHG" localSheetId="19">'COE_REAJ_MECA-COMU.'!#REF!</definedName>
    <definedName name="JHGJHG" localSheetId="23">#REF!</definedName>
    <definedName name="JHGJHG" localSheetId="22">#REF!</definedName>
    <definedName name="JHGJHG" localSheetId="21">#REF!</definedName>
    <definedName name="JHGJHG" localSheetId="28">#REF!</definedName>
    <definedName name="JHGJHG">#REF!</definedName>
    <definedName name="JHHGF" localSheetId="14">#REF!</definedName>
    <definedName name="JHHGF" localSheetId="15">#REF!</definedName>
    <definedName name="JHHGF" localSheetId="16">#REF!</definedName>
    <definedName name="JHHGF" localSheetId="17">#REF!</definedName>
    <definedName name="JHHGF" localSheetId="19">'COE_REAJ_MECA-COMU.'!#REF!</definedName>
    <definedName name="JHHGF" localSheetId="23">#REF!</definedName>
    <definedName name="JHHGF" localSheetId="22">#REF!</definedName>
    <definedName name="JHHGF" localSheetId="21">#REF!</definedName>
    <definedName name="JHHGF" localSheetId="28">#REF!</definedName>
    <definedName name="JHHGF">#REF!</definedName>
    <definedName name="JKJKJ" localSheetId="14">#REF!</definedName>
    <definedName name="JKJKJ" localSheetId="15">#REF!</definedName>
    <definedName name="JKJKJ" localSheetId="16">#REF!</definedName>
    <definedName name="JKJKJ" localSheetId="17">#REF!</definedName>
    <definedName name="JKJKJ" localSheetId="19">'COE_REAJ_MECA-COMU.'!#REF!</definedName>
    <definedName name="JKJKJ" localSheetId="21">#REF!</definedName>
    <definedName name="JKJKJ" localSheetId="28">#REF!</definedName>
    <definedName name="JKJKJ">#REF!</definedName>
    <definedName name="JYJYW" localSheetId="14">#REF!</definedName>
    <definedName name="JYJYW" localSheetId="15">#REF!</definedName>
    <definedName name="JYJYW" localSheetId="16">#REF!</definedName>
    <definedName name="JYJYW" localSheetId="17">#REF!</definedName>
    <definedName name="JYJYW" localSheetId="19">'COE_REAJ_MECA-COMU.'!#REF!</definedName>
    <definedName name="JYJYW" localSheetId="23">#REF!</definedName>
    <definedName name="JYJYW" localSheetId="22">#REF!</definedName>
    <definedName name="JYJYW" localSheetId="21">#REF!</definedName>
    <definedName name="JYJYW" localSheetId="28">#REF!</definedName>
    <definedName name="JYJYW">#REF!</definedName>
    <definedName name="KLKJ" localSheetId="14">#REF!</definedName>
    <definedName name="KLKJ" localSheetId="15">#REF!</definedName>
    <definedName name="KLKJ" localSheetId="16">#REF!</definedName>
    <definedName name="KLKJ" localSheetId="17">#REF!</definedName>
    <definedName name="KLKJ" localSheetId="19">'COE_REAJ_MECA-COMU.'!#REF!</definedName>
    <definedName name="KLKJ" localSheetId="23">#REF!</definedName>
    <definedName name="KLKJ" localSheetId="22">#REF!</definedName>
    <definedName name="KLKJ" localSheetId="21">#REF!</definedName>
    <definedName name="KLKJ" localSheetId="28">#REF!</definedName>
    <definedName name="KLKJ">#REF!</definedName>
    <definedName name="KUDJHF" localSheetId="14">#REF!</definedName>
    <definedName name="KUDJHF" localSheetId="15">#REF!</definedName>
    <definedName name="KUDJHF" localSheetId="16">#REF!</definedName>
    <definedName name="KUDJHF" localSheetId="17">#REF!</definedName>
    <definedName name="KUDJHF" localSheetId="19">'COE_REAJ_MECA-COMU.'!#REF!</definedName>
    <definedName name="KUDJHF" localSheetId="21">#REF!</definedName>
    <definedName name="KUDJHF" localSheetId="28">#REF!</definedName>
    <definedName name="KUDJHF">#REF!</definedName>
    <definedName name="LÑLKLK" localSheetId="14">#REF!</definedName>
    <definedName name="LÑLKLK" localSheetId="15">#REF!</definedName>
    <definedName name="LÑLKLK" localSheetId="16">#REF!</definedName>
    <definedName name="LÑLKLK" localSheetId="17">#REF!</definedName>
    <definedName name="LÑLKLK" localSheetId="19">'COE_REAJ_MECA-COMU.'!#REF!</definedName>
    <definedName name="LÑLKLK" localSheetId="23">#REF!</definedName>
    <definedName name="LÑLKLK" localSheetId="22">#REF!</definedName>
    <definedName name="LÑLKLK" localSheetId="21">#REF!</definedName>
    <definedName name="LÑLKLK" localSheetId="28">#REF!</definedName>
    <definedName name="LÑLKLK">#REF!</definedName>
    <definedName name="LUUKU" localSheetId="14">#REF!</definedName>
    <definedName name="LUUKU" localSheetId="15">#REF!</definedName>
    <definedName name="LUUKU" localSheetId="16">#REF!</definedName>
    <definedName name="LUUKU" localSheetId="17">#REF!</definedName>
    <definedName name="LUUKU" localSheetId="19">'COE_REAJ_MECA-COMU.'!#REF!</definedName>
    <definedName name="LUUKU" localSheetId="23">#REF!</definedName>
    <definedName name="LUUKU" localSheetId="22">#REF!</definedName>
    <definedName name="LUUKU" localSheetId="21">#REF!</definedName>
    <definedName name="LUUKU" localSheetId="28">#REF!</definedName>
    <definedName name="LUUKU">#REF!</definedName>
    <definedName name="MHJ" localSheetId="14">#REF!</definedName>
    <definedName name="MHJ" localSheetId="15">#REF!</definedName>
    <definedName name="MHJ" localSheetId="16">#REF!</definedName>
    <definedName name="MHJ" localSheetId="17">#REF!</definedName>
    <definedName name="MHJ" localSheetId="19">'COE_REAJ_MECA-COMU.'!#REF!</definedName>
    <definedName name="MHJ" localSheetId="23">#REF!</definedName>
    <definedName name="MHJ" localSheetId="22">#REF!</definedName>
    <definedName name="MHJ" localSheetId="21">#REF!</definedName>
    <definedName name="MHJ" localSheetId="28">#REF!</definedName>
    <definedName name="MHJ">#REF!</definedName>
    <definedName name="MNK" localSheetId="14">#REF!</definedName>
    <definedName name="MNK" localSheetId="15">#REF!</definedName>
    <definedName name="MNK" localSheetId="16">#REF!</definedName>
    <definedName name="MNK" localSheetId="17">#REF!</definedName>
    <definedName name="MNK" localSheetId="19">'COE_REAJ_MECA-COMU.'!#REF!</definedName>
    <definedName name="MNK" localSheetId="23">#REF!</definedName>
    <definedName name="MNK" localSheetId="22">#REF!</definedName>
    <definedName name="MNK" localSheetId="21">#REF!</definedName>
    <definedName name="MNK" localSheetId="28">#REF!</definedName>
    <definedName name="MNK">#REF!</definedName>
    <definedName name="NNHGG" localSheetId="14">#REF!</definedName>
    <definedName name="NNHGG" localSheetId="15">#REF!</definedName>
    <definedName name="NNHGG" localSheetId="16">#REF!</definedName>
    <definedName name="NNHGG" localSheetId="17">#REF!</definedName>
    <definedName name="NNHGG" localSheetId="19">'COE_REAJ_MECA-COMU.'!#REF!</definedName>
    <definedName name="NNHGG" localSheetId="21">#REF!</definedName>
    <definedName name="NNHGG" localSheetId="28">#REF!</definedName>
    <definedName name="NNHGG">#REF!</definedName>
    <definedName name="ÑAUPA" localSheetId="14">#REF!</definedName>
    <definedName name="ÑAUPA" localSheetId="15">#REF!</definedName>
    <definedName name="ÑAUPA" localSheetId="16">#REF!</definedName>
    <definedName name="ÑAUPA" localSheetId="17">#REF!</definedName>
    <definedName name="ÑAUPA" localSheetId="24">#REF!</definedName>
    <definedName name="ÑAUPA" localSheetId="19">'COE_REAJ_MECA-COMU.'!#REF!</definedName>
    <definedName name="ÑAUPA" localSheetId="18">'COE_REAJ_OB. PUENTE'!#REF!</definedName>
    <definedName name="ÑAUPA" localSheetId="23">#REF!</definedName>
    <definedName name="ÑAUPA" localSheetId="22">#REF!</definedName>
    <definedName name="ÑAUPA" localSheetId="21">#REF!</definedName>
    <definedName name="ÑAUPA" localSheetId="28">#REF!</definedName>
    <definedName name="ÑAUPA">#REF!</definedName>
    <definedName name="OH" localSheetId="14">#REF!</definedName>
    <definedName name="OH" localSheetId="15">#REF!</definedName>
    <definedName name="OH" localSheetId="16">#REF!</definedName>
    <definedName name="OH" localSheetId="17">#REF!</definedName>
    <definedName name="OH" localSheetId="19">'COE_REAJ_MECA-COMU.'!#REF!</definedName>
    <definedName name="OH" localSheetId="21">#REF!</definedName>
    <definedName name="OH" localSheetId="28">#REF!</definedName>
    <definedName name="OH">#REF!</definedName>
    <definedName name="OQOCHACCA" localSheetId="14">#REF!</definedName>
    <definedName name="OQOCHACCA" localSheetId="15">#REF!</definedName>
    <definedName name="OQOCHACCA" localSheetId="16">#REF!</definedName>
    <definedName name="OQOCHACCA" localSheetId="17">#REF!</definedName>
    <definedName name="OQOCHACCA" localSheetId="24">#REF!</definedName>
    <definedName name="OQOCHACCA" localSheetId="19">'COE_REAJ_MECA-COMU.'!#REF!</definedName>
    <definedName name="OQOCHACCA" localSheetId="18">'COE_REAJ_OB. PUENTE'!#REF!</definedName>
    <definedName name="OQOCHACCA" localSheetId="23">#REF!</definedName>
    <definedName name="OQOCHACCA" localSheetId="22">#REF!</definedName>
    <definedName name="OQOCHACCA" localSheetId="21">#REF!</definedName>
    <definedName name="OQOCHACCA" localSheetId="28">#REF!</definedName>
    <definedName name="OQOCHACCA">#REF!</definedName>
    <definedName name="QEDS" localSheetId="14">#REF!</definedName>
    <definedName name="QEDS" localSheetId="15">#REF!</definedName>
    <definedName name="QEDS" localSheetId="16">#REF!</definedName>
    <definedName name="QEDS" localSheetId="17">#REF!</definedName>
    <definedName name="QEDS" localSheetId="19">'COE_REAJ_MECA-COMU.'!#REF!</definedName>
    <definedName name="QEDS" localSheetId="21">#REF!</definedName>
    <definedName name="QEDS" localSheetId="28">#REF!</definedName>
    <definedName name="QEDS">#REF!</definedName>
    <definedName name="RGRE" localSheetId="14">#REF!</definedName>
    <definedName name="RGRE" localSheetId="15">#REF!</definedName>
    <definedName name="RGRE" localSheetId="16">#REF!</definedName>
    <definedName name="RGRE" localSheetId="17">#REF!</definedName>
    <definedName name="RGRE" localSheetId="19">'COE_REAJ_MECA-COMU.'!#REF!</definedName>
    <definedName name="RGRE" localSheetId="21">#REF!</definedName>
    <definedName name="RGRE" localSheetId="28">#REF!</definedName>
    <definedName name="RGRE">#REF!</definedName>
    <definedName name="ROSASPATA" localSheetId="14">#REF!</definedName>
    <definedName name="ROSASPATA" localSheetId="15">#REF!</definedName>
    <definedName name="ROSASPATA" localSheetId="16">#REF!</definedName>
    <definedName name="ROSASPATA" localSheetId="17">#REF!</definedName>
    <definedName name="ROSASPATA" localSheetId="24">#REF!</definedName>
    <definedName name="ROSASPATA" localSheetId="19">'COE_REAJ_MECA-COMU.'!#REF!</definedName>
    <definedName name="ROSASPATA" localSheetId="18">'COE_REAJ_OB. PUENTE'!#REF!</definedName>
    <definedName name="ROSASPATA" localSheetId="23">#REF!</definedName>
    <definedName name="ROSASPATA" localSheetId="22">#REF!</definedName>
    <definedName name="ROSASPATA" localSheetId="21">#REF!</definedName>
    <definedName name="ROSASPATA" localSheetId="28">#REF!</definedName>
    <definedName name="ROSASPATA">#REF!</definedName>
    <definedName name="RTTHR" localSheetId="14">#REF!</definedName>
    <definedName name="RTTHR" localSheetId="15">#REF!</definedName>
    <definedName name="RTTHR" localSheetId="16">#REF!</definedName>
    <definedName name="RTTHR" localSheetId="17">#REF!</definedName>
    <definedName name="RTTHR" localSheetId="19">'COE_REAJ_MECA-COMU.'!#REF!</definedName>
    <definedName name="RTTHR" localSheetId="23">#REF!</definedName>
    <definedName name="RTTHR" localSheetId="22">#REF!</definedName>
    <definedName name="RTTHR" localSheetId="21">#REF!</definedName>
    <definedName name="RTTHR" localSheetId="28">#REF!</definedName>
    <definedName name="RTTHR">#REF!</definedName>
    <definedName name="SDSS" localSheetId="14">#REF!</definedName>
    <definedName name="SDSS" localSheetId="15">#REF!</definedName>
    <definedName name="SDSS" localSheetId="16">#REF!</definedName>
    <definedName name="SDSS" localSheetId="17">#REF!</definedName>
    <definedName name="SDSS" localSheetId="19">'COE_REAJ_MECA-COMU.'!#REF!</definedName>
    <definedName name="SDSS" localSheetId="21">#REF!</definedName>
    <definedName name="SDSS" localSheetId="28">#REF!</definedName>
    <definedName name="SDSS">#REF!</definedName>
    <definedName name="SFDFD" localSheetId="14">#REF!</definedName>
    <definedName name="SFDFD" localSheetId="15">#REF!</definedName>
    <definedName name="SFDFD" localSheetId="16">#REF!</definedName>
    <definedName name="SFDFD" localSheetId="17">#REF!</definedName>
    <definedName name="SFDFD" localSheetId="19">'COE_REAJ_MECA-COMU.'!#REF!</definedName>
    <definedName name="SFDFD" localSheetId="23">#REF!</definedName>
    <definedName name="SFDFD" localSheetId="22">#REF!</definedName>
    <definedName name="SFDFD" localSheetId="21">#REF!</definedName>
    <definedName name="SFDFD" localSheetId="28">#REF!</definedName>
    <definedName name="SFDFD">#REF!</definedName>
    <definedName name="Sinnombre" localSheetId="14">#REF!</definedName>
    <definedName name="Sinnombre" localSheetId="15">#REF!</definedName>
    <definedName name="Sinnombre" localSheetId="16">#REF!</definedName>
    <definedName name="Sinnombre" localSheetId="17">#REF!</definedName>
    <definedName name="Sinnombre" localSheetId="24">#REF!</definedName>
    <definedName name="Sinnombre" localSheetId="19">'COE_REAJ_MECA-COMU.'!#REF!</definedName>
    <definedName name="Sinnombre" localSheetId="18">'COE_REAJ_OB. PUENTE'!#REF!</definedName>
    <definedName name="Sinnombre" localSheetId="23">#REF!</definedName>
    <definedName name="Sinnombre" localSheetId="22">#REF!</definedName>
    <definedName name="Sinnombre" localSheetId="21">#REF!</definedName>
    <definedName name="Sinnombre" localSheetId="28">#REF!</definedName>
    <definedName name="Sinnombre">#REF!</definedName>
    <definedName name="_xlnm.Print_Titles" localSheetId="14">'6. INST. MEC Y COM.'!$1:$13</definedName>
    <definedName name="_xlnm.Print_Titles" localSheetId="15">'7. EQUIP E IMPLE. '!$1:$13</definedName>
    <definedName name="_xlnm.Print_Titles" localSheetId="16">'8. CAPACITACIÓN'!$1:$13</definedName>
    <definedName name="_xlnm.Print_Titles" localSheetId="17">'9. CONTINGENCIA'!$1:$13</definedName>
    <definedName name="_xlnm.Print_Titles" localSheetId="9">CALEND_!$2:$4</definedName>
    <definedName name="_xlnm.Print_Titles" localSheetId="10">'CURVA S'!$1:$14</definedName>
    <definedName name="_xlnm.Print_Titles" localSheetId="23">D_DIRECTO!$18:$20</definedName>
    <definedName name="_xlnm.Print_Titles" localSheetId="22">D_MAT!$32:$34</definedName>
    <definedName name="_xlnm.Print_Titles" localSheetId="13">'PUENTE CCANCHI'!$1:$13</definedName>
    <definedName name="valor1" localSheetId="9">CALEND_!$2:$4</definedName>
    <definedName name="YJY" localSheetId="14">#REF!</definedName>
    <definedName name="YJY" localSheetId="15">#REF!</definedName>
    <definedName name="YJY" localSheetId="16">#REF!</definedName>
    <definedName name="YJY" localSheetId="17">#REF!</definedName>
    <definedName name="YJY" localSheetId="19">'COE_REAJ_MECA-COMU.'!#REF!</definedName>
    <definedName name="YJY" localSheetId="23">#REF!</definedName>
    <definedName name="YJY" localSheetId="22">#REF!</definedName>
    <definedName name="YJY" localSheetId="21">#REF!</definedName>
    <definedName name="YJY" localSheetId="28">#REF!</definedName>
    <definedName name="YJY">#REF!</definedName>
  </definedNames>
  <calcPr calcId="162913"/>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L37" i="5" l="1"/>
  <c r="AB34" i="4" l="1"/>
  <c r="E41" i="5" l="1"/>
  <c r="K38" i="5" l="1"/>
  <c r="I38" i="5"/>
  <c r="G38" i="5"/>
  <c r="L35" i="5"/>
  <c r="J35" i="5"/>
  <c r="H35" i="5"/>
  <c r="G35" i="5"/>
  <c r="F35" i="5"/>
  <c r="H23" i="5"/>
  <c r="G23" i="5"/>
  <c r="F23" i="5"/>
  <c r="H19" i="5"/>
  <c r="G21" i="5"/>
  <c r="G19" i="5"/>
  <c r="F19" i="5"/>
  <c r="L142" i="93"/>
  <c r="H57" i="87" l="1"/>
  <c r="H46" i="87"/>
  <c r="H55" i="87"/>
  <c r="G46" i="87"/>
  <c r="R40" i="44"/>
  <c r="R39" i="44"/>
  <c r="R38" i="44"/>
  <c r="R37" i="44"/>
  <c r="L27" i="44"/>
  <c r="L26" i="44"/>
  <c r="L24" i="44"/>
  <c r="L25" i="44"/>
  <c r="M39" i="41"/>
  <c r="U40" i="4"/>
  <c r="T40" i="4"/>
  <c r="S40" i="4"/>
  <c r="J141" i="93"/>
  <c r="I139" i="93"/>
  <c r="I138" i="93"/>
  <c r="J139" i="93"/>
  <c r="K139" i="93" s="1"/>
  <c r="L139" i="93" s="1"/>
  <c r="E139" i="93"/>
  <c r="B139" i="93"/>
  <c r="A139" i="93"/>
  <c r="E138" i="93"/>
  <c r="J138" i="93" s="1"/>
  <c r="I125" i="93"/>
  <c r="E125" i="93"/>
  <c r="J125" i="93" s="1"/>
  <c r="I124" i="93"/>
  <c r="E124" i="93"/>
  <c r="J124" i="93" s="1"/>
  <c r="I111" i="93"/>
  <c r="E111" i="93"/>
  <c r="J111" i="93" s="1"/>
  <c r="B111" i="93"/>
  <c r="B125" i="93" s="1"/>
  <c r="A111" i="93"/>
  <c r="A125" i="93" s="1"/>
  <c r="I110" i="93"/>
  <c r="E110" i="93"/>
  <c r="J110" i="93" s="1"/>
  <c r="I97" i="93"/>
  <c r="E97" i="93"/>
  <c r="J97" i="93" s="1"/>
  <c r="B97" i="93"/>
  <c r="A97" i="93"/>
  <c r="I83" i="93"/>
  <c r="I82" i="93"/>
  <c r="E83" i="93"/>
  <c r="J83" i="93" s="1"/>
  <c r="G33" i="74"/>
  <c r="G32" i="74"/>
  <c r="F23" i="74"/>
  <c r="H22" i="74"/>
  <c r="H21" i="74"/>
  <c r="H20" i="74"/>
  <c r="H19" i="74"/>
  <c r="G27" i="74"/>
  <c r="F27" i="74"/>
  <c r="C27" i="74"/>
  <c r="M89" i="78"/>
  <c r="M90" i="78" s="1"/>
  <c r="M27" i="78" l="1"/>
  <c r="L27" i="78" l="1"/>
  <c r="K29" i="78"/>
  <c r="K44" i="78"/>
  <c r="K43" i="78"/>
  <c r="K42" i="78"/>
  <c r="K41" i="78"/>
  <c r="K40" i="78"/>
  <c r="K39" i="78"/>
  <c r="K38" i="78"/>
  <c r="K37" i="78"/>
  <c r="J44" i="78"/>
  <c r="I44" i="78"/>
  <c r="L44" i="78"/>
  <c r="M44" i="78" s="1"/>
  <c r="L29" i="78"/>
  <c r="G29" i="95"/>
  <c r="I29" i="95" s="1"/>
  <c r="F29" i="95"/>
  <c r="E29" i="95"/>
  <c r="D29" i="95"/>
  <c r="C29" i="95"/>
  <c r="M35" i="96"/>
  <c r="N26" i="96"/>
  <c r="M26" i="96"/>
  <c r="K26" i="96"/>
  <c r="I26" i="96"/>
  <c r="G24" i="96"/>
  <c r="G25" i="96"/>
  <c r="G26" i="96"/>
  <c r="F26" i="96"/>
  <c r="E26" i="96"/>
  <c r="K28" i="78" l="1"/>
  <c r="C35" i="96" l="1"/>
  <c r="C33" i="96"/>
  <c r="C32" i="96"/>
  <c r="T16" i="44"/>
  <c r="S16" i="44"/>
  <c r="R16" i="44"/>
  <c r="R18" i="44"/>
  <c r="R13" i="44"/>
  <c r="Q16" i="44"/>
  <c r="P16" i="44"/>
  <c r="O16" i="44"/>
  <c r="N16" i="44"/>
  <c r="M16" i="44"/>
  <c r="L16" i="44"/>
  <c r="K16" i="44"/>
  <c r="T34" i="4"/>
  <c r="T38" i="4" s="1"/>
  <c r="T39" i="4" s="1"/>
  <c r="Z46" i="71"/>
  <c r="Z25" i="71"/>
  <c r="X25" i="71"/>
  <c r="Z22" i="71"/>
  <c r="Y47" i="71"/>
  <c r="Y23" i="71"/>
  <c r="Y53" i="71"/>
  <c r="Y54" i="71" s="1"/>
  <c r="Z52" i="71" s="1"/>
  <c r="Y50" i="71"/>
  <c r="Y51" i="71" s="1"/>
  <c r="Y48" i="71"/>
  <c r="Y44" i="71"/>
  <c r="Y45" i="71" s="1"/>
  <c r="Z43" i="71" s="1"/>
  <c r="Y41" i="71"/>
  <c r="Y42" i="71" s="1"/>
  <c r="Y38" i="71"/>
  <c r="Y39" i="71" s="1"/>
  <c r="Y35" i="71"/>
  <c r="Y36" i="71" s="1"/>
  <c r="Y32" i="71"/>
  <c r="Y33" i="71" s="1"/>
  <c r="Y29" i="71"/>
  <c r="Y30" i="71" s="1"/>
  <c r="Y26" i="71"/>
  <c r="Y27" i="71" s="1"/>
  <c r="Y24" i="71"/>
  <c r="R22" i="44" l="1"/>
  <c r="R20" i="44"/>
  <c r="T35" i="4"/>
  <c r="Z56" i="71"/>
  <c r="R24" i="44" l="1"/>
  <c r="H128" i="48" l="1"/>
  <c r="H123" i="48"/>
  <c r="G120" i="48"/>
  <c r="G118" i="48"/>
  <c r="H126" i="48"/>
  <c r="G68" i="48"/>
  <c r="G53" i="48"/>
  <c r="G44" i="48"/>
  <c r="G39" i="48"/>
  <c r="I36" i="5"/>
  <c r="K36" i="5" s="1"/>
  <c r="G36" i="5"/>
  <c r="J36" i="5"/>
  <c r="L36" i="5" s="1"/>
  <c r="M36" i="5" s="1"/>
  <c r="X43" i="71" l="1"/>
  <c r="X22" i="71"/>
  <c r="I96" i="93" l="1"/>
  <c r="E96" i="93"/>
  <c r="J96" i="93" s="1"/>
  <c r="B96" i="93"/>
  <c r="B110" i="93" s="1"/>
  <c r="B124" i="93" s="1"/>
  <c r="B138" i="93" s="1"/>
  <c r="E82" i="93"/>
  <c r="J82" i="93" s="1"/>
  <c r="J84" i="93" s="1"/>
  <c r="C81" i="93"/>
  <c r="C84" i="93" s="1"/>
  <c r="J86" i="78"/>
  <c r="L86" i="78"/>
  <c r="K86" i="78"/>
  <c r="J43" i="78"/>
  <c r="J58" i="78" s="1"/>
  <c r="J72" i="78" s="1"/>
  <c r="L72" i="78"/>
  <c r="L58" i="78"/>
  <c r="L28" i="78"/>
  <c r="F28" i="95"/>
  <c r="D28" i="95"/>
  <c r="D47" i="9"/>
  <c r="D46" i="9"/>
  <c r="F47" i="9"/>
  <c r="A47" i="9"/>
  <c r="F46" i="9"/>
  <c r="A46" i="9"/>
  <c r="F39" i="9"/>
  <c r="S39" i="44"/>
  <c r="Q39" i="44"/>
  <c r="S40" i="44"/>
  <c r="Q40" i="44"/>
  <c r="K39" i="41"/>
  <c r="M86" i="78" l="1"/>
  <c r="E32" i="96" l="1"/>
  <c r="J32" i="96" s="1"/>
  <c r="J31" i="96"/>
  <c r="E31" i="96"/>
  <c r="S18" i="44"/>
  <c r="S14" i="44"/>
  <c r="S13" i="44"/>
  <c r="Q18" i="44"/>
  <c r="C31" i="96"/>
  <c r="H31" i="96" s="1"/>
  <c r="Q14" i="44"/>
  <c r="Q13" i="44"/>
  <c r="E33" i="4"/>
  <c r="U34" i="4"/>
  <c r="U38" i="4" s="1"/>
  <c r="S34" i="4"/>
  <c r="S38" i="4" s="1"/>
  <c r="AB33" i="4"/>
  <c r="AB31" i="4"/>
  <c r="AB32" i="4"/>
  <c r="W24" i="71"/>
  <c r="W53" i="71"/>
  <c r="W54" i="71" s="1"/>
  <c r="X52" i="71" s="1"/>
  <c r="W50" i="71"/>
  <c r="W51" i="71" s="1"/>
  <c r="W47" i="71"/>
  <c r="W48" i="71" s="1"/>
  <c r="W44" i="71"/>
  <c r="W45" i="71" s="1"/>
  <c r="W41" i="71"/>
  <c r="W38" i="71"/>
  <c r="W39" i="71" s="1"/>
  <c r="W35" i="71"/>
  <c r="W36" i="71" s="1"/>
  <c r="W32" i="71"/>
  <c r="W33" i="71" s="1"/>
  <c r="W29" i="71"/>
  <c r="W26" i="71"/>
  <c r="W27" i="71" s="1"/>
  <c r="W23" i="71"/>
  <c r="W42" i="71"/>
  <c r="W30" i="71"/>
  <c r="AC33" i="4" l="1"/>
  <c r="H32" i="96"/>
  <c r="S22" i="44"/>
  <c r="S20" i="44"/>
  <c r="Q22" i="44"/>
  <c r="Q20" i="44"/>
  <c r="X46" i="71"/>
  <c r="X56" i="71" l="1"/>
  <c r="G28" i="95" l="1"/>
  <c r="G23" i="96"/>
  <c r="G27" i="48"/>
  <c r="J25" i="105" l="1"/>
  <c r="I15" i="105"/>
  <c r="I14" i="105"/>
  <c r="I13" i="105"/>
  <c r="I12" i="105"/>
  <c r="I11" i="105"/>
  <c r="I10" i="105"/>
  <c r="I9" i="105"/>
  <c r="J9" i="105" s="1"/>
  <c r="J10" i="105" s="1"/>
  <c r="J11" i="105" s="1"/>
  <c r="J12" i="105" s="1"/>
  <c r="J13" i="105" s="1"/>
  <c r="J14" i="105" s="1"/>
  <c r="J15" i="105" s="1"/>
  <c r="H25" i="105"/>
  <c r="G8" i="105"/>
  <c r="F38" i="9"/>
  <c r="I25" i="105" l="1"/>
  <c r="I137" i="93"/>
  <c r="E137" i="93"/>
  <c r="J137" i="93" s="1"/>
  <c r="I123" i="93"/>
  <c r="E123" i="93"/>
  <c r="J123" i="93" s="1"/>
  <c r="I109" i="93"/>
  <c r="E109" i="93"/>
  <c r="J109" i="93" s="1"/>
  <c r="E142" i="93"/>
  <c r="I81" i="93"/>
  <c r="E95" i="93"/>
  <c r="J95" i="93" s="1"/>
  <c r="C98" i="93"/>
  <c r="E81" i="93"/>
  <c r="J81" i="93" s="1"/>
  <c r="I95" i="93"/>
  <c r="B95" i="93"/>
  <c r="B109" i="93" s="1"/>
  <c r="B123" i="93" s="1"/>
  <c r="B137" i="93" s="1"/>
  <c r="E94" i="93" l="1"/>
  <c r="J94" i="93" s="1"/>
  <c r="J85" i="78"/>
  <c r="J84" i="78"/>
  <c r="J83" i="78"/>
  <c r="J82" i="78"/>
  <c r="J81" i="78"/>
  <c r="J80" i="78"/>
  <c r="G80" i="78"/>
  <c r="G81" i="78" s="1"/>
  <c r="G82" i="78" s="1"/>
  <c r="G83" i="78" s="1"/>
  <c r="G84" i="78" s="1"/>
  <c r="G85" i="78" s="1"/>
  <c r="G86" i="78" s="1"/>
  <c r="L85" i="78"/>
  <c r="K85" i="78"/>
  <c r="L84" i="78"/>
  <c r="M84" i="78" s="1"/>
  <c r="K84" i="78"/>
  <c r="L71" i="78"/>
  <c r="L70" i="78"/>
  <c r="L56" i="78"/>
  <c r="L55" i="78"/>
  <c r="J42" i="78"/>
  <c r="J57" i="78" s="1"/>
  <c r="J71" i="78" s="1"/>
  <c r="J41" i="78"/>
  <c r="J56" i="78" s="1"/>
  <c r="J70" i="78" s="1"/>
  <c r="J25" i="78"/>
  <c r="J40" i="78" s="1"/>
  <c r="J55" i="78" s="1"/>
  <c r="J69" i="78" s="1"/>
  <c r="J24" i="78"/>
  <c r="J39" i="78" s="1"/>
  <c r="J54" i="78" s="1"/>
  <c r="J68" i="78" s="1"/>
  <c r="J23" i="78"/>
  <c r="J38" i="78" s="1"/>
  <c r="J53" i="78" s="1"/>
  <c r="J67" i="78" s="1"/>
  <c r="J22" i="78"/>
  <c r="J37" i="78" s="1"/>
  <c r="J52" i="78" s="1"/>
  <c r="J66" i="78" s="1"/>
  <c r="I22" i="78"/>
  <c r="I23" i="78" l="1"/>
  <c r="I24" i="78" s="1"/>
  <c r="I25" i="78" s="1"/>
  <c r="I26" i="78" s="1"/>
  <c r="K22" i="78"/>
  <c r="M85" i="78"/>
  <c r="L26" i="78"/>
  <c r="M26" i="78" s="1"/>
  <c r="G27" i="95"/>
  <c r="F27" i="95"/>
  <c r="D27" i="95"/>
  <c r="C26" i="95"/>
  <c r="G22" i="96"/>
  <c r="G25" i="95" s="1"/>
  <c r="G26" i="95"/>
  <c r="V52" i="71"/>
  <c r="V46" i="71"/>
  <c r="V43" i="71"/>
  <c r="V25" i="71"/>
  <c r="V22" i="71"/>
  <c r="V56" i="71" s="1"/>
  <c r="U53" i="71"/>
  <c r="U54" i="71" s="1"/>
  <c r="U50" i="71"/>
  <c r="U51" i="71" s="1"/>
  <c r="U48" i="71"/>
  <c r="U47" i="71"/>
  <c r="U44" i="71"/>
  <c r="U45" i="71" s="1"/>
  <c r="U42" i="71"/>
  <c r="U41" i="71"/>
  <c r="U38" i="71"/>
  <c r="U39" i="71" s="1"/>
  <c r="U36" i="71"/>
  <c r="U35" i="71"/>
  <c r="U32" i="71"/>
  <c r="U33" i="71" s="1"/>
  <c r="U30" i="71"/>
  <c r="U29" i="71"/>
  <c r="U26" i="71"/>
  <c r="U27" i="71" s="1"/>
  <c r="U24" i="71"/>
  <c r="U23" i="71"/>
  <c r="C46" i="1"/>
  <c r="D30" i="1"/>
  <c r="F37" i="9"/>
  <c r="AB88" i="41"/>
  <c r="I94" i="93"/>
  <c r="I136" i="93"/>
  <c r="E136" i="93"/>
  <c r="I122" i="93"/>
  <c r="E122" i="93"/>
  <c r="I108" i="93"/>
  <c r="E108" i="93"/>
  <c r="B108" i="93"/>
  <c r="B122" i="93" s="1"/>
  <c r="B136" i="93" s="1"/>
  <c r="I80" i="93"/>
  <c r="E80" i="93"/>
  <c r="B94" i="93"/>
  <c r="C24" i="74"/>
  <c r="C23" i="74"/>
  <c r="C22" i="74"/>
  <c r="F22" i="74" s="1"/>
  <c r="F26" i="95"/>
  <c r="D26" i="95"/>
  <c r="D25" i="95"/>
  <c r="E26" i="95"/>
  <c r="C25" i="95"/>
  <c r="E25" i="95" s="1"/>
  <c r="C24" i="95"/>
  <c r="C41" i="78"/>
  <c r="L41" i="78" s="1"/>
  <c r="C40" i="78"/>
  <c r="L40" i="78" s="1"/>
  <c r="C39" i="78"/>
  <c r="L39" i="78" s="1"/>
  <c r="G21" i="96"/>
  <c r="G24" i="95" s="1"/>
  <c r="G20" i="96"/>
  <c r="G23" i="95" s="1"/>
  <c r="I27" i="78" l="1"/>
  <c r="K26" i="78"/>
  <c r="F24" i="74"/>
  <c r="G24" i="74" s="1"/>
  <c r="I26" i="95"/>
  <c r="J136" i="93"/>
  <c r="J122" i="93"/>
  <c r="J108" i="93"/>
  <c r="J80" i="93"/>
  <c r="K27" i="78" l="1"/>
  <c r="I37" i="78"/>
  <c r="I28" i="78"/>
  <c r="I29" i="78" l="1"/>
  <c r="M28" i="78"/>
  <c r="I38" i="78"/>
  <c r="I39" i="78" s="1"/>
  <c r="E23" i="19"/>
  <c r="E22" i="19"/>
  <c r="E21" i="19"/>
  <c r="M29" i="78" l="1"/>
  <c r="M39" i="78"/>
  <c r="I40" i="78"/>
  <c r="T52" i="71"/>
  <c r="T56" i="71" s="1"/>
  <c r="T46" i="71"/>
  <c r="T43" i="71"/>
  <c r="T25" i="71"/>
  <c r="T22" i="71"/>
  <c r="R22" i="71"/>
  <c r="S54" i="71"/>
  <c r="S51" i="71"/>
  <c r="S48" i="71"/>
  <c r="S45" i="71"/>
  <c r="S42" i="71"/>
  <c r="S39" i="71"/>
  <c r="S36" i="71"/>
  <c r="S33" i="71"/>
  <c r="S30" i="71"/>
  <c r="S27" i="71"/>
  <c r="S24" i="71"/>
  <c r="Q24" i="71"/>
  <c r="S41" i="71"/>
  <c r="S53" i="71"/>
  <c r="S50" i="71"/>
  <c r="S47" i="71"/>
  <c r="S44" i="71"/>
  <c r="S38" i="71"/>
  <c r="S35" i="71"/>
  <c r="S32" i="71"/>
  <c r="S29" i="71"/>
  <c r="S26" i="71"/>
  <c r="S23" i="71"/>
  <c r="Q23" i="71"/>
  <c r="M40" i="78" l="1"/>
  <c r="I41" i="78"/>
  <c r="E24" i="41"/>
  <c r="O47" i="3"/>
  <c r="M49" i="3"/>
  <c r="F26" i="87"/>
  <c r="D24" i="95"/>
  <c r="D23" i="95"/>
  <c r="I135" i="93"/>
  <c r="E135" i="93"/>
  <c r="J135" i="93" s="1"/>
  <c r="I121" i="93"/>
  <c r="E121" i="93"/>
  <c r="J121" i="93" s="1"/>
  <c r="I107" i="93"/>
  <c r="E107" i="93"/>
  <c r="B107" i="93"/>
  <c r="B121" i="93" s="1"/>
  <c r="B135" i="93" s="1"/>
  <c r="I79" i="93"/>
  <c r="I93" i="93"/>
  <c r="E93" i="93"/>
  <c r="J93" i="93" s="1"/>
  <c r="B93" i="93"/>
  <c r="E90" i="93"/>
  <c r="E79" i="93"/>
  <c r="J79" i="93" s="1"/>
  <c r="I78" i="93"/>
  <c r="L83" i="78"/>
  <c r="M83" i="78" s="1"/>
  <c r="K83" i="78"/>
  <c r="K82" i="78"/>
  <c r="K81" i="78"/>
  <c r="K80" i="78"/>
  <c r="L69" i="78"/>
  <c r="L57" i="78"/>
  <c r="K25" i="78"/>
  <c r="K24" i="78"/>
  <c r="K23" i="78"/>
  <c r="L25" i="78"/>
  <c r="M25" i="78" s="1"/>
  <c r="H34" i="95"/>
  <c r="I36" i="95" s="1"/>
  <c r="F25" i="95"/>
  <c r="K26" i="71"/>
  <c r="M26" i="71"/>
  <c r="J90" i="93" l="1"/>
  <c r="I42" i="78"/>
  <c r="M41" i="78"/>
  <c r="J107" i="93"/>
  <c r="I23" i="71"/>
  <c r="R52" i="71"/>
  <c r="R46" i="71"/>
  <c r="R43" i="71"/>
  <c r="R25" i="71"/>
  <c r="Q54" i="71"/>
  <c r="Q51" i="71"/>
  <c r="Q48" i="71"/>
  <c r="Q45" i="71"/>
  <c r="Q41" i="71"/>
  <c r="Q42" i="71" s="1"/>
  <c r="Q39" i="71"/>
  <c r="Q36" i="71"/>
  <c r="Q33" i="71"/>
  <c r="Q30" i="71"/>
  <c r="Q27" i="71"/>
  <c r="O27" i="71"/>
  <c r="O24" i="71"/>
  <c r="Q53" i="71"/>
  <c r="Q50" i="71"/>
  <c r="Q47" i="71"/>
  <c r="Q44" i="71"/>
  <c r="Q38" i="71"/>
  <c r="Q35" i="71"/>
  <c r="Q32" i="71"/>
  <c r="Q29" i="71"/>
  <c r="Q26" i="71"/>
  <c r="O23" i="71"/>
  <c r="J22" i="71"/>
  <c r="I52" i="78" l="1"/>
  <c r="I43" i="78"/>
  <c r="F32" i="87"/>
  <c r="I134" i="93"/>
  <c r="E134" i="93"/>
  <c r="J134" i="93"/>
  <c r="I120" i="93"/>
  <c r="E120" i="93"/>
  <c r="I106" i="93"/>
  <c r="B106" i="93"/>
  <c r="B120" i="93" s="1"/>
  <c r="B134" i="93" s="1"/>
  <c r="E106" i="93"/>
  <c r="I92" i="93"/>
  <c r="B92" i="93"/>
  <c r="E92" i="93"/>
  <c r="J92" i="93" s="1"/>
  <c r="E78" i="93"/>
  <c r="J78" i="93" s="1"/>
  <c r="H170" i="93"/>
  <c r="H165" i="93"/>
  <c r="H160" i="93"/>
  <c r="H155" i="93"/>
  <c r="H149" i="93"/>
  <c r="L82" i="78"/>
  <c r="M82" i="78" s="1"/>
  <c r="L68" i="78"/>
  <c r="L54" i="78"/>
  <c r="L24" i="78"/>
  <c r="M24" i="78" s="1"/>
  <c r="I53" i="78" l="1"/>
  <c r="K52" i="78"/>
  <c r="J106" i="93"/>
  <c r="J140" i="93"/>
  <c r="J120" i="93"/>
  <c r="I54" i="78" l="1"/>
  <c r="K53" i="78"/>
  <c r="J126" i="93"/>
  <c r="J112" i="93"/>
  <c r="I55" i="78" l="1"/>
  <c r="K54" i="78"/>
  <c r="M54" i="78"/>
  <c r="B45" i="1"/>
  <c r="O53" i="71"/>
  <c r="O54" i="71" s="1"/>
  <c r="O50" i="71"/>
  <c r="O51" i="71" s="1"/>
  <c r="O47" i="71"/>
  <c r="O48" i="71" s="1"/>
  <c r="O44" i="71"/>
  <c r="O41" i="71"/>
  <c r="O42" i="71" s="1"/>
  <c r="O38" i="71"/>
  <c r="O39" i="71" s="1"/>
  <c r="O35" i="71"/>
  <c r="O36" i="71" s="1"/>
  <c r="O32" i="71"/>
  <c r="O33" i="71" s="1"/>
  <c r="O29" i="71"/>
  <c r="O30" i="71" s="1"/>
  <c r="O26" i="71"/>
  <c r="O45" i="71"/>
  <c r="M55" i="78" l="1"/>
  <c r="I56" i="78"/>
  <c r="K55" i="78"/>
  <c r="E30" i="96"/>
  <c r="J30" i="96" s="1"/>
  <c r="E29" i="96"/>
  <c r="J29" i="96" s="1"/>
  <c r="E28" i="96"/>
  <c r="J28" i="96" s="1"/>
  <c r="J27" i="96"/>
  <c r="J26" i="96"/>
  <c r="J23" i="96"/>
  <c r="E20" i="96"/>
  <c r="E19" i="96"/>
  <c r="E18" i="96"/>
  <c r="E12" i="96"/>
  <c r="E10" i="96"/>
  <c r="E8" i="96"/>
  <c r="E7" i="96"/>
  <c r="L23" i="78"/>
  <c r="M23" i="78" s="1"/>
  <c r="L22" i="78"/>
  <c r="M22" i="78" s="1"/>
  <c r="K56" i="78" l="1"/>
  <c r="I57" i="78"/>
  <c r="M56" i="78"/>
  <c r="C23" i="95"/>
  <c r="C21" i="74"/>
  <c r="F21" i="74" s="1"/>
  <c r="C38" i="78"/>
  <c r="L38" i="78" s="1"/>
  <c r="C20" i="74"/>
  <c r="F20" i="74" s="1"/>
  <c r="C37" i="78"/>
  <c r="L37" i="78" s="1"/>
  <c r="C22" i="95"/>
  <c r="F18" i="96"/>
  <c r="C19" i="74"/>
  <c r="F19" i="74" s="1"/>
  <c r="C21" i="95"/>
  <c r="M23" i="96"/>
  <c r="F19" i="96"/>
  <c r="F20" i="96" s="1"/>
  <c r="I58" i="78" l="1"/>
  <c r="I66" i="78"/>
  <c r="K57" i="78"/>
  <c r="M57" i="78"/>
  <c r="M38" i="78"/>
  <c r="M37" i="78"/>
  <c r="H169" i="93"/>
  <c r="H164" i="93"/>
  <c r="H159" i="93"/>
  <c r="H154" i="93"/>
  <c r="H148" i="93"/>
  <c r="K66" i="78" l="1"/>
  <c r="I67" i="78"/>
  <c r="K58" i="78"/>
  <c r="M58" i="78"/>
  <c r="I133" i="93"/>
  <c r="E133" i="93"/>
  <c r="J133" i="93" s="1"/>
  <c r="I119" i="93"/>
  <c r="E119" i="93"/>
  <c r="J119" i="93" s="1"/>
  <c r="I105" i="93"/>
  <c r="B105" i="93"/>
  <c r="B119" i="93" s="1"/>
  <c r="B133" i="93" s="1"/>
  <c r="E105" i="93"/>
  <c r="J105" i="93" s="1"/>
  <c r="I91" i="93"/>
  <c r="B91" i="93"/>
  <c r="E91" i="93"/>
  <c r="E98" i="93" s="1"/>
  <c r="I77" i="93"/>
  <c r="E77" i="93"/>
  <c r="J77" i="93" s="1"/>
  <c r="K67" i="78" l="1"/>
  <c r="I68" i="78"/>
  <c r="J91" i="93"/>
  <c r="J98" i="93" s="1"/>
  <c r="G42" i="87" s="1"/>
  <c r="B44" i="1"/>
  <c r="M53" i="71"/>
  <c r="M54" i="71" s="1"/>
  <c r="M50" i="71"/>
  <c r="M51" i="71" s="1"/>
  <c r="M47" i="71"/>
  <c r="M48" i="71" s="1"/>
  <c r="M44" i="71"/>
  <c r="M45" i="71" s="1"/>
  <c r="M41" i="71"/>
  <c r="M42" i="71" s="1"/>
  <c r="M38" i="71"/>
  <c r="M39" i="71" s="1"/>
  <c r="M35" i="71"/>
  <c r="M36" i="71" s="1"/>
  <c r="M32" i="71"/>
  <c r="M29" i="71"/>
  <c r="M27" i="71"/>
  <c r="M23" i="71"/>
  <c r="M24" i="71" s="1"/>
  <c r="M33" i="71"/>
  <c r="M30" i="71"/>
  <c r="K68" i="78" l="1"/>
  <c r="M68" i="78"/>
  <c r="I69" i="78"/>
  <c r="K34" i="19"/>
  <c r="K69" i="78" l="1"/>
  <c r="M69" i="78"/>
  <c r="I70" i="78"/>
  <c r="H153" i="93"/>
  <c r="I71" i="78" l="1"/>
  <c r="K70" i="78"/>
  <c r="M70" i="78"/>
  <c r="B104" i="93"/>
  <c r="B90" i="93"/>
  <c r="A105" i="93"/>
  <c r="A106" i="93"/>
  <c r="A107" i="93"/>
  <c r="A108" i="93"/>
  <c r="A109" i="93"/>
  <c r="A110" i="93"/>
  <c r="A104" i="93"/>
  <c r="A91" i="93"/>
  <c r="A92" i="93"/>
  <c r="A93" i="93"/>
  <c r="A94" i="93"/>
  <c r="A95" i="93"/>
  <c r="A96" i="93"/>
  <c r="A90" i="93"/>
  <c r="I90" i="93"/>
  <c r="I76" i="93"/>
  <c r="L83" i="93" s="1"/>
  <c r="E76" i="93"/>
  <c r="E84" i="93" s="1"/>
  <c r="I72" i="78" l="1"/>
  <c r="K71" i="78"/>
  <c r="M71" i="78"/>
  <c r="J76" i="93"/>
  <c r="K72" i="78" l="1"/>
  <c r="M72" i="78"/>
  <c r="K90" i="93"/>
  <c r="K91" i="93" s="1"/>
  <c r="K92" i="93" s="1"/>
  <c r="K76" i="93"/>
  <c r="K93" i="93" l="1"/>
  <c r="K94" i="93" s="1"/>
  <c r="K95" i="93" s="1"/>
  <c r="L92" i="93"/>
  <c r="L76" i="93"/>
  <c r="K77" i="93"/>
  <c r="K78" i="93" s="1"/>
  <c r="K79" i="93" s="1"/>
  <c r="L91" i="93"/>
  <c r="L90" i="93"/>
  <c r="D22" i="95"/>
  <c r="C25" i="1"/>
  <c r="K96" i="93" l="1"/>
  <c r="L95" i="93"/>
  <c r="L79" i="93"/>
  <c r="K80" i="93"/>
  <c r="K81" i="93" s="1"/>
  <c r="L82" i="93" s="1"/>
  <c r="L94" i="93"/>
  <c r="L93" i="93"/>
  <c r="L78" i="93"/>
  <c r="L77" i="93"/>
  <c r="H113" i="48"/>
  <c r="H115" i="48"/>
  <c r="H116" i="48"/>
  <c r="H117" i="48"/>
  <c r="H118" i="48"/>
  <c r="H120" i="48"/>
  <c r="H97" i="48"/>
  <c r="H99" i="48"/>
  <c r="H100" i="48"/>
  <c r="H102" i="48"/>
  <c r="H103" i="48"/>
  <c r="H104" i="48"/>
  <c r="H105" i="48"/>
  <c r="H106" i="48"/>
  <c r="H107" i="48"/>
  <c r="H108" i="48"/>
  <c r="H110" i="48"/>
  <c r="H111" i="48"/>
  <c r="H112" i="48"/>
  <c r="H82" i="48"/>
  <c r="H83" i="48"/>
  <c r="H84" i="48"/>
  <c r="H85" i="48"/>
  <c r="H87" i="48"/>
  <c r="H88" i="48"/>
  <c r="H89" i="48"/>
  <c r="H90" i="48"/>
  <c r="H91" i="48"/>
  <c r="H93" i="48"/>
  <c r="H94" i="48"/>
  <c r="H95" i="48"/>
  <c r="H96" i="48"/>
  <c r="H63" i="48"/>
  <c r="H64" i="48"/>
  <c r="H65" i="48"/>
  <c r="H66" i="48"/>
  <c r="H67" i="48"/>
  <c r="H68" i="48"/>
  <c r="H69" i="48"/>
  <c r="H70" i="48"/>
  <c r="H71" i="48"/>
  <c r="H73" i="48"/>
  <c r="H74" i="48"/>
  <c r="H75" i="48"/>
  <c r="H77" i="48"/>
  <c r="H78" i="48"/>
  <c r="H79" i="48"/>
  <c r="H80" i="48"/>
  <c r="H81" i="48"/>
  <c r="H44" i="48"/>
  <c r="H47" i="48"/>
  <c r="H48" i="48"/>
  <c r="H49" i="48"/>
  <c r="H50" i="48"/>
  <c r="H51" i="48"/>
  <c r="H52" i="48"/>
  <c r="H53" i="48"/>
  <c r="H54" i="48"/>
  <c r="H56" i="48"/>
  <c r="H57" i="48"/>
  <c r="H58" i="48"/>
  <c r="H59" i="48"/>
  <c r="H60" i="48"/>
  <c r="H61" i="48"/>
  <c r="H34" i="48"/>
  <c r="H35" i="48"/>
  <c r="H36" i="48"/>
  <c r="H37" i="48"/>
  <c r="H38" i="48"/>
  <c r="H39" i="48"/>
  <c r="H40" i="48"/>
  <c r="H41" i="48"/>
  <c r="H42" i="48"/>
  <c r="H43" i="48"/>
  <c r="H20" i="48"/>
  <c r="H21" i="48"/>
  <c r="H22" i="48"/>
  <c r="H23" i="48"/>
  <c r="H24" i="48"/>
  <c r="H25" i="48"/>
  <c r="H27" i="48"/>
  <c r="H28" i="48"/>
  <c r="H29" i="48"/>
  <c r="H30" i="48"/>
  <c r="H31" i="48"/>
  <c r="H32" i="48"/>
  <c r="H19" i="48"/>
  <c r="B43" i="1"/>
  <c r="K97" i="93" l="1"/>
  <c r="L97" i="93" s="1"/>
  <c r="L96" i="93"/>
  <c r="L98" i="93" s="1"/>
  <c r="K98" i="93"/>
  <c r="L81" i="93"/>
  <c r="L84" i="93" s="1"/>
  <c r="K84" i="93"/>
  <c r="L80" i="93"/>
  <c r="H124" i="48"/>
  <c r="K53" i="71"/>
  <c r="K54" i="71" s="1"/>
  <c r="K50" i="71"/>
  <c r="K51" i="71" s="1"/>
  <c r="K47" i="71"/>
  <c r="K48" i="71" s="1"/>
  <c r="K44" i="71"/>
  <c r="K45" i="71" s="1"/>
  <c r="K41" i="71"/>
  <c r="K42" i="71" s="1"/>
  <c r="K38" i="71"/>
  <c r="K39" i="71" s="1"/>
  <c r="K35" i="71"/>
  <c r="K32" i="71"/>
  <c r="K33" i="71" s="1"/>
  <c r="K29" i="71"/>
  <c r="K30" i="71" s="1"/>
  <c r="K27" i="71"/>
  <c r="K23" i="71"/>
  <c r="K24" i="71" s="1"/>
  <c r="K36" i="71"/>
  <c r="E22" i="41" l="1"/>
  <c r="O40" i="41" l="1"/>
  <c r="E13" i="78" l="1"/>
  <c r="D21" i="95" l="1"/>
  <c r="D12" i="95"/>
  <c r="D10" i="95"/>
  <c r="D8" i="95"/>
  <c r="D7" i="95"/>
  <c r="D19" i="74"/>
  <c r="B20" i="74"/>
  <c r="B21" i="74"/>
  <c r="B22" i="74"/>
  <c r="B23" i="74"/>
  <c r="B24" i="74"/>
  <c r="B25" i="74"/>
  <c r="B26" i="74"/>
  <c r="B27" i="74"/>
  <c r="B28" i="74"/>
  <c r="B29" i="74"/>
  <c r="B30" i="74"/>
  <c r="B31" i="74"/>
  <c r="B19" i="74"/>
  <c r="A20" i="74"/>
  <c r="A21" i="74" s="1"/>
  <c r="A22" i="74" s="1"/>
  <c r="A23" i="74" s="1"/>
  <c r="A24" i="74" s="1"/>
  <c r="A25" i="74" s="1"/>
  <c r="A26" i="74" s="1"/>
  <c r="A27" i="74" s="1"/>
  <c r="A28" i="74" s="1"/>
  <c r="A29" i="74" s="1"/>
  <c r="A30" i="74" s="1"/>
  <c r="A31" i="74" s="1"/>
  <c r="D7" i="87" l="1"/>
  <c r="E18" i="41"/>
  <c r="D8" i="5"/>
  <c r="H14" i="1"/>
  <c r="D30" i="19"/>
  <c r="D29" i="19"/>
  <c r="D28" i="19"/>
  <c r="D27" i="19"/>
  <c r="D26" i="19"/>
  <c r="F45" i="9"/>
  <c r="F42" i="9"/>
  <c r="D45" i="9"/>
  <c r="C21" i="9"/>
  <c r="C22" i="9"/>
  <c r="C25" i="9"/>
  <c r="D34" i="9"/>
  <c r="D44" i="9"/>
  <c r="D43" i="9"/>
  <c r="D42" i="9"/>
  <c r="D41" i="9"/>
  <c r="D40" i="9"/>
  <c r="D39" i="9"/>
  <c r="D38" i="9"/>
  <c r="D37" i="9"/>
  <c r="D36" i="9"/>
  <c r="D35" i="9"/>
  <c r="D33" i="9"/>
  <c r="A34" i="9"/>
  <c r="A35" i="9" s="1"/>
  <c r="A36" i="9" s="1"/>
  <c r="A37" i="9" s="1"/>
  <c r="A38" i="9" s="1"/>
  <c r="A39" i="9" s="1"/>
  <c r="A40" i="9" s="1"/>
  <c r="A41" i="9" s="1"/>
  <c r="A42" i="9" s="1"/>
  <c r="A43" i="9" s="1"/>
  <c r="A44" i="9" s="1"/>
  <c r="A45" i="9" s="1"/>
  <c r="I53" i="71"/>
  <c r="I50" i="71"/>
  <c r="I47" i="71"/>
  <c r="I44" i="71"/>
  <c r="I45" i="71" s="1"/>
  <c r="I41" i="71"/>
  <c r="I42" i="71" s="1"/>
  <c r="I38" i="71"/>
  <c r="I35" i="71"/>
  <c r="I36" i="71" s="1"/>
  <c r="H53" i="71"/>
  <c r="H50" i="71"/>
  <c r="H47" i="71"/>
  <c r="H44" i="71"/>
  <c r="H45" i="71" s="1"/>
  <c r="H41" i="71"/>
  <c r="H42" i="71" s="1"/>
  <c r="H38" i="71"/>
  <c r="H39" i="71" s="1"/>
  <c r="H35" i="71"/>
  <c r="H36" i="71" s="1"/>
  <c r="H32" i="71"/>
  <c r="H29" i="71"/>
  <c r="H23" i="71"/>
  <c r="H24" i="71" s="1"/>
  <c r="AG44" i="71"/>
  <c r="AG45" i="71" s="1"/>
  <c r="I39" i="71"/>
  <c r="B42" i="1"/>
  <c r="M88" i="41"/>
  <c r="N88" i="41"/>
  <c r="N89" i="41" s="1"/>
  <c r="O88" i="41"/>
  <c r="O89" i="41" s="1"/>
  <c r="P88" i="41"/>
  <c r="E33" i="9" l="1"/>
  <c r="D48" i="9"/>
  <c r="P43" i="71"/>
  <c r="N43" i="71"/>
  <c r="L43" i="71"/>
  <c r="P22" i="71"/>
  <c r="N22" i="71"/>
  <c r="L22" i="71"/>
  <c r="E34" i="9"/>
  <c r="E35" i="9" s="1"/>
  <c r="E36" i="9" s="1"/>
  <c r="E37" i="9" s="1"/>
  <c r="E38" i="9" s="1"/>
  <c r="E39" i="9" s="1"/>
  <c r="E40" i="9" s="1"/>
  <c r="E41" i="9" s="1"/>
  <c r="E42" i="9" s="1"/>
  <c r="E43" i="9" s="1"/>
  <c r="E44" i="9" s="1"/>
  <c r="E45" i="9" s="1"/>
  <c r="E46" i="9" s="1"/>
  <c r="E47" i="9" s="1"/>
  <c r="J43" i="71"/>
  <c r="AH43" i="71"/>
  <c r="U130" i="48" l="1"/>
  <c r="U126" i="48"/>
  <c r="U124" i="48"/>
  <c r="U123" i="48"/>
  <c r="F123" i="48"/>
  <c r="U122" i="48"/>
  <c r="U121" i="48"/>
  <c r="U120" i="48"/>
  <c r="K120" i="48"/>
  <c r="J120" i="48"/>
  <c r="L120" i="48" s="1"/>
  <c r="O120" i="48" s="1"/>
  <c r="U119" i="48"/>
  <c r="U118" i="48"/>
  <c r="K118" i="48"/>
  <c r="J118" i="48"/>
  <c r="L118" i="48" s="1"/>
  <c r="O118" i="48" s="1"/>
  <c r="U117" i="48"/>
  <c r="K117" i="48"/>
  <c r="J117" i="48"/>
  <c r="L117" i="48" s="1"/>
  <c r="O117" i="48" s="1"/>
  <c r="U116" i="48"/>
  <c r="K116" i="48"/>
  <c r="J116" i="48"/>
  <c r="L116" i="48" s="1"/>
  <c r="O116" i="48" s="1"/>
  <c r="U115" i="48"/>
  <c r="J115" i="48"/>
  <c r="L115" i="48" s="1"/>
  <c r="O115" i="48" s="1"/>
  <c r="K115" i="48"/>
  <c r="U114" i="48"/>
  <c r="U113" i="48"/>
  <c r="W113" i="48"/>
  <c r="J113" i="48"/>
  <c r="L113" i="48" s="1"/>
  <c r="O113" i="48" s="1"/>
  <c r="K113" i="48"/>
  <c r="U112" i="48"/>
  <c r="J112" i="48"/>
  <c r="L112" i="48" s="1"/>
  <c r="O112" i="48" s="1"/>
  <c r="K112" i="48"/>
  <c r="U111" i="48"/>
  <c r="J111" i="48"/>
  <c r="L111" i="48" s="1"/>
  <c r="O111" i="48" s="1"/>
  <c r="K111" i="48"/>
  <c r="U110" i="48"/>
  <c r="J110" i="48"/>
  <c r="L110" i="48" s="1"/>
  <c r="O110" i="48" s="1"/>
  <c r="K110" i="48"/>
  <c r="U109" i="48"/>
  <c r="U108" i="48"/>
  <c r="J108" i="48"/>
  <c r="L108" i="48" s="1"/>
  <c r="O108" i="48" s="1"/>
  <c r="K108" i="48"/>
  <c r="U107" i="48"/>
  <c r="J107" i="48"/>
  <c r="L107" i="48" s="1"/>
  <c r="O107" i="48" s="1"/>
  <c r="K107" i="48"/>
  <c r="U106" i="48"/>
  <c r="J106" i="48"/>
  <c r="L106" i="48" s="1"/>
  <c r="O106" i="48" s="1"/>
  <c r="K106" i="48"/>
  <c r="U105" i="48"/>
  <c r="J105" i="48"/>
  <c r="L105" i="48" s="1"/>
  <c r="O105" i="48" s="1"/>
  <c r="K105" i="48"/>
  <c r="U104" i="48"/>
  <c r="U103" i="48"/>
  <c r="J103" i="48"/>
  <c r="L103" i="48" s="1"/>
  <c r="O103" i="48" s="1"/>
  <c r="K103" i="48"/>
  <c r="U102" i="48"/>
  <c r="J102" i="48"/>
  <c r="L102" i="48" s="1"/>
  <c r="O102" i="48" s="1"/>
  <c r="K102" i="48"/>
  <c r="M102" i="48" s="1"/>
  <c r="U101" i="48"/>
  <c r="U100" i="48"/>
  <c r="U99" i="48"/>
  <c r="J99" i="48"/>
  <c r="L99" i="48" s="1"/>
  <c r="O99" i="48" s="1"/>
  <c r="K99" i="48"/>
  <c r="M99" i="48" s="1"/>
  <c r="U98" i="48"/>
  <c r="U97" i="48"/>
  <c r="J97" i="48"/>
  <c r="L97" i="48" s="1"/>
  <c r="O97" i="48" s="1"/>
  <c r="U96" i="48"/>
  <c r="K96" i="48"/>
  <c r="N96" i="48" s="1"/>
  <c r="P96" i="48" s="1"/>
  <c r="J96" i="48"/>
  <c r="L96" i="48" s="1"/>
  <c r="O96" i="48" s="1"/>
  <c r="U95" i="48"/>
  <c r="W95" i="48"/>
  <c r="K95" i="48"/>
  <c r="J95" i="48"/>
  <c r="L95" i="48" s="1"/>
  <c r="O95" i="48" s="1"/>
  <c r="U94" i="48"/>
  <c r="U93" i="48"/>
  <c r="U92" i="48"/>
  <c r="U91" i="48"/>
  <c r="U90" i="48"/>
  <c r="J90" i="48"/>
  <c r="L90" i="48" s="1"/>
  <c r="O90" i="48" s="1"/>
  <c r="K90" i="48"/>
  <c r="U89" i="48"/>
  <c r="W89" i="48" s="1"/>
  <c r="K89" i="48"/>
  <c r="J89" i="48"/>
  <c r="L89" i="48" s="1"/>
  <c r="O89" i="48" s="1"/>
  <c r="U88" i="48"/>
  <c r="K88" i="48"/>
  <c r="J88" i="48"/>
  <c r="L88" i="48" s="1"/>
  <c r="O88" i="48" s="1"/>
  <c r="U87" i="48"/>
  <c r="U86" i="48"/>
  <c r="U85" i="48"/>
  <c r="W85" i="48" s="1"/>
  <c r="U84" i="48"/>
  <c r="K84" i="48"/>
  <c r="M84" i="48" s="1"/>
  <c r="U83" i="48"/>
  <c r="K83" i="48"/>
  <c r="J83" i="48"/>
  <c r="L83" i="48" s="1"/>
  <c r="O83" i="48" s="1"/>
  <c r="U82" i="48"/>
  <c r="U81" i="48"/>
  <c r="U80" i="48"/>
  <c r="W80" i="48"/>
  <c r="U79" i="48"/>
  <c r="U78" i="48"/>
  <c r="W78" i="48" s="1"/>
  <c r="U77" i="48"/>
  <c r="U76" i="48"/>
  <c r="U75" i="48"/>
  <c r="U74" i="48"/>
  <c r="U73" i="48"/>
  <c r="U72" i="48"/>
  <c r="W72" i="48" s="1"/>
  <c r="U71" i="48"/>
  <c r="U70" i="48"/>
  <c r="W70" i="48" s="1"/>
  <c r="U69" i="48"/>
  <c r="U68" i="48"/>
  <c r="U67" i="48"/>
  <c r="U66" i="48"/>
  <c r="J66" i="48"/>
  <c r="L66" i="48" s="1"/>
  <c r="O66" i="48" s="1"/>
  <c r="K66" i="48"/>
  <c r="N66" i="48" s="1"/>
  <c r="P66" i="48" s="1"/>
  <c r="U65" i="48"/>
  <c r="K65" i="48"/>
  <c r="N65" i="48" s="1"/>
  <c r="P65" i="48" s="1"/>
  <c r="U64" i="48"/>
  <c r="J64" i="48"/>
  <c r="L64" i="48" s="1"/>
  <c r="O64" i="48" s="1"/>
  <c r="K64" i="48"/>
  <c r="N64" i="48" s="1"/>
  <c r="P64" i="48" s="1"/>
  <c r="U63" i="48"/>
  <c r="K63" i="48"/>
  <c r="N63" i="48" s="1"/>
  <c r="P63" i="48" s="1"/>
  <c r="U62" i="48"/>
  <c r="U61" i="48"/>
  <c r="J61" i="48"/>
  <c r="L61" i="48" s="1"/>
  <c r="O61" i="48" s="1"/>
  <c r="K61" i="48"/>
  <c r="N61" i="48" s="1"/>
  <c r="P61" i="48" s="1"/>
  <c r="U60" i="48"/>
  <c r="K60" i="48"/>
  <c r="N60" i="48" s="1"/>
  <c r="P60" i="48" s="1"/>
  <c r="U59" i="48"/>
  <c r="J59" i="48"/>
  <c r="L59" i="48" s="1"/>
  <c r="O59" i="48" s="1"/>
  <c r="K59" i="48"/>
  <c r="N59" i="48" s="1"/>
  <c r="P59" i="48" s="1"/>
  <c r="U58" i="48"/>
  <c r="K58" i="48"/>
  <c r="N58" i="48" s="1"/>
  <c r="P58" i="48" s="1"/>
  <c r="U57" i="48"/>
  <c r="J57" i="48"/>
  <c r="L57" i="48" s="1"/>
  <c r="O57" i="48" s="1"/>
  <c r="K57" i="48"/>
  <c r="N57" i="48" s="1"/>
  <c r="P57" i="48" s="1"/>
  <c r="U56" i="48"/>
  <c r="K56" i="48"/>
  <c r="N56" i="48" s="1"/>
  <c r="P56" i="48" s="1"/>
  <c r="U55" i="48"/>
  <c r="U54" i="48"/>
  <c r="J54" i="48"/>
  <c r="L54" i="48" s="1"/>
  <c r="O54" i="48" s="1"/>
  <c r="K54" i="48"/>
  <c r="N54" i="48" s="1"/>
  <c r="P54" i="48" s="1"/>
  <c r="U53" i="48"/>
  <c r="K53" i="48"/>
  <c r="N53" i="48" s="1"/>
  <c r="P53" i="48" s="1"/>
  <c r="U52" i="48"/>
  <c r="W52" i="48" s="1"/>
  <c r="K52" i="48"/>
  <c r="J52" i="48"/>
  <c r="L52" i="48" s="1"/>
  <c r="O52" i="48" s="1"/>
  <c r="U51" i="48"/>
  <c r="K51" i="48"/>
  <c r="J51" i="48"/>
  <c r="L51" i="48" s="1"/>
  <c r="O51" i="48" s="1"/>
  <c r="U50" i="48"/>
  <c r="K50" i="48"/>
  <c r="J50" i="48"/>
  <c r="L50" i="48" s="1"/>
  <c r="O50" i="48" s="1"/>
  <c r="U49" i="48"/>
  <c r="K49" i="48"/>
  <c r="J49" i="48"/>
  <c r="L49" i="48" s="1"/>
  <c r="O49" i="48" s="1"/>
  <c r="U48" i="48"/>
  <c r="K48" i="48"/>
  <c r="N48" i="48" s="1"/>
  <c r="P48" i="48" s="1"/>
  <c r="J48" i="48"/>
  <c r="L48" i="48" s="1"/>
  <c r="O48" i="48" s="1"/>
  <c r="U47" i="48"/>
  <c r="U46" i="48"/>
  <c r="U45" i="48"/>
  <c r="W45" i="48" s="1"/>
  <c r="U44" i="48"/>
  <c r="U43" i="48"/>
  <c r="U42" i="48"/>
  <c r="U41" i="48"/>
  <c r="W41" i="48" s="1"/>
  <c r="U40" i="48"/>
  <c r="U39" i="48"/>
  <c r="U38" i="48"/>
  <c r="U37" i="48"/>
  <c r="W37" i="48" s="1"/>
  <c r="U36" i="48"/>
  <c r="U35" i="48"/>
  <c r="U34" i="48"/>
  <c r="U33" i="48"/>
  <c r="U32" i="48"/>
  <c r="U31" i="48"/>
  <c r="U30" i="48"/>
  <c r="U29" i="48"/>
  <c r="W29" i="48"/>
  <c r="U28" i="48"/>
  <c r="U27" i="48"/>
  <c r="U26" i="48"/>
  <c r="U25" i="48"/>
  <c r="U24" i="48"/>
  <c r="U23" i="48"/>
  <c r="K23" i="48"/>
  <c r="M23" i="48" s="1"/>
  <c r="U22" i="48"/>
  <c r="K22" i="48"/>
  <c r="M22" i="48" s="1"/>
  <c r="J22" i="48"/>
  <c r="L22" i="48" s="1"/>
  <c r="O22" i="48" s="1"/>
  <c r="U21" i="48"/>
  <c r="K21" i="48"/>
  <c r="M21" i="48" s="1"/>
  <c r="J21" i="48"/>
  <c r="L21" i="48" s="1"/>
  <c r="O21" i="48" s="1"/>
  <c r="U20" i="48"/>
  <c r="K20" i="48"/>
  <c r="M20" i="48" s="1"/>
  <c r="J20" i="48"/>
  <c r="L20" i="48" s="1"/>
  <c r="O20" i="48" s="1"/>
  <c r="U19" i="48"/>
  <c r="K19" i="48"/>
  <c r="M19" i="48" s="1"/>
  <c r="J19" i="48"/>
  <c r="W106" i="48" l="1"/>
  <c r="N99" i="48"/>
  <c r="P99" i="48" s="1"/>
  <c r="W108" i="48"/>
  <c r="W110" i="48"/>
  <c r="W24" i="48"/>
  <c r="W35" i="48"/>
  <c r="W68" i="48"/>
  <c r="W51" i="48"/>
  <c r="W76" i="48"/>
  <c r="W101" i="48"/>
  <c r="W112" i="48"/>
  <c r="W98" i="48"/>
  <c r="W109" i="48"/>
  <c r="W100" i="48"/>
  <c r="W102" i="48"/>
  <c r="W87" i="48"/>
  <c r="W88" i="48"/>
  <c r="W65" i="48"/>
  <c r="W67" i="48"/>
  <c r="W64" i="48"/>
  <c r="W71" i="48"/>
  <c r="W40" i="48"/>
  <c r="W25" i="48"/>
  <c r="W33" i="48"/>
  <c r="W32" i="48"/>
  <c r="W54" i="48"/>
  <c r="W58" i="48"/>
  <c r="W105" i="48"/>
  <c r="W119" i="48"/>
  <c r="W59" i="48"/>
  <c r="W118" i="48"/>
  <c r="W21" i="48"/>
  <c r="W28" i="48"/>
  <c r="W36" i="48"/>
  <c r="W44" i="48"/>
  <c r="W53" i="48"/>
  <c r="W55" i="48"/>
  <c r="W66" i="48"/>
  <c r="W74" i="48"/>
  <c r="W82" i="48"/>
  <c r="W57" i="48"/>
  <c r="W104" i="48"/>
  <c r="W103" i="48"/>
  <c r="W116" i="48"/>
  <c r="M63" i="48"/>
  <c r="W75" i="48"/>
  <c r="W79" i="48"/>
  <c r="W107" i="48"/>
  <c r="W114" i="48"/>
  <c r="W117" i="48"/>
  <c r="W19" i="48"/>
  <c r="W22" i="48"/>
  <c r="W23" i="48"/>
  <c r="W27" i="48"/>
  <c r="W31" i="48"/>
  <c r="W39" i="48"/>
  <c r="W43" i="48"/>
  <c r="W60" i="48"/>
  <c r="W62" i="48"/>
  <c r="W26" i="48"/>
  <c r="W30" i="48"/>
  <c r="W34" i="48"/>
  <c r="W38" i="48"/>
  <c r="W42" i="48"/>
  <c r="W46" i="48"/>
  <c r="W47" i="48"/>
  <c r="W50" i="48"/>
  <c r="W56" i="48"/>
  <c r="W61" i="48"/>
  <c r="W63" i="48"/>
  <c r="W69" i="48"/>
  <c r="W73" i="48"/>
  <c r="W77" i="48"/>
  <c r="W81" i="48"/>
  <c r="W83" i="48"/>
  <c r="W94" i="48"/>
  <c r="W99" i="48"/>
  <c r="W111" i="48"/>
  <c r="W120" i="48"/>
  <c r="W20" i="48"/>
  <c r="W115" i="48"/>
  <c r="M53" i="48"/>
  <c r="N22" i="48"/>
  <c r="P22" i="48" s="1"/>
  <c r="N19" i="48"/>
  <c r="P19" i="48" s="1"/>
  <c r="N84" i="48"/>
  <c r="P84" i="48" s="1"/>
  <c r="M60" i="48"/>
  <c r="M96" i="48"/>
  <c r="N23" i="48"/>
  <c r="P23" i="48" s="1"/>
  <c r="M58" i="48"/>
  <c r="M56" i="48"/>
  <c r="M65" i="48"/>
  <c r="N102" i="48"/>
  <c r="P102" i="48" s="1"/>
  <c r="N51" i="48"/>
  <c r="P51" i="48" s="1"/>
  <c r="M51" i="48"/>
  <c r="K68" i="48"/>
  <c r="J68" i="48"/>
  <c r="L68" i="48" s="1"/>
  <c r="O68" i="48" s="1"/>
  <c r="K73" i="48"/>
  <c r="J73" i="48"/>
  <c r="L73" i="48" s="1"/>
  <c r="O73" i="48" s="1"/>
  <c r="K78" i="48"/>
  <c r="J78" i="48"/>
  <c r="L78" i="48" s="1"/>
  <c r="O78" i="48" s="1"/>
  <c r="K82" i="48"/>
  <c r="J82" i="48"/>
  <c r="L82" i="48" s="1"/>
  <c r="O82" i="48" s="1"/>
  <c r="K85" i="48"/>
  <c r="J85" i="48"/>
  <c r="L85" i="48" s="1"/>
  <c r="O85" i="48" s="1"/>
  <c r="N88" i="48"/>
  <c r="P88" i="48" s="1"/>
  <c r="M88" i="48"/>
  <c r="N52" i="48"/>
  <c r="P52" i="48" s="1"/>
  <c r="M52" i="48"/>
  <c r="K71" i="48"/>
  <c r="J71" i="48"/>
  <c r="L71" i="48" s="1"/>
  <c r="O71" i="48" s="1"/>
  <c r="K77" i="48"/>
  <c r="J77" i="48"/>
  <c r="L77" i="48" s="1"/>
  <c r="O77" i="48" s="1"/>
  <c r="K81" i="48"/>
  <c r="J81" i="48"/>
  <c r="L81" i="48" s="1"/>
  <c r="O81" i="48" s="1"/>
  <c r="N21" i="48"/>
  <c r="P21" i="48" s="1"/>
  <c r="J23" i="48"/>
  <c r="L23" i="48" s="1"/>
  <c r="O23" i="48" s="1"/>
  <c r="K24" i="48"/>
  <c r="J24" i="48"/>
  <c r="L24" i="48" s="1"/>
  <c r="O24" i="48" s="1"/>
  <c r="K25" i="48"/>
  <c r="J25" i="48"/>
  <c r="L25" i="48" s="1"/>
  <c r="O25" i="48" s="1"/>
  <c r="K27" i="48"/>
  <c r="J27" i="48"/>
  <c r="L27" i="48" s="1"/>
  <c r="O27" i="48" s="1"/>
  <c r="K28" i="48"/>
  <c r="J28" i="48"/>
  <c r="L28" i="48" s="1"/>
  <c r="O28" i="48" s="1"/>
  <c r="K29" i="48"/>
  <c r="J29" i="48"/>
  <c r="L29" i="48" s="1"/>
  <c r="O29" i="48" s="1"/>
  <c r="K30" i="48"/>
  <c r="J30" i="48"/>
  <c r="L30" i="48" s="1"/>
  <c r="O30" i="48" s="1"/>
  <c r="K31" i="48"/>
  <c r="J31" i="48"/>
  <c r="L31" i="48" s="1"/>
  <c r="O31" i="48" s="1"/>
  <c r="K32" i="48"/>
  <c r="J32" i="48"/>
  <c r="L32" i="48" s="1"/>
  <c r="O32" i="48" s="1"/>
  <c r="K34" i="48"/>
  <c r="J34" i="48"/>
  <c r="L34" i="48" s="1"/>
  <c r="O34" i="48" s="1"/>
  <c r="K35" i="48"/>
  <c r="J35" i="48"/>
  <c r="L35" i="48" s="1"/>
  <c r="O35" i="48" s="1"/>
  <c r="K36" i="48"/>
  <c r="J36" i="48"/>
  <c r="L36" i="48" s="1"/>
  <c r="O36" i="48" s="1"/>
  <c r="K37" i="48"/>
  <c r="J37" i="48"/>
  <c r="L37" i="48" s="1"/>
  <c r="O37" i="48" s="1"/>
  <c r="K38" i="48"/>
  <c r="J38" i="48"/>
  <c r="L38" i="48" s="1"/>
  <c r="O38" i="48" s="1"/>
  <c r="K39" i="48"/>
  <c r="J39" i="48"/>
  <c r="L39" i="48" s="1"/>
  <c r="O39" i="48" s="1"/>
  <c r="K40" i="48"/>
  <c r="J40" i="48"/>
  <c r="L40" i="48" s="1"/>
  <c r="O40" i="48" s="1"/>
  <c r="K41" i="48"/>
  <c r="J41" i="48"/>
  <c r="L41" i="48" s="1"/>
  <c r="O41" i="48" s="1"/>
  <c r="K42" i="48"/>
  <c r="J42" i="48"/>
  <c r="L42" i="48" s="1"/>
  <c r="O42" i="48" s="1"/>
  <c r="K44" i="48"/>
  <c r="J44" i="48"/>
  <c r="L44" i="48" s="1"/>
  <c r="O44" i="48" s="1"/>
  <c r="K47" i="48"/>
  <c r="J47" i="48"/>
  <c r="L47" i="48" s="1"/>
  <c r="O47" i="48" s="1"/>
  <c r="W49" i="48"/>
  <c r="N50" i="48"/>
  <c r="P50" i="48" s="1"/>
  <c r="M50" i="48"/>
  <c r="K69" i="48"/>
  <c r="J69" i="48"/>
  <c r="L69" i="48" s="1"/>
  <c r="O69" i="48" s="1"/>
  <c r="K74" i="48"/>
  <c r="J74" i="48"/>
  <c r="L74" i="48" s="1"/>
  <c r="O74" i="48" s="1"/>
  <c r="K79" i="48"/>
  <c r="J79" i="48"/>
  <c r="L79" i="48" s="1"/>
  <c r="O79" i="48" s="1"/>
  <c r="L19" i="48"/>
  <c r="O19" i="48" s="1"/>
  <c r="N20" i="48"/>
  <c r="P20" i="48" s="1"/>
  <c r="W48" i="48"/>
  <c r="N49" i="48"/>
  <c r="P49" i="48" s="1"/>
  <c r="M49" i="48"/>
  <c r="K70" i="48"/>
  <c r="J70" i="48"/>
  <c r="L70" i="48" s="1"/>
  <c r="O70" i="48" s="1"/>
  <c r="K75" i="48"/>
  <c r="J75" i="48"/>
  <c r="L75" i="48" s="1"/>
  <c r="O75" i="48" s="1"/>
  <c r="K80" i="48"/>
  <c r="J80" i="48"/>
  <c r="L80" i="48" s="1"/>
  <c r="O80" i="48" s="1"/>
  <c r="N83" i="48"/>
  <c r="P83" i="48" s="1"/>
  <c r="M83" i="48"/>
  <c r="M48" i="48"/>
  <c r="K87" i="48"/>
  <c r="J87" i="48"/>
  <c r="L87" i="48" s="1"/>
  <c r="O87" i="48" s="1"/>
  <c r="K91" i="48"/>
  <c r="J91" i="48"/>
  <c r="L91" i="48" s="1"/>
  <c r="O91" i="48" s="1"/>
  <c r="K93" i="48"/>
  <c r="J93" i="48"/>
  <c r="L93" i="48" s="1"/>
  <c r="O93" i="48" s="1"/>
  <c r="J53" i="48"/>
  <c r="L53" i="48" s="1"/>
  <c r="O53" i="48" s="1"/>
  <c r="M54" i="48"/>
  <c r="J56" i="48"/>
  <c r="L56" i="48" s="1"/>
  <c r="O56" i="48" s="1"/>
  <c r="M57" i="48"/>
  <c r="J58" i="48"/>
  <c r="L58" i="48" s="1"/>
  <c r="O58" i="48" s="1"/>
  <c r="M59" i="48"/>
  <c r="J60" i="48"/>
  <c r="L60" i="48" s="1"/>
  <c r="O60" i="48" s="1"/>
  <c r="M61" i="48"/>
  <c r="J63" i="48"/>
  <c r="L63" i="48" s="1"/>
  <c r="O63" i="48" s="1"/>
  <c r="M64" i="48"/>
  <c r="J65" i="48"/>
  <c r="L65" i="48" s="1"/>
  <c r="O65" i="48" s="1"/>
  <c r="M66" i="48"/>
  <c r="J84" i="48"/>
  <c r="L84" i="48" s="1"/>
  <c r="O84" i="48" s="1"/>
  <c r="J94" i="48"/>
  <c r="L94" i="48" s="1"/>
  <c r="O94" i="48" s="1"/>
  <c r="K94" i="48"/>
  <c r="N120" i="48"/>
  <c r="P120" i="48" s="1"/>
  <c r="M120" i="48"/>
  <c r="N89" i="48"/>
  <c r="P89" i="48" s="1"/>
  <c r="M89" i="48"/>
  <c r="N90" i="48"/>
  <c r="P90" i="48" s="1"/>
  <c r="M90" i="48"/>
  <c r="N95" i="48"/>
  <c r="P95" i="48" s="1"/>
  <c r="M95" i="48"/>
  <c r="N117" i="48"/>
  <c r="P117" i="48" s="1"/>
  <c r="M117" i="48"/>
  <c r="W84" i="48"/>
  <c r="W86" i="48"/>
  <c r="W90" i="48"/>
  <c r="W92" i="48"/>
  <c r="W93" i="48"/>
  <c r="K97" i="48"/>
  <c r="W97" i="48"/>
  <c r="W91" i="48"/>
  <c r="W96" i="48"/>
  <c r="N103" i="48"/>
  <c r="P103" i="48" s="1"/>
  <c r="M103" i="48"/>
  <c r="N105" i="48"/>
  <c r="P105" i="48" s="1"/>
  <c r="M105" i="48"/>
  <c r="N106" i="48"/>
  <c r="P106" i="48" s="1"/>
  <c r="M106" i="48"/>
  <c r="N107" i="48"/>
  <c r="P107" i="48" s="1"/>
  <c r="M107" i="48"/>
  <c r="N108" i="48"/>
  <c r="P108" i="48" s="1"/>
  <c r="M108" i="48"/>
  <c r="N110" i="48"/>
  <c r="P110" i="48" s="1"/>
  <c r="M110" i="48"/>
  <c r="N111" i="48"/>
  <c r="P111" i="48" s="1"/>
  <c r="M111" i="48"/>
  <c r="N112" i="48"/>
  <c r="P112" i="48" s="1"/>
  <c r="M112" i="48"/>
  <c r="N113" i="48"/>
  <c r="P113" i="48" s="1"/>
  <c r="M113" i="48"/>
  <c r="N115" i="48"/>
  <c r="M115" i="48"/>
  <c r="N116" i="48"/>
  <c r="P116" i="48" s="1"/>
  <c r="M116" i="48"/>
  <c r="N118" i="48"/>
  <c r="P118" i="48" s="1"/>
  <c r="M118" i="48"/>
  <c r="F127" i="48"/>
  <c r="G19" i="4" s="1"/>
  <c r="C125" i="48"/>
  <c r="H125" i="48" s="1"/>
  <c r="H127" i="48" s="1"/>
  <c r="C126" i="48"/>
  <c r="E26" i="41" l="1"/>
  <c r="E25" i="41"/>
  <c r="F19" i="87"/>
  <c r="U125" i="48"/>
  <c r="N74" i="48"/>
  <c r="P74" i="48" s="1"/>
  <c r="M74" i="48"/>
  <c r="N97" i="48"/>
  <c r="P97" i="48" s="1"/>
  <c r="M97" i="48"/>
  <c r="N94" i="48"/>
  <c r="P94" i="48" s="1"/>
  <c r="M94" i="48"/>
  <c r="N93" i="48"/>
  <c r="P93" i="48" s="1"/>
  <c r="M93" i="48"/>
  <c r="N87" i="48"/>
  <c r="P87" i="48" s="1"/>
  <c r="M87" i="48"/>
  <c r="N44" i="48"/>
  <c r="P44" i="48" s="1"/>
  <c r="M44" i="48"/>
  <c r="N41" i="48"/>
  <c r="P41" i="48" s="1"/>
  <c r="M41" i="48"/>
  <c r="N39" i="48"/>
  <c r="P39" i="48" s="1"/>
  <c r="M39" i="48"/>
  <c r="N37" i="48"/>
  <c r="P37" i="48" s="1"/>
  <c r="M37" i="48"/>
  <c r="N35" i="48"/>
  <c r="P35" i="48" s="1"/>
  <c r="M35" i="48"/>
  <c r="N32" i="48"/>
  <c r="P32" i="48" s="1"/>
  <c r="M32" i="48"/>
  <c r="N30" i="48"/>
  <c r="P30" i="48" s="1"/>
  <c r="M30" i="48"/>
  <c r="N28" i="48"/>
  <c r="P28" i="48" s="1"/>
  <c r="M28" i="48"/>
  <c r="N25" i="48"/>
  <c r="P25" i="48" s="1"/>
  <c r="M25" i="48"/>
  <c r="N77" i="48"/>
  <c r="P77" i="48" s="1"/>
  <c r="M77" i="48"/>
  <c r="N85" i="48"/>
  <c r="P85" i="48" s="1"/>
  <c r="M85" i="48"/>
  <c r="N78" i="48"/>
  <c r="P78" i="48" s="1"/>
  <c r="M78" i="48"/>
  <c r="N68" i="48"/>
  <c r="P68" i="48" s="1"/>
  <c r="M68" i="48"/>
  <c r="J123" i="48"/>
  <c r="F128" i="48"/>
  <c r="N80" i="48"/>
  <c r="P80" i="48" s="1"/>
  <c r="M80" i="48"/>
  <c r="N70" i="48"/>
  <c r="P70" i="48" s="1"/>
  <c r="M70" i="48"/>
  <c r="N79" i="48"/>
  <c r="P79" i="48" s="1"/>
  <c r="M79" i="48"/>
  <c r="N69" i="48"/>
  <c r="P69" i="48" s="1"/>
  <c r="M69" i="48"/>
  <c r="N75" i="48"/>
  <c r="P75" i="48" s="1"/>
  <c r="M75" i="48"/>
  <c r="P115" i="48"/>
  <c r="M91" i="48"/>
  <c r="N91" i="48"/>
  <c r="P91" i="48" s="1"/>
  <c r="N47" i="48"/>
  <c r="P47" i="48" s="1"/>
  <c r="M47" i="48"/>
  <c r="N42" i="48"/>
  <c r="P42" i="48" s="1"/>
  <c r="M42" i="48"/>
  <c r="N40" i="48"/>
  <c r="P40" i="48" s="1"/>
  <c r="M40" i="48"/>
  <c r="N38" i="48"/>
  <c r="P38" i="48" s="1"/>
  <c r="M38" i="48"/>
  <c r="N36" i="48"/>
  <c r="P36" i="48" s="1"/>
  <c r="M36" i="48"/>
  <c r="N34" i="48"/>
  <c r="P34" i="48" s="1"/>
  <c r="M34" i="48"/>
  <c r="N31" i="48"/>
  <c r="P31" i="48" s="1"/>
  <c r="M31" i="48"/>
  <c r="N29" i="48"/>
  <c r="P29" i="48" s="1"/>
  <c r="M29" i="48"/>
  <c r="N27" i="48"/>
  <c r="P27" i="48" s="1"/>
  <c r="M27" i="48"/>
  <c r="N24" i="48"/>
  <c r="P24" i="48" s="1"/>
  <c r="M24" i="48"/>
  <c r="N81" i="48"/>
  <c r="P81" i="48" s="1"/>
  <c r="M81" i="48"/>
  <c r="N71" i="48"/>
  <c r="P71" i="48" s="1"/>
  <c r="M71" i="48"/>
  <c r="N82" i="48"/>
  <c r="P82" i="48" s="1"/>
  <c r="M82" i="48"/>
  <c r="N73" i="48"/>
  <c r="P73" i="48" s="1"/>
  <c r="M73" i="48"/>
  <c r="H88" i="41" l="1"/>
  <c r="H131" i="48"/>
  <c r="U131" i="48" s="1"/>
  <c r="U127" i="48"/>
  <c r="F24" i="41"/>
  <c r="F18" i="41"/>
  <c r="J134" i="48"/>
  <c r="F129" i="48"/>
  <c r="J124" i="48"/>
  <c r="L123" i="48"/>
  <c r="O123" i="48" s="1"/>
  <c r="J125" i="48"/>
  <c r="L125" i="48" s="1"/>
  <c r="L124" i="48" l="1"/>
  <c r="O124" i="48" s="1"/>
  <c r="Q124" i="48" s="1"/>
  <c r="F22" i="41"/>
  <c r="H129" i="48"/>
  <c r="U129" i="48" s="1"/>
  <c r="U128" i="48"/>
  <c r="L126" i="48"/>
  <c r="O126" i="48" s="1"/>
  <c r="J127" i="48"/>
  <c r="F19" i="4"/>
  <c r="Q123" i="48"/>
  <c r="O125" i="48"/>
  <c r="Q125" i="48" s="1"/>
  <c r="F131" i="48"/>
  <c r="C43" i="78" l="1"/>
  <c r="L43" i="78" s="1"/>
  <c r="M43" i="78" s="1"/>
  <c r="C26" i="74"/>
  <c r="F26" i="74" s="1"/>
  <c r="G26" i="74" s="1"/>
  <c r="C28" i="95"/>
  <c r="L39" i="41"/>
  <c r="J25" i="96"/>
  <c r="M25" i="96" s="1"/>
  <c r="K88" i="41"/>
  <c r="K89" i="41" s="1"/>
  <c r="D24" i="19"/>
  <c r="J88" i="41"/>
  <c r="C27" i="78"/>
  <c r="D23" i="19"/>
  <c r="G23" i="19" s="1"/>
  <c r="H23" i="19" s="1"/>
  <c r="L127" i="48"/>
  <c r="G52" i="1" s="1"/>
  <c r="F25" i="41"/>
  <c r="G19" i="87"/>
  <c r="C28" i="1"/>
  <c r="J131" i="48"/>
  <c r="J128" i="48"/>
  <c r="M30" i="78" l="1"/>
  <c r="E28" i="95"/>
  <c r="I28" i="95"/>
  <c r="L88" i="41"/>
  <c r="Z88" i="41" s="1"/>
  <c r="D25" i="19"/>
  <c r="J24" i="96"/>
  <c r="M24" i="96" s="1"/>
  <c r="C25" i="74"/>
  <c r="F25" i="74" s="1"/>
  <c r="G25" i="74" s="1"/>
  <c r="L42" i="78"/>
  <c r="C27" i="95"/>
  <c r="H19" i="87"/>
  <c r="G23" i="74"/>
  <c r="C29" i="1"/>
  <c r="J22" i="96"/>
  <c r="M22" i="96" s="1"/>
  <c r="I88" i="41"/>
  <c r="J129" i="48"/>
  <c r="F40" i="9" s="1"/>
  <c r="F26" i="41"/>
  <c r="L128" i="48"/>
  <c r="G53" i="1" s="1"/>
  <c r="C45" i="1"/>
  <c r="D45" i="1" s="1"/>
  <c r="E45" i="1" s="1"/>
  <c r="F21" i="96"/>
  <c r="G88" i="41"/>
  <c r="C27" i="1"/>
  <c r="C44" i="1" s="1"/>
  <c r="D44" i="1" s="1"/>
  <c r="E44" i="1" s="1"/>
  <c r="D20" i="19"/>
  <c r="C26" i="1"/>
  <c r="D18" i="19"/>
  <c r="D19" i="19"/>
  <c r="L131" i="48"/>
  <c r="O127" i="48"/>
  <c r="Q127" i="48" s="1"/>
  <c r="H24" i="74" l="1"/>
  <c r="H27" i="74"/>
  <c r="H23" i="74"/>
  <c r="H26" i="74"/>
  <c r="H25" i="74"/>
  <c r="M42" i="78"/>
  <c r="M45" i="78" s="1"/>
  <c r="I27" i="95"/>
  <c r="E27" i="95"/>
  <c r="G41" i="87"/>
  <c r="G44" i="87" s="1"/>
  <c r="E35" i="96"/>
  <c r="F22" i="96"/>
  <c r="F23" i="96" s="1"/>
  <c r="F24" i="96" s="1"/>
  <c r="F25" i="96" s="1"/>
  <c r="D46" i="1"/>
  <c r="E46" i="1" s="1"/>
  <c r="L129" i="48"/>
  <c r="E24" i="95"/>
  <c r="K21" i="95"/>
  <c r="E21" i="95"/>
  <c r="O128" i="48"/>
  <c r="Q128" i="48" s="1"/>
  <c r="L81" i="78"/>
  <c r="M81" i="78" s="1"/>
  <c r="L67" i="78"/>
  <c r="M67" i="78" s="1"/>
  <c r="E23" i="95"/>
  <c r="L53" i="78"/>
  <c r="M53" i="78" s="1"/>
  <c r="L80" i="78"/>
  <c r="M80" i="78" s="1"/>
  <c r="L66" i="78"/>
  <c r="M66" i="78" s="1"/>
  <c r="L52" i="78"/>
  <c r="M52" i="78" s="1"/>
  <c r="E22" i="95"/>
  <c r="O131" i="48"/>
  <c r="Q131" i="48" s="1"/>
  <c r="O129" i="48" l="1"/>
  <c r="Q129" i="48" s="1"/>
  <c r="G52" i="9"/>
  <c r="G54" i="1"/>
  <c r="M87" i="78"/>
  <c r="M73" i="78"/>
  <c r="M59" i="78"/>
  <c r="C126" i="93"/>
  <c r="C112" i="93"/>
  <c r="I27" i="93"/>
  <c r="B27" i="93"/>
  <c r="K51" i="44"/>
  <c r="D16" i="44"/>
  <c r="L34" i="4"/>
  <c r="L38" i="4" s="1"/>
  <c r="C18" i="19" l="1"/>
  <c r="C18" i="96"/>
  <c r="D20" i="44"/>
  <c r="F33" i="87" l="1"/>
  <c r="F35" i="87" s="1"/>
  <c r="D18" i="96"/>
  <c r="R34" i="4"/>
  <c r="R38" i="4" s="1"/>
  <c r="M92" i="78" l="1"/>
  <c r="I26" i="93"/>
  <c r="I25" i="93"/>
  <c r="J21" i="19" l="1"/>
  <c r="J32" i="19" s="1"/>
  <c r="G33" i="87"/>
  <c r="A124" i="93"/>
  <c r="A138" i="93" s="1"/>
  <c r="A123" i="93" l="1"/>
  <c r="A137" i="93" s="1"/>
  <c r="I37" i="93"/>
  <c r="I36" i="93"/>
  <c r="I24" i="93"/>
  <c r="I23" i="93"/>
  <c r="K29" i="19" l="1"/>
  <c r="K30" i="19"/>
  <c r="AH56" i="71" l="1"/>
  <c r="AG53" i="71"/>
  <c r="AG54" i="71" s="1"/>
  <c r="AG50" i="71"/>
  <c r="AG51" i="71" s="1"/>
  <c r="AG47" i="71"/>
  <c r="AG48" i="71" s="1"/>
  <c r="AG32" i="71"/>
  <c r="AG33" i="71" s="1"/>
  <c r="AG29" i="71"/>
  <c r="AG30" i="71" s="1"/>
  <c r="AG26" i="71"/>
  <c r="AG27" i="71" s="1"/>
  <c r="AG23" i="71"/>
  <c r="AG24" i="71" s="1"/>
  <c r="A122" i="93" l="1"/>
  <c r="A136" i="93" s="1"/>
  <c r="AA70" i="4" l="1"/>
  <c r="AA72" i="4" s="1"/>
  <c r="AA71" i="4" l="1"/>
  <c r="AA73" i="4" s="1"/>
  <c r="AA75" i="4" s="1"/>
  <c r="AA76" i="4" l="1"/>
  <c r="AA77" i="4" s="1"/>
  <c r="A121" i="93" l="1"/>
  <c r="A135" i="93" s="1"/>
  <c r="I35" i="93"/>
  <c r="I22" i="93"/>
  <c r="K28" i="19" l="1"/>
  <c r="A120" i="93" l="1"/>
  <c r="A134" i="93" s="1"/>
  <c r="L57" i="93" l="1"/>
  <c r="C33" i="93"/>
  <c r="I34" i="93"/>
  <c r="I21" i="93"/>
  <c r="K27" i="19"/>
  <c r="M40" i="41" l="1"/>
  <c r="M43" i="41" s="1"/>
  <c r="I104" i="93" l="1"/>
  <c r="I118" i="93"/>
  <c r="I132" i="93"/>
  <c r="E64" i="93" l="1"/>
  <c r="A119" i="93" l="1"/>
  <c r="A133" i="93" s="1"/>
  <c r="E104" i="93"/>
  <c r="R33" i="74"/>
  <c r="C19" i="93"/>
  <c r="I33" i="93"/>
  <c r="I20" i="93"/>
  <c r="J104" i="93" l="1"/>
  <c r="K104" i="93" s="1"/>
  <c r="K105" i="93" s="1"/>
  <c r="K106" i="93" s="1"/>
  <c r="K107" i="93" s="1"/>
  <c r="L107" i="93" s="1"/>
  <c r="E112" i="93"/>
  <c r="K26" i="19"/>
  <c r="K108" i="93" l="1"/>
  <c r="L108" i="93" s="1"/>
  <c r="L106" i="93"/>
  <c r="L112" i="93" s="1"/>
  <c r="K112" i="93"/>
  <c r="L105" i="93"/>
  <c r="L104" i="93"/>
  <c r="L89" i="41"/>
  <c r="K109" i="93" l="1"/>
  <c r="E63" i="93"/>
  <c r="E62" i="93"/>
  <c r="C140" i="93"/>
  <c r="E132" i="93"/>
  <c r="J132" i="93" s="1"/>
  <c r="E118" i="93"/>
  <c r="E126" i="93" s="1"/>
  <c r="B118" i="93"/>
  <c r="B132" i="93" s="1"/>
  <c r="A118" i="93"/>
  <c r="A132" i="93" s="1"/>
  <c r="L109" i="93" l="1"/>
  <c r="K110" i="93"/>
  <c r="K132" i="93"/>
  <c r="K133" i="93" s="1"/>
  <c r="K134" i="93" s="1"/>
  <c r="K135" i="93" s="1"/>
  <c r="J118" i="93"/>
  <c r="E140" i="93"/>
  <c r="L110" i="93" l="1"/>
  <c r="K111" i="93"/>
  <c r="L111" i="93" s="1"/>
  <c r="K136" i="93"/>
  <c r="L135" i="93"/>
  <c r="L134" i="93"/>
  <c r="L140" i="93" s="1"/>
  <c r="K140" i="93"/>
  <c r="L133" i="93"/>
  <c r="L132" i="93"/>
  <c r="K118" i="93"/>
  <c r="K119" i="93" s="1"/>
  <c r="K120" i="93" s="1"/>
  <c r="K121" i="93" s="1"/>
  <c r="L136" i="93" l="1"/>
  <c r="K137" i="93"/>
  <c r="L121" i="93"/>
  <c r="K122" i="93"/>
  <c r="L120" i="93"/>
  <c r="L126" i="93" s="1"/>
  <c r="K126" i="93"/>
  <c r="J143" i="93" s="1"/>
  <c r="L119" i="93"/>
  <c r="L118" i="93"/>
  <c r="B20" i="93"/>
  <c r="B21" i="93"/>
  <c r="B22" i="93"/>
  <c r="B23" i="93"/>
  <c r="B24" i="93"/>
  <c r="B25" i="93"/>
  <c r="B38" i="93" s="1"/>
  <c r="B26" i="93"/>
  <c r="I32" i="93"/>
  <c r="H32" i="93"/>
  <c r="H19" i="93"/>
  <c r="G32" i="93"/>
  <c r="F32" i="93"/>
  <c r="E32" i="93"/>
  <c r="A30" i="93"/>
  <c r="A32" i="93"/>
  <c r="I19" i="93"/>
  <c r="G19" i="93"/>
  <c r="F19" i="93"/>
  <c r="J27" i="93" s="1"/>
  <c r="E19" i="93"/>
  <c r="A17" i="93"/>
  <c r="B19" i="93"/>
  <c r="B32" i="93" s="1"/>
  <c r="D19" i="93"/>
  <c r="E12" i="93"/>
  <c r="A39" i="93"/>
  <c r="C38" i="93"/>
  <c r="A38" i="93"/>
  <c r="A37" i="93"/>
  <c r="C36" i="93"/>
  <c r="A36" i="93"/>
  <c r="A35" i="93"/>
  <c r="A34" i="93"/>
  <c r="A33" i="93"/>
  <c r="E11" i="93"/>
  <c r="E10" i="93"/>
  <c r="E9" i="93"/>
  <c r="E7" i="93"/>
  <c r="E6" i="93"/>
  <c r="L137" i="93" l="1"/>
  <c r="K138" i="93"/>
  <c r="L138" i="93" s="1"/>
  <c r="L122" i="93"/>
  <c r="K123" i="93"/>
  <c r="K27" i="93"/>
  <c r="L27" i="93" s="1"/>
  <c r="J26" i="93"/>
  <c r="K26" i="93" s="1"/>
  <c r="L26" i="93" s="1"/>
  <c r="J25" i="93"/>
  <c r="K25" i="93" s="1"/>
  <c r="L25" i="93" s="1"/>
  <c r="B39" i="93"/>
  <c r="J23" i="93"/>
  <c r="K23" i="93" s="1"/>
  <c r="L23" i="93" s="1"/>
  <c r="J36" i="93"/>
  <c r="K36" i="93" s="1"/>
  <c r="L36" i="93" s="1"/>
  <c r="M36" i="93" s="1"/>
  <c r="B35" i="93"/>
  <c r="J19" i="93"/>
  <c r="J33" i="93"/>
  <c r="B34" i="93"/>
  <c r="B36" i="93"/>
  <c r="B37" i="93"/>
  <c r="B33" i="93"/>
  <c r="D32" i="93"/>
  <c r="E55" i="93"/>
  <c r="K25" i="19"/>
  <c r="L123" i="93" l="1"/>
  <c r="K124" i="93"/>
  <c r="K53" i="93"/>
  <c r="L124" i="93" l="1"/>
  <c r="K125" i="93"/>
  <c r="L125" i="93" s="1"/>
  <c r="F42" i="87"/>
  <c r="L53" i="93"/>
  <c r="J18" i="44"/>
  <c r="J22" i="44" l="1"/>
  <c r="M53" i="93"/>
  <c r="K24" i="19" l="1"/>
  <c r="W33" i="74" l="1"/>
  <c r="V33" i="74"/>
  <c r="U33" i="74"/>
  <c r="T33" i="74"/>
  <c r="S33" i="74"/>
  <c r="K23" i="19"/>
  <c r="I89" i="41" l="1"/>
  <c r="A26" i="1" l="1"/>
  <c r="A43" i="1"/>
  <c r="A27" i="1" l="1"/>
  <c r="A28" i="1" s="1"/>
  <c r="A29" i="1" s="1"/>
  <c r="A30" i="1" s="1"/>
  <c r="A31" i="1" s="1"/>
  <c r="A32" i="1" s="1"/>
  <c r="A33" i="1" s="1"/>
  <c r="A34" i="1" s="1"/>
  <c r="A35" i="1" s="1"/>
  <c r="A36" i="1" s="1"/>
  <c r="A44" i="1"/>
  <c r="A45" i="1" s="1"/>
  <c r="A46" i="1" s="1"/>
  <c r="A47" i="1" s="1"/>
  <c r="A48" i="1" s="1"/>
  <c r="A49" i="1" s="1"/>
  <c r="A50" i="1" s="1"/>
  <c r="A51" i="1" s="1"/>
  <c r="A52" i="1" s="1"/>
  <c r="A53" i="1" s="1"/>
  <c r="F56" i="71"/>
  <c r="G16" i="44" l="1"/>
  <c r="C21" i="96" s="1"/>
  <c r="H16" i="44"/>
  <c r="C22" i="96" l="1"/>
  <c r="H22" i="96" s="1"/>
  <c r="G20" i="44"/>
  <c r="C21" i="19"/>
  <c r="H20" i="44"/>
  <c r="C22" i="19"/>
  <c r="G18" i="44"/>
  <c r="G22" i="44" s="1"/>
  <c r="A5" i="5" l="1"/>
  <c r="D9" i="71" l="1"/>
  <c r="H34" i="4" l="1"/>
  <c r="H38" i="4" s="1"/>
  <c r="I34" i="4"/>
  <c r="I38" i="4" s="1"/>
  <c r="J34" i="4"/>
  <c r="J38" i="4" s="1"/>
  <c r="K34" i="4"/>
  <c r="K38" i="4" s="1"/>
  <c r="M34" i="4"/>
  <c r="M38" i="4" s="1"/>
  <c r="N34" i="4"/>
  <c r="N38" i="4" s="1"/>
  <c r="O34" i="4"/>
  <c r="O38" i="4" s="1"/>
  <c r="P34" i="4"/>
  <c r="P38" i="4" s="1"/>
  <c r="Q34" i="4"/>
  <c r="Q38" i="4" s="1"/>
  <c r="G34" i="4"/>
  <c r="G38" i="4" s="1"/>
  <c r="Z70" i="4"/>
  <c r="Y70" i="4"/>
  <c r="X70" i="4"/>
  <c r="W70" i="4"/>
  <c r="V70" i="4"/>
  <c r="U70" i="4"/>
  <c r="S70" i="4"/>
  <c r="R70" i="4"/>
  <c r="Q70" i="4"/>
  <c r="P70" i="4"/>
  <c r="O70" i="4"/>
  <c r="N70" i="4"/>
  <c r="M70" i="4"/>
  <c r="L70" i="4"/>
  <c r="K70" i="4"/>
  <c r="J70" i="4"/>
  <c r="I70" i="4"/>
  <c r="H70" i="4"/>
  <c r="G70" i="4"/>
  <c r="F70" i="4"/>
  <c r="L72" i="4" l="1"/>
  <c r="S72" i="4"/>
  <c r="G71" i="4"/>
  <c r="X72" i="4"/>
  <c r="U71" i="4"/>
  <c r="S71" i="4"/>
  <c r="L71" i="4"/>
  <c r="G72" i="4"/>
  <c r="G73" i="4" l="1"/>
  <c r="G75" i="4" s="1"/>
  <c r="G76" i="4" s="1"/>
  <c r="G77" i="4" s="1"/>
  <c r="O72" i="4"/>
  <c r="N71" i="4"/>
  <c r="L73" i="4"/>
  <c r="L75" i="4" s="1"/>
  <c r="N72" i="4"/>
  <c r="U72" i="4"/>
  <c r="U73" i="4" s="1"/>
  <c r="U75" i="4" s="1"/>
  <c r="S73" i="4"/>
  <c r="S75" i="4" s="1"/>
  <c r="H71" i="4"/>
  <c r="H72" i="4"/>
  <c r="Q72" i="4"/>
  <c r="Q71" i="4"/>
  <c r="X71" i="4"/>
  <c r="X73" i="4" s="1"/>
  <c r="X75" i="4" s="1"/>
  <c r="P71" i="4"/>
  <c r="P72" i="4"/>
  <c r="J72" i="4"/>
  <c r="J71" i="4"/>
  <c r="K72" i="4"/>
  <c r="K71" i="4"/>
  <c r="M71" i="4"/>
  <c r="M72" i="4"/>
  <c r="Y71" i="4"/>
  <c r="Y72" i="4"/>
  <c r="R72" i="4"/>
  <c r="R71" i="4"/>
  <c r="V72" i="4"/>
  <c r="V71" i="4"/>
  <c r="I71" i="4"/>
  <c r="I72" i="4"/>
  <c r="O71" i="4"/>
  <c r="W71" i="4"/>
  <c r="W72" i="4"/>
  <c r="Z72" i="4"/>
  <c r="Z71" i="4"/>
  <c r="F72" i="4"/>
  <c r="F71" i="4"/>
  <c r="Y73" i="4" l="1"/>
  <c r="Y75" i="4" s="1"/>
  <c r="Y76" i="4" s="1"/>
  <c r="Y77" i="4" s="1"/>
  <c r="O73" i="4"/>
  <c r="O75" i="4" s="1"/>
  <c r="O76" i="4" s="1"/>
  <c r="O77" i="4" s="1"/>
  <c r="F73" i="4"/>
  <c r="F75" i="4" s="1"/>
  <c r="F76" i="4" s="1"/>
  <c r="F77" i="4" s="1"/>
  <c r="R73" i="4"/>
  <c r="R75" i="4" s="1"/>
  <c r="R76" i="4" s="1"/>
  <c r="R77" i="4" s="1"/>
  <c r="J73" i="4"/>
  <c r="J75" i="4" s="1"/>
  <c r="J76" i="4" s="1"/>
  <c r="J77" i="4" s="1"/>
  <c r="N73" i="4"/>
  <c r="N75" i="4" s="1"/>
  <c r="N76" i="4" s="1"/>
  <c r="N77" i="4" s="1"/>
  <c r="K73" i="4"/>
  <c r="K75" i="4" s="1"/>
  <c r="K76" i="4" s="1"/>
  <c r="K77" i="4" s="1"/>
  <c r="U76" i="4"/>
  <c r="U77" i="4" s="1"/>
  <c r="H73" i="4"/>
  <c r="H75" i="4" s="1"/>
  <c r="M73" i="4"/>
  <c r="M75" i="4" s="1"/>
  <c r="M76" i="4" s="1"/>
  <c r="Q73" i="4"/>
  <c r="Q75" i="4" s="1"/>
  <c r="L76" i="4"/>
  <c r="L77" i="4" s="1"/>
  <c r="Z73" i="4"/>
  <c r="Z75" i="4" s="1"/>
  <c r="Z76" i="4" s="1"/>
  <c r="V73" i="4"/>
  <c r="V75" i="4" s="1"/>
  <c r="V76" i="4" s="1"/>
  <c r="S76" i="4"/>
  <c r="S77" i="4" s="1"/>
  <c r="P73" i="4"/>
  <c r="P75" i="4" s="1"/>
  <c r="X76" i="4"/>
  <c r="X77" i="4" s="1"/>
  <c r="I73" i="4"/>
  <c r="I75" i="4" s="1"/>
  <c r="W73" i="4"/>
  <c r="W75" i="4" s="1"/>
  <c r="V77" i="4" l="1"/>
  <c r="H76" i="4"/>
  <c r="H77" i="4" s="1"/>
  <c r="Z77" i="4"/>
  <c r="Q76" i="4"/>
  <c r="Q77" i="4" s="1"/>
  <c r="M77" i="4"/>
  <c r="W76" i="4"/>
  <c r="W77" i="4" s="1"/>
  <c r="P76" i="4"/>
  <c r="P77" i="4" s="1"/>
  <c r="I76" i="4"/>
  <c r="I77" i="4" s="1"/>
  <c r="F34" i="4" l="1"/>
  <c r="F38" i="4" s="1"/>
  <c r="AB38" i="4" s="1"/>
  <c r="AB77" i="4"/>
  <c r="E16" i="44"/>
  <c r="F16" i="44"/>
  <c r="C20" i="96" s="1"/>
  <c r="I16" i="44"/>
  <c r="C23" i="96" s="1"/>
  <c r="H23" i="96" s="1"/>
  <c r="J16" i="44"/>
  <c r="C24" i="96" s="1"/>
  <c r="H24" i="96" s="1"/>
  <c r="C25" i="96"/>
  <c r="H25" i="96" s="1"/>
  <c r="C26" i="96"/>
  <c r="H26" i="96" s="1"/>
  <c r="C27" i="96"/>
  <c r="H27" i="96" s="1"/>
  <c r="C28" i="96"/>
  <c r="H28" i="96" s="1"/>
  <c r="C29" i="96"/>
  <c r="H29" i="96" s="1"/>
  <c r="C30" i="96"/>
  <c r="H30" i="96" s="1"/>
  <c r="E18" i="44"/>
  <c r="E22" i="44" s="1"/>
  <c r="C19" i="19" l="1"/>
  <c r="C19" i="96"/>
  <c r="O20" i="44"/>
  <c r="C29" i="19"/>
  <c r="F29" i="19" s="1"/>
  <c r="K20" i="44"/>
  <c r="C25" i="19"/>
  <c r="F25" i="19" s="1"/>
  <c r="N20" i="44"/>
  <c r="C28" i="19"/>
  <c r="F28" i="19" s="1"/>
  <c r="J20" i="44"/>
  <c r="C24" i="19"/>
  <c r="F24" i="19" s="1"/>
  <c r="F34" i="9"/>
  <c r="M20" i="44"/>
  <c r="C27" i="19"/>
  <c r="F27" i="19" s="1"/>
  <c r="I20" i="44"/>
  <c r="C23" i="19"/>
  <c r="F23" i="19" s="1"/>
  <c r="P20" i="44"/>
  <c r="C30" i="19"/>
  <c r="F30" i="19" s="1"/>
  <c r="L20" i="44"/>
  <c r="C26" i="19"/>
  <c r="F26" i="19" s="1"/>
  <c r="F20" i="44"/>
  <c r="C20" i="19"/>
  <c r="E20" i="44"/>
  <c r="M29" i="85"/>
  <c r="M30" i="85" s="1"/>
  <c r="M26" i="85"/>
  <c r="M27" i="85" s="1"/>
  <c r="M23" i="85"/>
  <c r="M24" i="85" s="1"/>
  <c r="R17" i="44" l="1"/>
  <c r="R19" i="44"/>
  <c r="S24" i="44"/>
  <c r="S37" i="44" s="1"/>
  <c r="T20" i="44"/>
  <c r="P24" i="44"/>
  <c r="Q24" i="44"/>
  <c r="Q37" i="44" s="1"/>
  <c r="T17" i="44"/>
  <c r="S19" i="44"/>
  <c r="Q17" i="44"/>
  <c r="Q19" i="44"/>
  <c r="S17" i="44"/>
  <c r="T28" i="44"/>
  <c r="F21" i="44" s="1"/>
  <c r="D19" i="96"/>
  <c r="D20" i="96" s="1"/>
  <c r="D21" i="96" s="1"/>
  <c r="D22" i="96" s="1"/>
  <c r="D23" i="96" s="1"/>
  <c r="D24" i="96" s="1"/>
  <c r="D25" i="96" s="1"/>
  <c r="D26" i="96" s="1"/>
  <c r="D27" i="96" s="1"/>
  <c r="D28" i="96" s="1"/>
  <c r="D29" i="96" s="1"/>
  <c r="D30" i="96" s="1"/>
  <c r="D31" i="96" s="1"/>
  <c r="D32" i="96" s="1"/>
  <c r="D33" i="96" s="1"/>
  <c r="C32" i="19"/>
  <c r="K29" i="85"/>
  <c r="K30" i="85" s="1"/>
  <c r="K26" i="85"/>
  <c r="K27" i="85" s="1"/>
  <c r="K23" i="85"/>
  <c r="K24" i="85" s="1"/>
  <c r="P21" i="44" l="1"/>
  <c r="R23" i="44"/>
  <c r="R21" i="44"/>
  <c r="R25" i="44"/>
  <c r="G21" i="44"/>
  <c r="N21" i="44"/>
  <c r="J21" i="44"/>
  <c r="L21" i="44"/>
  <c r="G23" i="44"/>
  <c r="E23" i="44"/>
  <c r="M21" i="44"/>
  <c r="J23" i="44"/>
  <c r="S23" i="44"/>
  <c r="Q23" i="44"/>
  <c r="S21" i="44"/>
  <c r="Q21" i="44"/>
  <c r="S25" i="44"/>
  <c r="S38" i="44" s="1"/>
  <c r="Q25" i="44"/>
  <c r="Q38" i="44" s="1"/>
  <c r="O21" i="44"/>
  <c r="K21" i="44"/>
  <c r="E21" i="44"/>
  <c r="I21" i="44"/>
  <c r="H21" i="44"/>
  <c r="O27" i="19"/>
  <c r="Q33" i="74" l="1"/>
  <c r="P33" i="74" l="1"/>
  <c r="G87" i="41"/>
  <c r="H87" i="41"/>
  <c r="I87" i="41"/>
  <c r="J87" i="41"/>
  <c r="K87" i="41"/>
  <c r="L87" i="41"/>
  <c r="M87" i="41"/>
  <c r="N87" i="41"/>
  <c r="O87" i="41"/>
  <c r="P87" i="41"/>
  <c r="Z87" i="41"/>
  <c r="I29" i="85"/>
  <c r="I30" i="85" s="1"/>
  <c r="I26" i="85"/>
  <c r="I27" i="85" s="1"/>
  <c r="H29" i="85"/>
  <c r="H30" i="85" s="1"/>
  <c r="H26" i="85"/>
  <c r="H27" i="85" s="1"/>
  <c r="F32" i="85"/>
  <c r="AS29" i="85"/>
  <c r="AS30" i="85" s="1"/>
  <c r="AQ29" i="85"/>
  <c r="AQ30" i="85" s="1"/>
  <c r="AO29" i="85"/>
  <c r="AO30" i="85" s="1"/>
  <c r="AM29" i="85"/>
  <c r="AM30" i="85" s="1"/>
  <c r="AK29" i="85"/>
  <c r="AK30" i="85" s="1"/>
  <c r="AI29" i="85"/>
  <c r="AI30" i="85" s="1"/>
  <c r="AG29" i="85"/>
  <c r="AG30" i="85" s="1"/>
  <c r="AE29" i="85"/>
  <c r="AE30" i="85" s="1"/>
  <c r="AC29" i="85"/>
  <c r="AC30" i="85" s="1"/>
  <c r="AA29" i="85"/>
  <c r="AA30" i="85" s="1"/>
  <c r="Y29" i="85"/>
  <c r="Y30" i="85" s="1"/>
  <c r="W29" i="85"/>
  <c r="W30" i="85" s="1"/>
  <c r="U29" i="85"/>
  <c r="U30" i="85" s="1"/>
  <c r="S29" i="85"/>
  <c r="S30" i="85" s="1"/>
  <c r="Q29" i="85"/>
  <c r="Q30" i="85" s="1"/>
  <c r="O29" i="85"/>
  <c r="O30" i="85" s="1"/>
  <c r="AS26" i="85"/>
  <c r="AS27" i="85" s="1"/>
  <c r="AQ26" i="85"/>
  <c r="AQ27" i="85" s="1"/>
  <c r="AO26" i="85"/>
  <c r="AO27" i="85" s="1"/>
  <c r="AM26" i="85"/>
  <c r="AM27" i="85" s="1"/>
  <c r="AK26" i="85"/>
  <c r="AK27" i="85" s="1"/>
  <c r="AI26" i="85"/>
  <c r="AI27" i="85" s="1"/>
  <c r="AG26" i="85"/>
  <c r="AG27" i="85" s="1"/>
  <c r="AE26" i="85"/>
  <c r="AE27" i="85" s="1"/>
  <c r="AC26" i="85"/>
  <c r="AC27" i="85" s="1"/>
  <c r="AA26" i="85"/>
  <c r="AA27" i="85" s="1"/>
  <c r="Y26" i="85"/>
  <c r="Y27" i="85" s="1"/>
  <c r="W26" i="85"/>
  <c r="W27" i="85" s="1"/>
  <c r="U26" i="85"/>
  <c r="U27" i="85" s="1"/>
  <c r="S26" i="85"/>
  <c r="S27" i="85" s="1"/>
  <c r="Q26" i="85"/>
  <c r="Q27" i="85" s="1"/>
  <c r="O26" i="85"/>
  <c r="O27" i="85" s="1"/>
  <c r="I51" i="71"/>
  <c r="I48" i="71"/>
  <c r="I32" i="71"/>
  <c r="I33" i="71" s="1"/>
  <c r="I29" i="71"/>
  <c r="I30" i="71" s="1"/>
  <c r="I26" i="71"/>
  <c r="I27" i="71" s="1"/>
  <c r="H51" i="71"/>
  <c r="H48" i="71"/>
  <c r="H33" i="71"/>
  <c r="H26" i="71"/>
  <c r="H27" i="71" s="1"/>
  <c r="F269" i="82"/>
  <c r="E59" i="4" s="1"/>
  <c r="H237" i="82"/>
  <c r="J237" i="82"/>
  <c r="K237" i="82"/>
  <c r="L237" i="82" s="1"/>
  <c r="O237" i="82" s="1"/>
  <c r="H238" i="82"/>
  <c r="J238" i="82"/>
  <c r="K238" i="82"/>
  <c r="L238" i="82" s="1"/>
  <c r="O238" i="82" s="1"/>
  <c r="H239" i="82"/>
  <c r="J239" i="82"/>
  <c r="K239" i="82"/>
  <c r="L239" i="82" s="1"/>
  <c r="O239" i="82" s="1"/>
  <c r="H240" i="82"/>
  <c r="J240" i="82"/>
  <c r="K240" i="82"/>
  <c r="H241" i="82"/>
  <c r="J241" i="82"/>
  <c r="K241" i="82"/>
  <c r="M241" i="82" s="1"/>
  <c r="H242" i="82"/>
  <c r="J242" i="82"/>
  <c r="K242" i="82"/>
  <c r="L242" i="82" s="1"/>
  <c r="O242" i="82" s="1"/>
  <c r="H243" i="82"/>
  <c r="J243" i="82"/>
  <c r="K243" i="82"/>
  <c r="L243" i="82" s="1"/>
  <c r="O243" i="82" s="1"/>
  <c r="H244" i="82"/>
  <c r="J244" i="82"/>
  <c r="K244" i="82"/>
  <c r="H245" i="82"/>
  <c r="J245" i="82"/>
  <c r="K245" i="82"/>
  <c r="L245" i="82" s="1"/>
  <c r="O245" i="82" s="1"/>
  <c r="H246" i="82"/>
  <c r="J246" i="82"/>
  <c r="K246" i="82"/>
  <c r="L246" i="82" s="1"/>
  <c r="O246" i="82" s="1"/>
  <c r="H247" i="82"/>
  <c r="J247" i="82"/>
  <c r="K247" i="82"/>
  <c r="L247" i="82" s="1"/>
  <c r="O247" i="82" s="1"/>
  <c r="H248" i="82"/>
  <c r="J248" i="82"/>
  <c r="K248" i="82"/>
  <c r="M248" i="82" s="1"/>
  <c r="H249" i="82"/>
  <c r="J249" i="82"/>
  <c r="K249" i="82"/>
  <c r="M249" i="82" s="1"/>
  <c r="H250" i="82"/>
  <c r="J250" i="82"/>
  <c r="K250" i="82"/>
  <c r="M250" i="82" s="1"/>
  <c r="H251" i="82"/>
  <c r="J251" i="82"/>
  <c r="K251" i="82"/>
  <c r="L251" i="82" s="1"/>
  <c r="O251" i="82" s="1"/>
  <c r="H252" i="82"/>
  <c r="J252" i="82"/>
  <c r="K252" i="82"/>
  <c r="M252" i="82" s="1"/>
  <c r="H253" i="82"/>
  <c r="J253" i="82"/>
  <c r="K253" i="82"/>
  <c r="H254" i="82"/>
  <c r="J254" i="82"/>
  <c r="K254" i="82"/>
  <c r="H255" i="82"/>
  <c r="J255" i="82"/>
  <c r="K255" i="82"/>
  <c r="L255" i="82" s="1"/>
  <c r="O255" i="82" s="1"/>
  <c r="H256" i="82"/>
  <c r="J256" i="82"/>
  <c r="K256" i="82"/>
  <c r="H257" i="82"/>
  <c r="J257" i="82"/>
  <c r="K257" i="82"/>
  <c r="M257" i="82" s="1"/>
  <c r="H258" i="82"/>
  <c r="J258" i="82"/>
  <c r="K258" i="82"/>
  <c r="M258" i="82" s="1"/>
  <c r="H259" i="82"/>
  <c r="J259" i="82"/>
  <c r="K259" i="82"/>
  <c r="L259" i="82" s="1"/>
  <c r="O259" i="82" s="1"/>
  <c r="H260" i="82"/>
  <c r="J260" i="82"/>
  <c r="K260" i="82"/>
  <c r="H261" i="82"/>
  <c r="J261" i="82"/>
  <c r="K261" i="82"/>
  <c r="M261" i="82" s="1"/>
  <c r="H262" i="82"/>
  <c r="J262" i="82"/>
  <c r="K262" i="82"/>
  <c r="M262" i="82" s="1"/>
  <c r="H263" i="82"/>
  <c r="J263" i="82"/>
  <c r="K263" i="82"/>
  <c r="L263" i="82" s="1"/>
  <c r="O263" i="82" s="1"/>
  <c r="H264" i="82"/>
  <c r="J264" i="82"/>
  <c r="K264" i="82"/>
  <c r="M264" i="82" s="1"/>
  <c r="H265" i="82"/>
  <c r="J265" i="82"/>
  <c r="K265" i="82"/>
  <c r="M265" i="82" s="1"/>
  <c r="H266" i="82"/>
  <c r="J266" i="82"/>
  <c r="K266" i="82"/>
  <c r="M266" i="82" s="1"/>
  <c r="H267" i="82"/>
  <c r="J267" i="82"/>
  <c r="K267" i="82"/>
  <c r="L267" i="82" s="1"/>
  <c r="O267" i="82" s="1"/>
  <c r="H268" i="82"/>
  <c r="J268" i="82"/>
  <c r="K268" i="82"/>
  <c r="N268" i="82" s="1"/>
  <c r="K236" i="82"/>
  <c r="N236" i="82" s="1"/>
  <c r="J236" i="82"/>
  <c r="H236" i="82"/>
  <c r="K235" i="82"/>
  <c r="M235" i="82" s="1"/>
  <c r="J235" i="82"/>
  <c r="H235" i="82"/>
  <c r="K234" i="82"/>
  <c r="L234" i="82" s="1"/>
  <c r="O234" i="82" s="1"/>
  <c r="J234" i="82"/>
  <c r="H234" i="82"/>
  <c r="K233" i="82"/>
  <c r="M233" i="82" s="1"/>
  <c r="J233" i="82"/>
  <c r="H233" i="82"/>
  <c r="K232" i="82"/>
  <c r="N232" i="82" s="1"/>
  <c r="J232" i="82"/>
  <c r="H232" i="82"/>
  <c r="K231" i="82"/>
  <c r="N231" i="82" s="1"/>
  <c r="J231" i="82"/>
  <c r="H231" i="82"/>
  <c r="K230" i="82"/>
  <c r="N230" i="82" s="1"/>
  <c r="J230" i="82"/>
  <c r="H230" i="82"/>
  <c r="K229" i="82"/>
  <c r="N229" i="82" s="1"/>
  <c r="J229" i="82"/>
  <c r="H229" i="82"/>
  <c r="K228" i="82"/>
  <c r="N228" i="82" s="1"/>
  <c r="J228" i="82"/>
  <c r="H228" i="82"/>
  <c r="H190" i="82"/>
  <c r="J190" i="82"/>
  <c r="K190" i="82"/>
  <c r="L190" i="82" s="1"/>
  <c r="O190" i="82" s="1"/>
  <c r="H191" i="82"/>
  <c r="J191" i="82"/>
  <c r="K191" i="82"/>
  <c r="L191" i="82" s="1"/>
  <c r="O191" i="82" s="1"/>
  <c r="H192" i="82"/>
  <c r="J192" i="82"/>
  <c r="K192" i="82"/>
  <c r="H193" i="82"/>
  <c r="J193" i="82"/>
  <c r="K193" i="82"/>
  <c r="N193" i="82" s="1"/>
  <c r="H194" i="82"/>
  <c r="J194" i="82"/>
  <c r="K194" i="82"/>
  <c r="M194" i="82" s="1"/>
  <c r="H195" i="82"/>
  <c r="J195" i="82"/>
  <c r="K195" i="82"/>
  <c r="N195" i="82" s="1"/>
  <c r="H196" i="82"/>
  <c r="J196" i="82"/>
  <c r="K196" i="82"/>
  <c r="M196" i="82" s="1"/>
  <c r="H197" i="82"/>
  <c r="J197" i="82"/>
  <c r="K197" i="82"/>
  <c r="M197" i="82" s="1"/>
  <c r="H198" i="82"/>
  <c r="J198" i="82"/>
  <c r="K198" i="82"/>
  <c r="L198" i="82" s="1"/>
  <c r="O198" i="82" s="1"/>
  <c r="H199" i="82"/>
  <c r="J199" i="82"/>
  <c r="K199" i="82"/>
  <c r="L199" i="82" s="1"/>
  <c r="O199" i="82" s="1"/>
  <c r="H200" i="82"/>
  <c r="J200" i="82"/>
  <c r="K200" i="82"/>
  <c r="M200" i="82" s="1"/>
  <c r="H201" i="82"/>
  <c r="J201" i="82"/>
  <c r="K201" i="82"/>
  <c r="M201" i="82" s="1"/>
  <c r="H202" i="82"/>
  <c r="J202" i="82"/>
  <c r="K202" i="82"/>
  <c r="M202" i="82" s="1"/>
  <c r="H203" i="82"/>
  <c r="J203" i="82"/>
  <c r="K203" i="82"/>
  <c r="H204" i="82"/>
  <c r="J204" i="82"/>
  <c r="K204" i="82"/>
  <c r="L204" i="82" s="1"/>
  <c r="O204" i="82" s="1"/>
  <c r="H205" i="82"/>
  <c r="J205" i="82"/>
  <c r="K205" i="82"/>
  <c r="L205" i="82" s="1"/>
  <c r="O205" i="82" s="1"/>
  <c r="H206" i="82"/>
  <c r="J206" i="82"/>
  <c r="K206" i="82"/>
  <c r="L206" i="82" s="1"/>
  <c r="O206" i="82" s="1"/>
  <c r="H207" i="82"/>
  <c r="J207" i="82"/>
  <c r="K207" i="82"/>
  <c r="L207" i="82" s="1"/>
  <c r="O207" i="82" s="1"/>
  <c r="H208" i="82"/>
  <c r="J208" i="82"/>
  <c r="K208" i="82"/>
  <c r="H209" i="82"/>
  <c r="J209" i="82"/>
  <c r="K209" i="82"/>
  <c r="N209" i="82" s="1"/>
  <c r="H210" i="82"/>
  <c r="J210" i="82"/>
  <c r="K210" i="82"/>
  <c r="M210" i="82" s="1"/>
  <c r="H211" i="82"/>
  <c r="J211" i="82"/>
  <c r="K211" i="82"/>
  <c r="N211" i="82" s="1"/>
  <c r="H212" i="82"/>
  <c r="J212" i="82"/>
  <c r="K212" i="82"/>
  <c r="N212" i="82" s="1"/>
  <c r="H213" i="82"/>
  <c r="J213" i="82"/>
  <c r="K213" i="82"/>
  <c r="L213" i="82" s="1"/>
  <c r="O213" i="82" s="1"/>
  <c r="H214" i="82"/>
  <c r="J214" i="82"/>
  <c r="K214" i="82"/>
  <c r="L214" i="82" s="1"/>
  <c r="O214" i="82" s="1"/>
  <c r="H215" i="82"/>
  <c r="J215" i="82"/>
  <c r="K215" i="82"/>
  <c r="L215" i="82" s="1"/>
  <c r="O215" i="82" s="1"/>
  <c r="H216" i="82"/>
  <c r="J216" i="82"/>
  <c r="K216" i="82"/>
  <c r="H217" i="82"/>
  <c r="J217" i="82"/>
  <c r="K217" i="82"/>
  <c r="L217" i="82" s="1"/>
  <c r="O217" i="82" s="1"/>
  <c r="H218" i="82"/>
  <c r="J218" i="82"/>
  <c r="K218" i="82"/>
  <c r="M218" i="82" s="1"/>
  <c r="H219" i="82"/>
  <c r="J219" i="82"/>
  <c r="K219" i="82"/>
  <c r="N219" i="82" s="1"/>
  <c r="H220" i="82"/>
  <c r="J220" i="82"/>
  <c r="K220" i="82"/>
  <c r="N220" i="82" s="1"/>
  <c r="H221" i="82"/>
  <c r="J221" i="82"/>
  <c r="K221" i="82"/>
  <c r="N221" i="82" s="1"/>
  <c r="H222" i="82"/>
  <c r="J222" i="82"/>
  <c r="K222" i="82"/>
  <c r="L222" i="82" s="1"/>
  <c r="O222" i="82" s="1"/>
  <c r="H223" i="82"/>
  <c r="J223" i="82"/>
  <c r="K223" i="82"/>
  <c r="L223" i="82" s="1"/>
  <c r="O223" i="82" s="1"/>
  <c r="H224" i="82"/>
  <c r="J224" i="82"/>
  <c r="K224" i="82"/>
  <c r="M224" i="82" s="1"/>
  <c r="H225" i="82"/>
  <c r="J225" i="82"/>
  <c r="K225" i="82"/>
  <c r="M225" i="82" s="1"/>
  <c r="H226" i="82"/>
  <c r="J226" i="82"/>
  <c r="K226" i="82"/>
  <c r="M226" i="82" s="1"/>
  <c r="K189" i="82"/>
  <c r="M189" i="82" s="1"/>
  <c r="J189" i="82"/>
  <c r="H189" i="82"/>
  <c r="K188" i="82"/>
  <c r="N188" i="82" s="1"/>
  <c r="J188" i="82"/>
  <c r="H188" i="82"/>
  <c r="K187" i="82"/>
  <c r="L187" i="82" s="1"/>
  <c r="O187" i="82" s="1"/>
  <c r="J187" i="82"/>
  <c r="H187" i="82"/>
  <c r="K186" i="82"/>
  <c r="J186" i="82"/>
  <c r="H186" i="82"/>
  <c r="K185" i="82"/>
  <c r="N185" i="82" s="1"/>
  <c r="J185" i="82"/>
  <c r="H185" i="82"/>
  <c r="K184" i="82"/>
  <c r="J184" i="82"/>
  <c r="H184" i="82"/>
  <c r="K183" i="82"/>
  <c r="N183" i="82" s="1"/>
  <c r="J183" i="82"/>
  <c r="H183" i="82"/>
  <c r="K182" i="82"/>
  <c r="N182" i="82" s="1"/>
  <c r="J182" i="82"/>
  <c r="H182" i="82"/>
  <c r="H165" i="82"/>
  <c r="J165" i="82"/>
  <c r="K165" i="82"/>
  <c r="L165" i="82" s="1"/>
  <c r="O165" i="82" s="1"/>
  <c r="H166" i="82"/>
  <c r="J166" i="82"/>
  <c r="K166" i="82"/>
  <c r="H167" i="82"/>
  <c r="J167" i="82"/>
  <c r="K167" i="82"/>
  <c r="L167" i="82" s="1"/>
  <c r="O167" i="82" s="1"/>
  <c r="H168" i="82"/>
  <c r="J168" i="82"/>
  <c r="K168" i="82"/>
  <c r="M168" i="82" s="1"/>
  <c r="H169" i="82"/>
  <c r="J169" i="82"/>
  <c r="K169" i="82"/>
  <c r="M169" i="82" s="1"/>
  <c r="H170" i="82"/>
  <c r="J170" i="82"/>
  <c r="K170" i="82"/>
  <c r="H171" i="82"/>
  <c r="J171" i="82"/>
  <c r="K171" i="82"/>
  <c r="L171" i="82" s="1"/>
  <c r="O171" i="82" s="1"/>
  <c r="H172" i="82"/>
  <c r="J172" i="82"/>
  <c r="K172" i="82"/>
  <c r="L172" i="82" s="1"/>
  <c r="O172" i="82" s="1"/>
  <c r="H173" i="82"/>
  <c r="J173" i="82"/>
  <c r="K173" i="82"/>
  <c r="L173" i="82" s="1"/>
  <c r="O173" i="82" s="1"/>
  <c r="H174" i="82"/>
  <c r="J174" i="82"/>
  <c r="K174" i="82"/>
  <c r="M174" i="82" s="1"/>
  <c r="H175" i="82"/>
  <c r="J175" i="82"/>
  <c r="K175" i="82"/>
  <c r="H176" i="82"/>
  <c r="J176" i="82"/>
  <c r="K176" i="82"/>
  <c r="H177" i="82"/>
  <c r="J177" i="82"/>
  <c r="K177" i="82"/>
  <c r="M177" i="82" s="1"/>
  <c r="H178" i="82"/>
  <c r="J178" i="82"/>
  <c r="K178" i="82"/>
  <c r="H179" i="82"/>
  <c r="J179" i="82"/>
  <c r="K179" i="82"/>
  <c r="N179" i="82" s="1"/>
  <c r="H180" i="82"/>
  <c r="J180" i="82"/>
  <c r="K180" i="82"/>
  <c r="L180" i="82" s="1"/>
  <c r="O180" i="82" s="1"/>
  <c r="K164" i="82"/>
  <c r="N164" i="82" s="1"/>
  <c r="J164" i="82"/>
  <c r="H164" i="82"/>
  <c r="K163" i="82"/>
  <c r="L163" i="82" s="1"/>
  <c r="O163" i="82" s="1"/>
  <c r="J163" i="82"/>
  <c r="H163" i="82"/>
  <c r="K162" i="82"/>
  <c r="M162" i="82" s="1"/>
  <c r="J162" i="82"/>
  <c r="H162" i="82"/>
  <c r="K161" i="82"/>
  <c r="J161" i="82"/>
  <c r="H161" i="82"/>
  <c r="K160" i="82"/>
  <c r="N160" i="82" s="1"/>
  <c r="J160" i="82"/>
  <c r="H160" i="82"/>
  <c r="K159" i="82"/>
  <c r="J159" i="82"/>
  <c r="H159" i="82"/>
  <c r="K157" i="82"/>
  <c r="N157" i="82" s="1"/>
  <c r="J157" i="82"/>
  <c r="H157" i="82"/>
  <c r="K156" i="82"/>
  <c r="L156" i="82" s="1"/>
  <c r="O156" i="82" s="1"/>
  <c r="J156" i="82"/>
  <c r="H156" i="82"/>
  <c r="K155" i="82"/>
  <c r="J155" i="82"/>
  <c r="H155" i="82"/>
  <c r="K154" i="82"/>
  <c r="L154" i="82" s="1"/>
  <c r="O154" i="82" s="1"/>
  <c r="J154" i="82"/>
  <c r="H154" i="82"/>
  <c r="K153" i="82"/>
  <c r="N153" i="82" s="1"/>
  <c r="J153" i="82"/>
  <c r="H153" i="82"/>
  <c r="K152" i="82"/>
  <c r="L152" i="82" s="1"/>
  <c r="O152" i="82" s="1"/>
  <c r="J152" i="82"/>
  <c r="H152" i="82"/>
  <c r="H123" i="82"/>
  <c r="J123" i="82"/>
  <c r="K123" i="82"/>
  <c r="H124" i="82"/>
  <c r="J124" i="82"/>
  <c r="K124" i="82"/>
  <c r="H125" i="82"/>
  <c r="J125" i="82"/>
  <c r="K125" i="82"/>
  <c r="L125" i="82" s="1"/>
  <c r="O125" i="82" s="1"/>
  <c r="H126" i="82"/>
  <c r="J126" i="82"/>
  <c r="K126" i="82"/>
  <c r="M126" i="82" s="1"/>
  <c r="H127" i="82"/>
  <c r="J127" i="82"/>
  <c r="K127" i="82"/>
  <c r="M127" i="82" s="1"/>
  <c r="H128" i="82"/>
  <c r="J128" i="82"/>
  <c r="K128" i="82"/>
  <c r="H129" i="82"/>
  <c r="J129" i="82"/>
  <c r="K129" i="82"/>
  <c r="L129" i="82" s="1"/>
  <c r="O129" i="82" s="1"/>
  <c r="H130" i="82"/>
  <c r="J130" i="82"/>
  <c r="K130" i="82"/>
  <c r="L130" i="82" s="1"/>
  <c r="O130" i="82" s="1"/>
  <c r="H131" i="82"/>
  <c r="J131" i="82"/>
  <c r="K131" i="82"/>
  <c r="M131" i="82" s="1"/>
  <c r="H132" i="82"/>
  <c r="J132" i="82"/>
  <c r="K132" i="82"/>
  <c r="L132" i="82" s="1"/>
  <c r="O132" i="82" s="1"/>
  <c r="H133" i="82"/>
  <c r="J133" i="82"/>
  <c r="K133" i="82"/>
  <c r="L133" i="82" s="1"/>
  <c r="O133" i="82" s="1"/>
  <c r="H134" i="82"/>
  <c r="J134" i="82"/>
  <c r="K134" i="82"/>
  <c r="L134" i="82" s="1"/>
  <c r="O134" i="82" s="1"/>
  <c r="H135" i="82"/>
  <c r="J135" i="82"/>
  <c r="K135" i="82"/>
  <c r="M135" i="82" s="1"/>
  <c r="H136" i="82"/>
  <c r="J136" i="82"/>
  <c r="K136" i="82"/>
  <c r="H137" i="82"/>
  <c r="J137" i="82"/>
  <c r="K137" i="82"/>
  <c r="M137" i="82" s="1"/>
  <c r="H138" i="82"/>
  <c r="J138" i="82"/>
  <c r="K138" i="82"/>
  <c r="H139" i="82"/>
  <c r="J139" i="82"/>
  <c r="K139" i="82"/>
  <c r="N139" i="82" s="1"/>
  <c r="H140" i="82"/>
  <c r="J140" i="82"/>
  <c r="K140" i="82"/>
  <c r="L140" i="82" s="1"/>
  <c r="O140" i="82" s="1"/>
  <c r="H141" i="82"/>
  <c r="J141" i="82"/>
  <c r="K141" i="82"/>
  <c r="H142" i="82"/>
  <c r="J142" i="82"/>
  <c r="K142" i="82"/>
  <c r="L142" i="82" s="1"/>
  <c r="O142" i="82" s="1"/>
  <c r="H143" i="82"/>
  <c r="J143" i="82"/>
  <c r="K143" i="82"/>
  <c r="M143" i="82" s="1"/>
  <c r="H144" i="82"/>
  <c r="J144" i="82"/>
  <c r="K144" i="82"/>
  <c r="H145" i="82"/>
  <c r="J145" i="82"/>
  <c r="K145" i="82"/>
  <c r="M145" i="82" s="1"/>
  <c r="H146" i="82"/>
  <c r="J146" i="82"/>
  <c r="K146" i="82"/>
  <c r="H147" i="82"/>
  <c r="J147" i="82"/>
  <c r="K147" i="82"/>
  <c r="N147" i="82" s="1"/>
  <c r="H148" i="82"/>
  <c r="J148" i="82"/>
  <c r="K148" i="82"/>
  <c r="L148" i="82" s="1"/>
  <c r="O148" i="82" s="1"/>
  <c r="H149" i="82"/>
  <c r="J149" i="82"/>
  <c r="K149" i="82"/>
  <c r="H150" i="82"/>
  <c r="J150" i="82"/>
  <c r="K150" i="82"/>
  <c r="L150" i="82" s="1"/>
  <c r="O150" i="82" s="1"/>
  <c r="K122" i="82"/>
  <c r="N122" i="82" s="1"/>
  <c r="J122" i="82"/>
  <c r="H122" i="82"/>
  <c r="K121" i="82"/>
  <c r="J121" i="82"/>
  <c r="H121" i="82"/>
  <c r="K120" i="82"/>
  <c r="M120" i="82" s="1"/>
  <c r="J120" i="82"/>
  <c r="H120" i="82"/>
  <c r="K119" i="82"/>
  <c r="N119" i="82" s="1"/>
  <c r="J119" i="82"/>
  <c r="H119" i="82"/>
  <c r="K118" i="82"/>
  <c r="M118" i="82" s="1"/>
  <c r="J118" i="82"/>
  <c r="H118" i="82"/>
  <c r="H60" i="82"/>
  <c r="J60" i="82"/>
  <c r="K60" i="82"/>
  <c r="M60" i="82" s="1"/>
  <c r="H61" i="82"/>
  <c r="J61" i="82"/>
  <c r="K61" i="82"/>
  <c r="L61" i="82" s="1"/>
  <c r="O61" i="82" s="1"/>
  <c r="H62" i="82"/>
  <c r="J62" i="82"/>
  <c r="K62" i="82"/>
  <c r="L62" i="82" s="1"/>
  <c r="O62" i="82" s="1"/>
  <c r="H63" i="82"/>
  <c r="J63" i="82"/>
  <c r="K63" i="82"/>
  <c r="N63" i="82" s="1"/>
  <c r="H64" i="82"/>
  <c r="J64" i="82"/>
  <c r="K64" i="82"/>
  <c r="M64" i="82" s="1"/>
  <c r="H65" i="82"/>
  <c r="J65" i="82"/>
  <c r="K65" i="82"/>
  <c r="N65" i="82" s="1"/>
  <c r="H66" i="82"/>
  <c r="J66" i="82"/>
  <c r="K66" i="82"/>
  <c r="H67" i="82"/>
  <c r="J67" i="82"/>
  <c r="K67" i="82"/>
  <c r="L67" i="82" s="1"/>
  <c r="O67" i="82" s="1"/>
  <c r="H68" i="82"/>
  <c r="J68" i="82"/>
  <c r="K68" i="82"/>
  <c r="M68" i="82" s="1"/>
  <c r="H69" i="82"/>
  <c r="J69" i="82"/>
  <c r="K69" i="82"/>
  <c r="H70" i="82"/>
  <c r="J70" i="82"/>
  <c r="K70" i="82"/>
  <c r="L70" i="82" s="1"/>
  <c r="O70" i="82" s="1"/>
  <c r="H71" i="82"/>
  <c r="J71" i="82"/>
  <c r="K71" i="82"/>
  <c r="M71" i="82" s="1"/>
  <c r="H72" i="82"/>
  <c r="J72" i="82"/>
  <c r="K72" i="82"/>
  <c r="M72" i="82" s="1"/>
  <c r="H73" i="82"/>
  <c r="J73" i="82"/>
  <c r="K73" i="82"/>
  <c r="M73" i="82" s="1"/>
  <c r="H74" i="82"/>
  <c r="J74" i="82"/>
  <c r="K74" i="82"/>
  <c r="L74" i="82" s="1"/>
  <c r="O74" i="82" s="1"/>
  <c r="H75" i="82"/>
  <c r="J75" i="82"/>
  <c r="K75" i="82"/>
  <c r="L75" i="82" s="1"/>
  <c r="O75" i="82" s="1"/>
  <c r="H76" i="82"/>
  <c r="J76" i="82"/>
  <c r="K76" i="82"/>
  <c r="H77" i="82"/>
  <c r="J77" i="82"/>
  <c r="K77" i="82"/>
  <c r="L77" i="82" s="1"/>
  <c r="O77" i="82" s="1"/>
  <c r="H78" i="82"/>
  <c r="J78" i="82"/>
  <c r="K78" i="82"/>
  <c r="L78" i="82" s="1"/>
  <c r="O78" i="82" s="1"/>
  <c r="H79" i="82"/>
  <c r="J79" i="82"/>
  <c r="K79" i="82"/>
  <c r="N79" i="82" s="1"/>
  <c r="H80" i="82"/>
  <c r="J80" i="82"/>
  <c r="K80" i="82"/>
  <c r="M80" i="82" s="1"/>
  <c r="H81" i="82"/>
  <c r="J81" i="82"/>
  <c r="K81" i="82"/>
  <c r="L81" i="82" s="1"/>
  <c r="O81" i="82" s="1"/>
  <c r="H82" i="82"/>
  <c r="J82" i="82"/>
  <c r="K82" i="82"/>
  <c r="L82" i="82" s="1"/>
  <c r="O82" i="82" s="1"/>
  <c r="H83" i="82"/>
  <c r="J83" i="82"/>
  <c r="K83" i="82"/>
  <c r="L83" i="82" s="1"/>
  <c r="O83" i="82" s="1"/>
  <c r="H84" i="82"/>
  <c r="J84" i="82"/>
  <c r="K84" i="82"/>
  <c r="M84" i="82" s="1"/>
  <c r="H85" i="82"/>
  <c r="J85" i="82"/>
  <c r="K85" i="82"/>
  <c r="L85" i="82" s="1"/>
  <c r="O85" i="82" s="1"/>
  <c r="H86" i="82"/>
  <c r="J86" i="82"/>
  <c r="K86" i="82"/>
  <c r="H87" i="82"/>
  <c r="J87" i="82"/>
  <c r="K87" i="82"/>
  <c r="N87" i="82" s="1"/>
  <c r="H88" i="82"/>
  <c r="J88" i="82"/>
  <c r="K88" i="82"/>
  <c r="M88" i="82" s="1"/>
  <c r="H89" i="82"/>
  <c r="J89" i="82"/>
  <c r="K89" i="82"/>
  <c r="M89" i="82" s="1"/>
  <c r="H90" i="82"/>
  <c r="J90" i="82"/>
  <c r="K90" i="82"/>
  <c r="L90" i="82" s="1"/>
  <c r="O90" i="82" s="1"/>
  <c r="H91" i="82"/>
  <c r="J91" i="82"/>
  <c r="K91" i="82"/>
  <c r="H92" i="82"/>
  <c r="J92" i="82"/>
  <c r="K92" i="82"/>
  <c r="M92" i="82" s="1"/>
  <c r="H93" i="82"/>
  <c r="J93" i="82"/>
  <c r="K93" i="82"/>
  <c r="L93" i="82" s="1"/>
  <c r="O93" i="82" s="1"/>
  <c r="H94" i="82"/>
  <c r="J94" i="82"/>
  <c r="K94" i="82"/>
  <c r="L94" i="82" s="1"/>
  <c r="O94" i="82" s="1"/>
  <c r="H95" i="82"/>
  <c r="J95" i="82"/>
  <c r="K95" i="82"/>
  <c r="N95" i="82" s="1"/>
  <c r="H96" i="82"/>
  <c r="J96" i="82"/>
  <c r="K96" i="82"/>
  <c r="M96" i="82" s="1"/>
  <c r="H97" i="82"/>
  <c r="J97" i="82"/>
  <c r="K97" i="82"/>
  <c r="H98" i="82"/>
  <c r="J98" i="82"/>
  <c r="K98" i="82"/>
  <c r="L98" i="82" s="1"/>
  <c r="O98" i="82" s="1"/>
  <c r="H99" i="82"/>
  <c r="J99" i="82"/>
  <c r="K99" i="82"/>
  <c r="L99" i="82" s="1"/>
  <c r="O99" i="82" s="1"/>
  <c r="H100" i="82"/>
  <c r="J100" i="82"/>
  <c r="K100" i="82"/>
  <c r="M100" i="82" s="1"/>
  <c r="H101" i="82"/>
  <c r="J101" i="82"/>
  <c r="K101" i="82"/>
  <c r="L101" i="82" s="1"/>
  <c r="O101" i="82" s="1"/>
  <c r="H102" i="82"/>
  <c r="J102" i="82"/>
  <c r="K102" i="82"/>
  <c r="H103" i="82"/>
  <c r="J103" i="82"/>
  <c r="K103" i="82"/>
  <c r="N103" i="82" s="1"/>
  <c r="H104" i="82"/>
  <c r="J104" i="82"/>
  <c r="K104" i="82"/>
  <c r="M104" i="82" s="1"/>
  <c r="H105" i="82"/>
  <c r="J105" i="82"/>
  <c r="K105" i="82"/>
  <c r="M105" i="82" s="1"/>
  <c r="H106" i="82"/>
  <c r="J106" i="82"/>
  <c r="K106" i="82"/>
  <c r="H107" i="82"/>
  <c r="J107" i="82"/>
  <c r="K107" i="82"/>
  <c r="L107" i="82" s="1"/>
  <c r="O107" i="82" s="1"/>
  <c r="H108" i="82"/>
  <c r="J108" i="82"/>
  <c r="K108" i="82"/>
  <c r="H109" i="82"/>
  <c r="J109" i="82"/>
  <c r="K109" i="82"/>
  <c r="L109" i="82" s="1"/>
  <c r="O109" i="82" s="1"/>
  <c r="H110" i="82"/>
  <c r="J110" i="82"/>
  <c r="K110" i="82"/>
  <c r="H111" i="82"/>
  <c r="J111" i="82"/>
  <c r="K111" i="82"/>
  <c r="N111" i="82" s="1"/>
  <c r="H112" i="82"/>
  <c r="J112" i="82"/>
  <c r="K112" i="82"/>
  <c r="M112" i="82" s="1"/>
  <c r="H113" i="82"/>
  <c r="J113" i="82"/>
  <c r="K113" i="82"/>
  <c r="N113" i="82" s="1"/>
  <c r="H114" i="82"/>
  <c r="J114" i="82"/>
  <c r="K114" i="82"/>
  <c r="L114" i="82" s="1"/>
  <c r="O114" i="82" s="1"/>
  <c r="H115" i="82"/>
  <c r="J115" i="82"/>
  <c r="K115" i="82"/>
  <c r="L115" i="82" s="1"/>
  <c r="O115" i="82" s="1"/>
  <c r="H116" i="82"/>
  <c r="J116" i="82"/>
  <c r="K116" i="82"/>
  <c r="M116" i="82" s="1"/>
  <c r="K59" i="82"/>
  <c r="N59" i="82" s="1"/>
  <c r="J59" i="82"/>
  <c r="H59" i="82"/>
  <c r="K58" i="82"/>
  <c r="M58" i="82" s="1"/>
  <c r="J58" i="82"/>
  <c r="H58" i="82"/>
  <c r="K57" i="82"/>
  <c r="L57" i="82" s="1"/>
  <c r="O57" i="82" s="1"/>
  <c r="J57" i="82"/>
  <c r="H57" i="82"/>
  <c r="K56" i="82"/>
  <c r="L56" i="82" s="1"/>
  <c r="O56" i="82" s="1"/>
  <c r="J56" i="82"/>
  <c r="H56" i="82"/>
  <c r="K55" i="82"/>
  <c r="N55" i="82" s="1"/>
  <c r="J55" i="82"/>
  <c r="H55" i="82"/>
  <c r="H20" i="82"/>
  <c r="J20" i="82"/>
  <c r="K20" i="82"/>
  <c r="H21" i="82"/>
  <c r="J21" i="82"/>
  <c r="K21" i="82"/>
  <c r="L21" i="82" s="1"/>
  <c r="O21" i="82" s="1"/>
  <c r="H22" i="82"/>
  <c r="J22" i="82"/>
  <c r="K22" i="82"/>
  <c r="H23" i="82"/>
  <c r="J23" i="82"/>
  <c r="K23" i="82"/>
  <c r="N23" i="82" s="1"/>
  <c r="H24" i="82"/>
  <c r="J24" i="82"/>
  <c r="K24" i="82"/>
  <c r="M24" i="82" s="1"/>
  <c r="H25" i="82"/>
  <c r="J25" i="82"/>
  <c r="K25" i="82"/>
  <c r="N25" i="82" s="1"/>
  <c r="H26" i="82"/>
  <c r="J26" i="82"/>
  <c r="K26" i="82"/>
  <c r="M26" i="82" s="1"/>
  <c r="H27" i="82"/>
  <c r="J27" i="82"/>
  <c r="K27" i="82"/>
  <c r="L27" i="82" s="1"/>
  <c r="O27" i="82" s="1"/>
  <c r="H28" i="82"/>
  <c r="J28" i="82"/>
  <c r="K28" i="82"/>
  <c r="M28" i="82" s="1"/>
  <c r="H29" i="82"/>
  <c r="J29" i="82"/>
  <c r="K29" i="82"/>
  <c r="L29" i="82" s="1"/>
  <c r="O29" i="82" s="1"/>
  <c r="H30" i="82"/>
  <c r="J30" i="82"/>
  <c r="K30" i="82"/>
  <c r="N30" i="82" s="1"/>
  <c r="H31" i="82"/>
  <c r="J31" i="82"/>
  <c r="K31" i="82"/>
  <c r="N31" i="82" s="1"/>
  <c r="H32" i="82"/>
  <c r="J32" i="82"/>
  <c r="K32" i="82"/>
  <c r="M32" i="82" s="1"/>
  <c r="H33" i="82"/>
  <c r="J33" i="82"/>
  <c r="K33" i="82"/>
  <c r="N33" i="82" s="1"/>
  <c r="H34" i="82"/>
  <c r="J34" i="82"/>
  <c r="K34" i="82"/>
  <c r="H35" i="82"/>
  <c r="J35" i="82"/>
  <c r="K35" i="82"/>
  <c r="M35" i="82" s="1"/>
  <c r="H36" i="82"/>
  <c r="J36" i="82"/>
  <c r="K36" i="82"/>
  <c r="M36" i="82" s="1"/>
  <c r="H37" i="82"/>
  <c r="J37" i="82"/>
  <c r="K37" i="82"/>
  <c r="H38" i="82"/>
  <c r="J38" i="82"/>
  <c r="K38" i="82"/>
  <c r="M38" i="82" s="1"/>
  <c r="H39" i="82"/>
  <c r="J39" i="82"/>
  <c r="K39" i="82"/>
  <c r="N39" i="82" s="1"/>
  <c r="H40" i="82"/>
  <c r="J40" i="82"/>
  <c r="K40" i="82"/>
  <c r="M40" i="82" s="1"/>
  <c r="H41" i="82"/>
  <c r="J41" i="82"/>
  <c r="K41" i="82"/>
  <c r="N41" i="82" s="1"/>
  <c r="H42" i="82"/>
  <c r="J42" i="82"/>
  <c r="K42" i="82"/>
  <c r="N42" i="82" s="1"/>
  <c r="H43" i="82"/>
  <c r="J43" i="82"/>
  <c r="K43" i="82"/>
  <c r="L43" i="82" s="1"/>
  <c r="O43" i="82" s="1"/>
  <c r="H44" i="82"/>
  <c r="J44" i="82"/>
  <c r="K44" i="82"/>
  <c r="M44" i="82" s="1"/>
  <c r="H45" i="82"/>
  <c r="J45" i="82"/>
  <c r="K45" i="82"/>
  <c r="H46" i="82"/>
  <c r="J46" i="82"/>
  <c r="K46" i="82"/>
  <c r="H47" i="82"/>
  <c r="J47" i="82"/>
  <c r="K47" i="82"/>
  <c r="H48" i="82"/>
  <c r="J48" i="82"/>
  <c r="K48" i="82"/>
  <c r="M48" i="82" s="1"/>
  <c r="H49" i="82"/>
  <c r="J49" i="82"/>
  <c r="K49" i="82"/>
  <c r="N49" i="82" s="1"/>
  <c r="H50" i="82"/>
  <c r="J50" i="82"/>
  <c r="K50" i="82"/>
  <c r="N50" i="82" s="1"/>
  <c r="H51" i="82"/>
  <c r="J51" i="82"/>
  <c r="K51" i="82"/>
  <c r="L51" i="82" s="1"/>
  <c r="O51" i="82" s="1"/>
  <c r="H52" i="82"/>
  <c r="J52" i="82"/>
  <c r="K52" i="82"/>
  <c r="M52" i="82" s="1"/>
  <c r="H53" i="82"/>
  <c r="J53" i="82"/>
  <c r="K53" i="82"/>
  <c r="L53" i="82" s="1"/>
  <c r="O53" i="82" s="1"/>
  <c r="K19" i="82"/>
  <c r="N19" i="82" s="1"/>
  <c r="J19" i="82"/>
  <c r="H19" i="82"/>
  <c r="K18" i="82"/>
  <c r="M18" i="82" s="1"/>
  <c r="J18" i="82"/>
  <c r="H18" i="82"/>
  <c r="K17" i="82"/>
  <c r="N17" i="82" s="1"/>
  <c r="J17" i="82"/>
  <c r="H17" i="82"/>
  <c r="K22" i="81"/>
  <c r="J22" i="81"/>
  <c r="H22" i="81"/>
  <c r="K21" i="81"/>
  <c r="N21" i="81" s="1"/>
  <c r="J21" i="81"/>
  <c r="H21" i="81"/>
  <c r="K20" i="81"/>
  <c r="M20" i="81" s="1"/>
  <c r="J20" i="81"/>
  <c r="H20" i="81"/>
  <c r="K19" i="81"/>
  <c r="N19" i="81" s="1"/>
  <c r="J19" i="81"/>
  <c r="H19" i="81"/>
  <c r="K18" i="81"/>
  <c r="N18" i="81" s="1"/>
  <c r="J18" i="81"/>
  <c r="H18" i="81"/>
  <c r="K17" i="81"/>
  <c r="N17" i="81" s="1"/>
  <c r="J17" i="81"/>
  <c r="H17" i="81"/>
  <c r="K16" i="81"/>
  <c r="N16" i="81" s="1"/>
  <c r="J16" i="81"/>
  <c r="H16" i="81"/>
  <c r="F24" i="81"/>
  <c r="P46" i="71" l="1"/>
  <c r="N46" i="71"/>
  <c r="L46" i="71"/>
  <c r="J46" i="71"/>
  <c r="AH46" i="71"/>
  <c r="AH25" i="71"/>
  <c r="L50" i="82"/>
  <c r="O50" i="82" s="1"/>
  <c r="L44" i="82"/>
  <c r="O44" i="82" s="1"/>
  <c r="N26" i="82"/>
  <c r="M268" i="82"/>
  <c r="N43" i="82"/>
  <c r="L131" i="82"/>
  <c r="O131" i="82" s="1"/>
  <c r="N252" i="82"/>
  <c r="L31" i="82"/>
  <c r="O31" i="82" s="1"/>
  <c r="M27" i="82"/>
  <c r="N38" i="82"/>
  <c r="L41" i="82"/>
  <c r="O41" i="82" s="1"/>
  <c r="L26" i="82"/>
  <c r="O26" i="82" s="1"/>
  <c r="M129" i="82"/>
  <c r="N133" i="82"/>
  <c r="L189" i="82"/>
  <c r="O189" i="82" s="1"/>
  <c r="M39" i="82"/>
  <c r="L49" i="82"/>
  <c r="O49" i="82" s="1"/>
  <c r="L42" i="82"/>
  <c r="O42" i="82" s="1"/>
  <c r="L39" i="82"/>
  <c r="O39" i="82" s="1"/>
  <c r="L25" i="82"/>
  <c r="O25" i="82" s="1"/>
  <c r="M114" i="82"/>
  <c r="L264" i="82"/>
  <c r="O264" i="82" s="1"/>
  <c r="L100" i="82"/>
  <c r="O100" i="82" s="1"/>
  <c r="M93" i="82"/>
  <c r="N78" i="82"/>
  <c r="N162" i="82"/>
  <c r="M267" i="82"/>
  <c r="N18" i="82"/>
  <c r="M187" i="82"/>
  <c r="N187" i="82"/>
  <c r="N99" i="82"/>
  <c r="M163" i="82"/>
  <c r="N213" i="82"/>
  <c r="N266" i="82"/>
  <c r="M23" i="82"/>
  <c r="M220" i="82"/>
  <c r="L258" i="82"/>
  <c r="O258" i="82" s="1"/>
  <c r="M98" i="82"/>
  <c r="N83" i="82"/>
  <c r="N238" i="82"/>
  <c r="N28" i="82"/>
  <c r="M90" i="82"/>
  <c r="L63" i="82"/>
  <c r="O63" i="82" s="1"/>
  <c r="L52" i="82"/>
  <c r="O52" i="82" s="1"/>
  <c r="M81" i="82"/>
  <c r="M74" i="82"/>
  <c r="N67" i="82"/>
  <c r="N173" i="82"/>
  <c r="M171" i="82"/>
  <c r="N217" i="82"/>
  <c r="L197" i="82"/>
  <c r="O197" i="82" s="1"/>
  <c r="N156" i="82"/>
  <c r="N245" i="82"/>
  <c r="L58" i="82"/>
  <c r="O58" i="82" s="1"/>
  <c r="L73" i="82"/>
  <c r="O73" i="82" s="1"/>
  <c r="M61" i="82"/>
  <c r="L196" i="82"/>
  <c r="O196" i="82" s="1"/>
  <c r="L220" i="82"/>
  <c r="O220" i="82" s="1"/>
  <c r="N197" i="82"/>
  <c r="L268" i="82"/>
  <c r="O268" i="82" s="1"/>
  <c r="N74" i="82"/>
  <c r="N171" i="82"/>
  <c r="M253" i="82"/>
  <c r="N253" i="82"/>
  <c r="L35" i="82"/>
  <c r="O35" i="82" s="1"/>
  <c r="N35" i="82"/>
  <c r="L176" i="82"/>
  <c r="O176" i="82" s="1"/>
  <c r="M176" i="82"/>
  <c r="N176" i="82"/>
  <c r="M150" i="82"/>
  <c r="N150" i="82"/>
  <c r="L159" i="82"/>
  <c r="O159" i="82" s="1"/>
  <c r="N159" i="82"/>
  <c r="M159" i="82"/>
  <c r="L262" i="82"/>
  <c r="O262" i="82" s="1"/>
  <c r="N262" i="82"/>
  <c r="L45" i="82"/>
  <c r="O45" i="82" s="1"/>
  <c r="M45" i="82"/>
  <c r="N89" i="82"/>
  <c r="N84" i="82"/>
  <c r="M142" i="82"/>
  <c r="N142" i="82"/>
  <c r="M132" i="82"/>
  <c r="N22" i="81"/>
  <c r="L22" i="81"/>
  <c r="O22" i="81" s="1"/>
  <c r="N144" i="82"/>
  <c r="L144" i="82"/>
  <c r="O144" i="82" s="1"/>
  <c r="M134" i="82"/>
  <c r="N134" i="82"/>
  <c r="M180" i="82"/>
  <c r="N214" i="82"/>
  <c r="L212" i="82"/>
  <c r="O212" i="82" s="1"/>
  <c r="M47" i="82"/>
  <c r="L47" i="82"/>
  <c r="O47" i="82" s="1"/>
  <c r="N121" i="82"/>
  <c r="L121" i="82"/>
  <c r="O121" i="82" s="1"/>
  <c r="N136" i="82"/>
  <c r="L136" i="82"/>
  <c r="O136" i="82" s="1"/>
  <c r="M242" i="82"/>
  <c r="N242" i="82"/>
  <c r="L146" i="82"/>
  <c r="O146" i="82" s="1"/>
  <c r="M146" i="82"/>
  <c r="N146" i="82"/>
  <c r="L46" i="82"/>
  <c r="O46" i="82" s="1"/>
  <c r="N46" i="82"/>
  <c r="N161" i="82"/>
  <c r="L161" i="82"/>
  <c r="O161" i="82" s="1"/>
  <c r="M53" i="82"/>
  <c r="N56" i="82"/>
  <c r="M56" i="82"/>
  <c r="L110" i="82"/>
  <c r="O110" i="82" s="1"/>
  <c r="N110" i="82"/>
  <c r="N62" i="82"/>
  <c r="L138" i="82"/>
  <c r="O138" i="82" s="1"/>
  <c r="M138" i="82"/>
  <c r="N138" i="82"/>
  <c r="M230" i="82"/>
  <c r="L253" i="82"/>
  <c r="O253" i="82" s="1"/>
  <c r="M251" i="82"/>
  <c r="N115" i="82"/>
  <c r="M111" i="82"/>
  <c r="N107" i="82"/>
  <c r="L95" i="82"/>
  <c r="O95" i="82" s="1"/>
  <c r="M77" i="82"/>
  <c r="L68" i="82"/>
  <c r="O68" i="82" s="1"/>
  <c r="N204" i="82"/>
  <c r="M50" i="82"/>
  <c r="N44" i="82"/>
  <c r="L111" i="82"/>
  <c r="O111" i="82" s="1"/>
  <c r="M109" i="82"/>
  <c r="N90" i="82"/>
  <c r="N81" i="82"/>
  <c r="M63" i="82"/>
  <c r="N145" i="82"/>
  <c r="N137" i="82"/>
  <c r="N129" i="82"/>
  <c r="L168" i="82"/>
  <c r="O168" i="82" s="1"/>
  <c r="M182" i="82"/>
  <c r="N206" i="82"/>
  <c r="M204" i="82"/>
  <c r="N190" i="82"/>
  <c r="N235" i="82"/>
  <c r="V25" i="85"/>
  <c r="AL25" i="85"/>
  <c r="M55" i="82"/>
  <c r="L201" i="82"/>
  <c r="O201" i="82" s="1"/>
  <c r="L229" i="82"/>
  <c r="O229" i="82" s="1"/>
  <c r="M245" i="82"/>
  <c r="L118" i="82"/>
  <c r="O118" i="82" s="1"/>
  <c r="N120" i="82"/>
  <c r="M152" i="82"/>
  <c r="L162" i="82"/>
  <c r="O162" i="82" s="1"/>
  <c r="L219" i="82"/>
  <c r="O219" i="82" s="1"/>
  <c r="M217" i="82"/>
  <c r="M57" i="82"/>
  <c r="N234" i="82"/>
  <c r="L22" i="82"/>
  <c r="O22" i="82" s="1"/>
  <c r="N22" i="82"/>
  <c r="L254" i="82"/>
  <c r="O254" i="82" s="1"/>
  <c r="M254" i="82"/>
  <c r="N254" i="82"/>
  <c r="M30" i="82"/>
  <c r="L30" i="82"/>
  <c r="O30" i="82" s="1"/>
  <c r="H269" i="82"/>
  <c r="L124" i="82"/>
  <c r="O124" i="82" s="1"/>
  <c r="M124" i="82"/>
  <c r="N170" i="82"/>
  <c r="L170" i="82"/>
  <c r="O170" i="82" s="1"/>
  <c r="M76" i="82"/>
  <c r="L76" i="82"/>
  <c r="O76" i="82" s="1"/>
  <c r="L69" i="82"/>
  <c r="O69" i="82" s="1"/>
  <c r="M69" i="82"/>
  <c r="L91" i="82"/>
  <c r="O91" i="82" s="1"/>
  <c r="N91" i="82"/>
  <c r="L16" i="81"/>
  <c r="O16" i="81" s="1"/>
  <c r="M16" i="81"/>
  <c r="L37" i="82"/>
  <c r="O37" i="82" s="1"/>
  <c r="M37" i="82"/>
  <c r="M20" i="82"/>
  <c r="L20" i="82"/>
  <c r="O20" i="82" s="1"/>
  <c r="M108" i="82"/>
  <c r="L108" i="82"/>
  <c r="O108" i="82" s="1"/>
  <c r="M149" i="82"/>
  <c r="L149" i="82"/>
  <c r="O149" i="82" s="1"/>
  <c r="N149" i="82"/>
  <c r="M141" i="82"/>
  <c r="L141" i="82"/>
  <c r="O141" i="82" s="1"/>
  <c r="N141" i="82"/>
  <c r="N175" i="82"/>
  <c r="L175" i="82"/>
  <c r="O175" i="82" s="1"/>
  <c r="M175" i="82"/>
  <c r="M166" i="82"/>
  <c r="L166" i="82"/>
  <c r="O166" i="82" s="1"/>
  <c r="M216" i="82"/>
  <c r="L216" i="82"/>
  <c r="O216" i="82" s="1"/>
  <c r="N233" i="82"/>
  <c r="L233" i="82"/>
  <c r="O233" i="82" s="1"/>
  <c r="L244" i="82"/>
  <c r="O244" i="82" s="1"/>
  <c r="N244" i="82"/>
  <c r="P25" i="85"/>
  <c r="N34" i="82"/>
  <c r="L34" i="82"/>
  <c r="O34" i="82" s="1"/>
  <c r="M34" i="82"/>
  <c r="L102" i="82"/>
  <c r="O102" i="82" s="1"/>
  <c r="N102" i="82"/>
  <c r="L86" i="82"/>
  <c r="O86" i="82" s="1"/>
  <c r="N86" i="82"/>
  <c r="L126" i="82"/>
  <c r="O126" i="82" s="1"/>
  <c r="N126" i="82"/>
  <c r="N155" i="82"/>
  <c r="L155" i="82"/>
  <c r="O155" i="82" s="1"/>
  <c r="M208" i="82"/>
  <c r="L208" i="82"/>
  <c r="O208" i="82" s="1"/>
  <c r="M192" i="82"/>
  <c r="L192" i="82"/>
  <c r="O192" i="82" s="1"/>
  <c r="L261" i="82"/>
  <c r="O261" i="82" s="1"/>
  <c r="N261" i="82"/>
  <c r="M256" i="82"/>
  <c r="L256" i="82"/>
  <c r="O256" i="82" s="1"/>
  <c r="M113" i="82"/>
  <c r="L113" i="82"/>
  <c r="O113" i="82" s="1"/>
  <c r="N71" i="82"/>
  <c r="L71" i="82"/>
  <c r="O71" i="82" s="1"/>
  <c r="N128" i="82"/>
  <c r="L128" i="82"/>
  <c r="O128" i="82" s="1"/>
  <c r="M123" i="82"/>
  <c r="L123" i="82"/>
  <c r="O123" i="82" s="1"/>
  <c r="N123" i="82"/>
  <c r="M155" i="82"/>
  <c r="N178" i="82"/>
  <c r="L178" i="82"/>
  <c r="O178" i="82" s="1"/>
  <c r="L221" i="82"/>
  <c r="O221" i="82" s="1"/>
  <c r="M221" i="82"/>
  <c r="M97" i="82"/>
  <c r="L97" i="82"/>
  <c r="O97" i="82" s="1"/>
  <c r="N97" i="82"/>
  <c r="L66" i="82"/>
  <c r="O66" i="82" s="1"/>
  <c r="M66" i="82"/>
  <c r="N66" i="82"/>
  <c r="L119" i="82"/>
  <c r="O119" i="82" s="1"/>
  <c r="M119" i="82"/>
  <c r="M186" i="82"/>
  <c r="L186" i="82"/>
  <c r="O186" i="82" s="1"/>
  <c r="N186" i="82"/>
  <c r="N203" i="82"/>
  <c r="L203" i="82"/>
  <c r="O203" i="82" s="1"/>
  <c r="J269" i="82"/>
  <c r="L260" i="82"/>
  <c r="O260" i="82" s="1"/>
  <c r="M260" i="82"/>
  <c r="N260" i="82"/>
  <c r="M240" i="82"/>
  <c r="L240" i="82"/>
  <c r="O240" i="82" s="1"/>
  <c r="N25" i="85"/>
  <c r="L25" i="85"/>
  <c r="N20" i="82"/>
  <c r="L106" i="82"/>
  <c r="O106" i="82" s="1"/>
  <c r="M106" i="82"/>
  <c r="M147" i="82"/>
  <c r="L147" i="82"/>
  <c r="O147" i="82" s="1"/>
  <c r="M139" i="82"/>
  <c r="L139" i="82"/>
  <c r="O139" i="82" s="1"/>
  <c r="N184" i="82"/>
  <c r="L184" i="82"/>
  <c r="O184" i="82" s="1"/>
  <c r="L225" i="82"/>
  <c r="O225" i="82" s="1"/>
  <c r="N225" i="82"/>
  <c r="M244" i="82"/>
  <c r="N51" i="82"/>
  <c r="N36" i="82"/>
  <c r="L116" i="82"/>
  <c r="O116" i="82" s="1"/>
  <c r="L105" i="82"/>
  <c r="O105" i="82" s="1"/>
  <c r="M103" i="82"/>
  <c r="N94" i="82"/>
  <c r="L89" i="82"/>
  <c r="O89" i="82" s="1"/>
  <c r="M87" i="82"/>
  <c r="L84" i="82"/>
  <c r="O84" i="82" s="1"/>
  <c r="N82" i="82"/>
  <c r="L79" i="82"/>
  <c r="O79" i="82" s="1"/>
  <c r="M65" i="82"/>
  <c r="N118" i="82"/>
  <c r="L145" i="82"/>
  <c r="O145" i="82" s="1"/>
  <c r="L137" i="82"/>
  <c r="O137" i="82" s="1"/>
  <c r="N130" i="82"/>
  <c r="M179" i="82"/>
  <c r="L174" i="82"/>
  <c r="O174" i="82" s="1"/>
  <c r="N172" i="82"/>
  <c r="M167" i="82"/>
  <c r="N222" i="82"/>
  <c r="L211" i="82"/>
  <c r="O211" i="82" s="1"/>
  <c r="M209" i="82"/>
  <c r="N205" i="82"/>
  <c r="L200" i="82"/>
  <c r="O200" i="82" s="1"/>
  <c r="L195" i="82"/>
  <c r="O195" i="82" s="1"/>
  <c r="M193" i="82"/>
  <c r="L252" i="82"/>
  <c r="O252" i="82" s="1"/>
  <c r="N250" i="82"/>
  <c r="L248" i="82"/>
  <c r="O248" i="82" s="1"/>
  <c r="M246" i="82"/>
  <c r="N237" i="82"/>
  <c r="T25" i="85"/>
  <c r="M51" i="82"/>
  <c r="L36" i="82"/>
  <c r="O36" i="82" s="1"/>
  <c r="M29" i="82"/>
  <c r="L103" i="82"/>
  <c r="O103" i="82" s="1"/>
  <c r="M101" i="82"/>
  <c r="L92" i="82"/>
  <c r="O92" i="82" s="1"/>
  <c r="L87" i="82"/>
  <c r="O87" i="82" s="1"/>
  <c r="M85" i="82"/>
  <c r="M82" i="82"/>
  <c r="N75" i="82"/>
  <c r="N70" i="82"/>
  <c r="L65" i="82"/>
  <c r="O65" i="82" s="1"/>
  <c r="M130" i="82"/>
  <c r="N125" i="82"/>
  <c r="L179" i="82"/>
  <c r="O179" i="82" s="1"/>
  <c r="M172" i="82"/>
  <c r="N165" i="82"/>
  <c r="L224" i="82"/>
  <c r="O224" i="82" s="1"/>
  <c r="L209" i="82"/>
  <c r="O209" i="82" s="1"/>
  <c r="M205" i="82"/>
  <c r="L193" i="82"/>
  <c r="O193" i="82" s="1"/>
  <c r="L232" i="82"/>
  <c r="O232" i="82" s="1"/>
  <c r="L250" i="82"/>
  <c r="O250" i="82" s="1"/>
  <c r="M243" i="82"/>
  <c r="M237" i="82"/>
  <c r="N47" i="82"/>
  <c r="N73" i="82"/>
  <c r="N168" i="82"/>
  <c r="N201" i="82"/>
  <c r="N196" i="82"/>
  <c r="N20" i="81"/>
  <c r="M22" i="81"/>
  <c r="N52" i="82"/>
  <c r="M42" i="82"/>
  <c r="N27" i="82"/>
  <c r="N58" i="82"/>
  <c r="M95" i="82"/>
  <c r="N131" i="82"/>
  <c r="N152" i="82"/>
  <c r="M156" i="82"/>
  <c r="N180" i="82"/>
  <c r="M185" i="82"/>
  <c r="M212" i="82"/>
  <c r="M234" i="82"/>
  <c r="N258" i="82"/>
  <c r="M43" i="82"/>
  <c r="L38" i="82"/>
  <c r="O38" i="82" s="1"/>
  <c r="L33" i="82"/>
  <c r="O33" i="82" s="1"/>
  <c r="M31" i="82"/>
  <c r="L28" i="82"/>
  <c r="O28" i="82" s="1"/>
  <c r="L23" i="82"/>
  <c r="O23" i="82" s="1"/>
  <c r="M21" i="82"/>
  <c r="N105" i="82"/>
  <c r="M79" i="82"/>
  <c r="L60" i="82"/>
  <c r="O60" i="82" s="1"/>
  <c r="M148" i="82"/>
  <c r="M140" i="82"/>
  <c r="N163" i="82"/>
  <c r="N189" i="82"/>
  <c r="M213" i="82"/>
  <c r="N198" i="82"/>
  <c r="L266" i="82"/>
  <c r="O266" i="82" s="1"/>
  <c r="M259" i="82"/>
  <c r="N246" i="82"/>
  <c r="J25" i="85"/>
  <c r="X25" i="85"/>
  <c r="AN25" i="85"/>
  <c r="AJ25" i="85"/>
  <c r="AF25" i="85"/>
  <c r="Z25" i="85"/>
  <c r="AP25" i="85"/>
  <c r="AB25" i="85"/>
  <c r="AR25" i="85"/>
  <c r="AD25" i="85"/>
  <c r="AT25" i="85"/>
  <c r="R25" i="85"/>
  <c r="AH25" i="85"/>
  <c r="H30" i="71"/>
  <c r="N25" i="71" s="1"/>
  <c r="N267" i="82"/>
  <c r="L265" i="82"/>
  <c r="O265" i="82" s="1"/>
  <c r="N259" i="82"/>
  <c r="L257" i="82"/>
  <c r="O257" i="82" s="1"/>
  <c r="N251" i="82"/>
  <c r="L249" i="82"/>
  <c r="O249" i="82" s="1"/>
  <c r="N243" i="82"/>
  <c r="L241" i="82"/>
  <c r="O241" i="82" s="1"/>
  <c r="N263" i="82"/>
  <c r="N255" i="82"/>
  <c r="N247" i="82"/>
  <c r="N239" i="82"/>
  <c r="M238" i="82"/>
  <c r="N264" i="82"/>
  <c r="M263" i="82"/>
  <c r="N256" i="82"/>
  <c r="M255" i="82"/>
  <c r="N248" i="82"/>
  <c r="M247" i="82"/>
  <c r="N240" i="82"/>
  <c r="M239" i="82"/>
  <c r="N265" i="82"/>
  <c r="N257" i="82"/>
  <c r="N249" i="82"/>
  <c r="N241" i="82"/>
  <c r="L231" i="82"/>
  <c r="O231" i="82" s="1"/>
  <c r="M232" i="82"/>
  <c r="L230" i="82"/>
  <c r="O230" i="82" s="1"/>
  <c r="M231" i="82"/>
  <c r="L228" i="82"/>
  <c r="O228" i="82" s="1"/>
  <c r="M229" i="82"/>
  <c r="L236" i="82"/>
  <c r="O236" i="82" s="1"/>
  <c r="M228" i="82"/>
  <c r="L235" i="82"/>
  <c r="O235" i="82" s="1"/>
  <c r="M236" i="82"/>
  <c r="L226" i="82"/>
  <c r="O226" i="82" s="1"/>
  <c r="M219" i="82"/>
  <c r="L218" i="82"/>
  <c r="O218" i="82" s="1"/>
  <c r="M211" i="82"/>
  <c r="L210" i="82"/>
  <c r="O210" i="82" s="1"/>
  <c r="M203" i="82"/>
  <c r="L202" i="82"/>
  <c r="O202" i="82" s="1"/>
  <c r="M195" i="82"/>
  <c r="L194" i="82"/>
  <c r="O194" i="82" s="1"/>
  <c r="N223" i="82"/>
  <c r="M222" i="82"/>
  <c r="N215" i="82"/>
  <c r="M214" i="82"/>
  <c r="N207" i="82"/>
  <c r="M206" i="82"/>
  <c r="N199" i="82"/>
  <c r="M198" i="82"/>
  <c r="N191" i="82"/>
  <c r="M190" i="82"/>
  <c r="N224" i="82"/>
  <c r="M223" i="82"/>
  <c r="N216" i="82"/>
  <c r="M215" i="82"/>
  <c r="N208" i="82"/>
  <c r="M207" i="82"/>
  <c r="N200" i="82"/>
  <c r="M199" i="82"/>
  <c r="N192" i="82"/>
  <c r="M191" i="82"/>
  <c r="N226" i="82"/>
  <c r="N218" i="82"/>
  <c r="N210" i="82"/>
  <c r="N202" i="82"/>
  <c r="N194" i="82"/>
  <c r="L185" i="82"/>
  <c r="O185" i="82" s="1"/>
  <c r="L183" i="82"/>
  <c r="O183" i="82" s="1"/>
  <c r="M184" i="82"/>
  <c r="L182" i="82"/>
  <c r="O182" i="82" s="1"/>
  <c r="M183" i="82"/>
  <c r="L188" i="82"/>
  <c r="O188" i="82" s="1"/>
  <c r="M188" i="82"/>
  <c r="M178" i="82"/>
  <c r="L177" i="82"/>
  <c r="O177" i="82" s="1"/>
  <c r="M170" i="82"/>
  <c r="L169" i="82"/>
  <c r="O169" i="82" s="1"/>
  <c r="N174" i="82"/>
  <c r="M173" i="82"/>
  <c r="N166" i="82"/>
  <c r="M165" i="82"/>
  <c r="N167" i="82"/>
  <c r="N177" i="82"/>
  <c r="N169" i="82"/>
  <c r="L160" i="82"/>
  <c r="O160" i="82" s="1"/>
  <c r="M161" i="82"/>
  <c r="M160" i="82"/>
  <c r="L164" i="82"/>
  <c r="O164" i="82" s="1"/>
  <c r="M164" i="82"/>
  <c r="L153" i="82"/>
  <c r="O153" i="82" s="1"/>
  <c r="M154" i="82"/>
  <c r="M153" i="82"/>
  <c r="N154" i="82"/>
  <c r="L157" i="82"/>
  <c r="O157" i="82" s="1"/>
  <c r="M157" i="82"/>
  <c r="M144" i="82"/>
  <c r="L143" i="82"/>
  <c r="O143" i="82" s="1"/>
  <c r="M136" i="82"/>
  <c r="L135" i="82"/>
  <c r="O135" i="82" s="1"/>
  <c r="M128" i="82"/>
  <c r="L127" i="82"/>
  <c r="O127" i="82" s="1"/>
  <c r="N148" i="82"/>
  <c r="N140" i="82"/>
  <c r="N132" i="82"/>
  <c r="N124" i="82"/>
  <c r="M133" i="82"/>
  <c r="M125" i="82"/>
  <c r="N143" i="82"/>
  <c r="N135" i="82"/>
  <c r="N127" i="82"/>
  <c r="L122" i="82"/>
  <c r="O122" i="82" s="1"/>
  <c r="M122" i="82"/>
  <c r="L120" i="82"/>
  <c r="O120" i="82" s="1"/>
  <c r="M121" i="82"/>
  <c r="N114" i="82"/>
  <c r="L112" i="82"/>
  <c r="O112" i="82" s="1"/>
  <c r="N106" i="82"/>
  <c r="L104" i="82"/>
  <c r="O104" i="82" s="1"/>
  <c r="N98" i="82"/>
  <c r="L96" i="82"/>
  <c r="O96" i="82" s="1"/>
  <c r="L88" i="82"/>
  <c r="O88" i="82" s="1"/>
  <c r="L80" i="82"/>
  <c r="O80" i="82" s="1"/>
  <c r="L72" i="82"/>
  <c r="O72" i="82" s="1"/>
  <c r="L64" i="82"/>
  <c r="O64" i="82" s="1"/>
  <c r="N116" i="82"/>
  <c r="M115" i="82"/>
  <c r="N108" i="82"/>
  <c r="M107" i="82"/>
  <c r="N100" i="82"/>
  <c r="M99" i="82"/>
  <c r="N92" i="82"/>
  <c r="M91" i="82"/>
  <c r="M83" i="82"/>
  <c r="N76" i="82"/>
  <c r="M75" i="82"/>
  <c r="N68" i="82"/>
  <c r="M67" i="82"/>
  <c r="N60" i="82"/>
  <c r="N109" i="82"/>
  <c r="N101" i="82"/>
  <c r="N93" i="82"/>
  <c r="N85" i="82"/>
  <c r="N77" i="82"/>
  <c r="N69" i="82"/>
  <c r="N61" i="82"/>
  <c r="M110" i="82"/>
  <c r="M102" i="82"/>
  <c r="M94" i="82"/>
  <c r="M86" i="82"/>
  <c r="M78" i="82"/>
  <c r="M70" i="82"/>
  <c r="M62" i="82"/>
  <c r="N112" i="82"/>
  <c r="N104" i="82"/>
  <c r="N96" i="82"/>
  <c r="N88" i="82"/>
  <c r="N80" i="82"/>
  <c r="N72" i="82"/>
  <c r="N64" i="82"/>
  <c r="L55" i="82"/>
  <c r="O55" i="82" s="1"/>
  <c r="N57" i="82"/>
  <c r="L59" i="82"/>
  <c r="O59" i="82" s="1"/>
  <c r="M59" i="82"/>
  <c r="M49" i="82"/>
  <c r="L48" i="82"/>
  <c r="O48" i="82" s="1"/>
  <c r="M41" i="82"/>
  <c r="L40" i="82"/>
  <c r="O40" i="82" s="1"/>
  <c r="M33" i="82"/>
  <c r="L32" i="82"/>
  <c r="O32" i="82" s="1"/>
  <c r="M25" i="82"/>
  <c r="L24" i="82"/>
  <c r="O24" i="82" s="1"/>
  <c r="N53" i="82"/>
  <c r="N45" i="82"/>
  <c r="N37" i="82"/>
  <c r="N29" i="82"/>
  <c r="N21" i="82"/>
  <c r="M46" i="82"/>
  <c r="M22" i="82"/>
  <c r="N48" i="82"/>
  <c r="N40" i="82"/>
  <c r="N32" i="82"/>
  <c r="N24" i="82"/>
  <c r="L19" i="82"/>
  <c r="O19" i="82" s="1"/>
  <c r="M19" i="82"/>
  <c r="L18" i="82"/>
  <c r="O18" i="82" s="1"/>
  <c r="L17" i="82"/>
  <c r="M17" i="82"/>
  <c r="L21" i="81"/>
  <c r="O21" i="81" s="1"/>
  <c r="M21" i="81"/>
  <c r="L20" i="81"/>
  <c r="O20" i="81" s="1"/>
  <c r="L19" i="81"/>
  <c r="O19" i="81" s="1"/>
  <c r="M19" i="81"/>
  <c r="L18" i="81"/>
  <c r="O18" i="81" s="1"/>
  <c r="M18" i="81"/>
  <c r="J24" i="81"/>
  <c r="J25" i="81" s="1"/>
  <c r="H24" i="81"/>
  <c r="H25" i="81" s="1"/>
  <c r="L17" i="81"/>
  <c r="O17" i="81" s="1"/>
  <c r="M17" i="81"/>
  <c r="P25" i="71" l="1"/>
  <c r="L25" i="71"/>
  <c r="J25" i="71"/>
  <c r="C24" i="93"/>
  <c r="K33" i="93"/>
  <c r="L33" i="93" s="1"/>
  <c r="M33" i="93" s="1"/>
  <c r="J20" i="93"/>
  <c r="K20" i="93" s="1"/>
  <c r="L20" i="93" s="1"/>
  <c r="O17" i="82"/>
  <c r="O269" i="82" s="1"/>
  <c r="L269" i="82"/>
  <c r="L24" i="81"/>
  <c r="L25" i="81" s="1"/>
  <c r="O24" i="81"/>
  <c r="O25" i="81" s="1"/>
  <c r="E46" i="4"/>
  <c r="C55" i="4"/>
  <c r="J26" i="81"/>
  <c r="J27" i="81" s="1"/>
  <c r="J29" i="81" s="1"/>
  <c r="J30" i="81" s="1"/>
  <c r="J31" i="81" s="1"/>
  <c r="H26" i="81"/>
  <c r="H27" i="81" s="1"/>
  <c r="H29" i="81" s="1"/>
  <c r="L26" i="81" l="1"/>
  <c r="L27" i="81" s="1"/>
  <c r="L29" i="81" s="1"/>
  <c r="C37" i="93"/>
  <c r="J37" i="93" s="1"/>
  <c r="K37" i="93" s="1"/>
  <c r="L37" i="93" s="1"/>
  <c r="M37" i="93" s="1"/>
  <c r="J24" i="93"/>
  <c r="K24" i="93" s="1"/>
  <c r="L24" i="93" s="1"/>
  <c r="C35" i="93"/>
  <c r="J35" i="93" s="1"/>
  <c r="K35" i="93" s="1"/>
  <c r="L35" i="93" s="1"/>
  <c r="M35" i="93" s="1"/>
  <c r="J22" i="93"/>
  <c r="K22" i="93" s="1"/>
  <c r="L22" i="93" s="1"/>
  <c r="C34" i="93"/>
  <c r="J34" i="93" s="1"/>
  <c r="K34" i="93" s="1"/>
  <c r="L34" i="93" s="1"/>
  <c r="M34" i="93" s="1"/>
  <c r="J21" i="93"/>
  <c r="K21" i="93" s="1"/>
  <c r="L21" i="93" s="1"/>
  <c r="O26" i="81"/>
  <c r="O27" i="81" s="1"/>
  <c r="O29" i="81" s="1"/>
  <c r="O30" i="81" s="1"/>
  <c r="O31" i="81" s="1"/>
  <c r="E56" i="4"/>
  <c r="H30" i="81"/>
  <c r="H31" i="81" s="1"/>
  <c r="L30" i="81"/>
  <c r="L31" i="81" s="1"/>
  <c r="M26" i="93" l="1"/>
  <c r="M27" i="93"/>
  <c r="M25" i="93"/>
  <c r="AA47" i="4"/>
  <c r="AA56" i="4" s="1"/>
  <c r="M24" i="93"/>
  <c r="O18" i="44"/>
  <c r="O22" i="44" s="1"/>
  <c r="M23" i="93"/>
  <c r="N18" i="44"/>
  <c r="N22" i="44" s="1"/>
  <c r="M18" i="44"/>
  <c r="M22" i="44" s="1"/>
  <c r="M23" i="44" s="1"/>
  <c r="L18" i="44"/>
  <c r="L22" i="44" s="1"/>
  <c r="K18" i="44"/>
  <c r="H18" i="44"/>
  <c r="H22" i="44" s="1"/>
  <c r="F18" i="44"/>
  <c r="F22" i="44" s="1"/>
  <c r="Z47" i="4"/>
  <c r="Z56" i="4" s="1"/>
  <c r="N47" i="4"/>
  <c r="N56" i="4" s="1"/>
  <c r="W47" i="4"/>
  <c r="W56" i="4" s="1"/>
  <c r="U47" i="4"/>
  <c r="U56" i="4" s="1"/>
  <c r="G47" i="4"/>
  <c r="G56" i="4" s="1"/>
  <c r="O47" i="4"/>
  <c r="O56" i="4" s="1"/>
  <c r="X47" i="4"/>
  <c r="X56" i="4" s="1"/>
  <c r="H47" i="4"/>
  <c r="H56" i="4" s="1"/>
  <c r="P47" i="4"/>
  <c r="P56" i="4" s="1"/>
  <c r="Y47" i="4"/>
  <c r="Y56" i="4" s="1"/>
  <c r="K47" i="4"/>
  <c r="K56" i="4" s="1"/>
  <c r="I47" i="4"/>
  <c r="I56" i="4" s="1"/>
  <c r="Q47" i="4"/>
  <c r="Q56" i="4" s="1"/>
  <c r="J47" i="4"/>
  <c r="J56" i="4" s="1"/>
  <c r="R47" i="4"/>
  <c r="R56" i="4" s="1"/>
  <c r="L47" i="4"/>
  <c r="L56" i="4" s="1"/>
  <c r="M47" i="4"/>
  <c r="M56" i="4" s="1"/>
  <c r="V47" i="4"/>
  <c r="V56" i="4" s="1"/>
  <c r="S47" i="4"/>
  <c r="S56" i="4" s="1"/>
  <c r="F47" i="4"/>
  <c r="F56" i="4" s="1"/>
  <c r="K22" i="44" l="1"/>
  <c r="F23" i="44"/>
  <c r="H23" i="44"/>
  <c r="F43" i="9"/>
  <c r="N23" i="44"/>
  <c r="F41" i="9"/>
  <c r="L23" i="44"/>
  <c r="O23" i="44"/>
  <c r="F44" i="9"/>
  <c r="F36" i="9"/>
  <c r="P18" i="44"/>
  <c r="P22" i="44" s="1"/>
  <c r="P23" i="44" s="1"/>
  <c r="Z89" i="41"/>
  <c r="AB56" i="4"/>
  <c r="J89" i="41"/>
  <c r="I18" i="44"/>
  <c r="I22" i="44" s="1"/>
  <c r="F205" i="84"/>
  <c r="P192" i="84"/>
  <c r="P193" i="84"/>
  <c r="P194" i="84"/>
  <c r="P195" i="84"/>
  <c r="P196" i="84"/>
  <c r="P197" i="84"/>
  <c r="P198" i="84"/>
  <c r="P199" i="84"/>
  <c r="P200" i="84"/>
  <c r="P201" i="84"/>
  <c r="P202" i="84"/>
  <c r="P203" i="84"/>
  <c r="P179" i="84"/>
  <c r="P180" i="84"/>
  <c r="P181" i="84"/>
  <c r="P182" i="84"/>
  <c r="P183" i="84"/>
  <c r="P184" i="84"/>
  <c r="P185" i="84"/>
  <c r="P186" i="84"/>
  <c r="P187" i="84"/>
  <c r="P188" i="84"/>
  <c r="P189" i="84"/>
  <c r="P190" i="84"/>
  <c r="P191" i="84"/>
  <c r="P162" i="84"/>
  <c r="P163" i="84"/>
  <c r="P164" i="84"/>
  <c r="P165" i="84"/>
  <c r="P166" i="84"/>
  <c r="P167" i="84"/>
  <c r="P168" i="84"/>
  <c r="P169" i="84"/>
  <c r="P170" i="84"/>
  <c r="P171" i="84"/>
  <c r="P172" i="84"/>
  <c r="P173" i="84"/>
  <c r="P174" i="84"/>
  <c r="P175" i="84"/>
  <c r="P176" i="84"/>
  <c r="P177" i="84"/>
  <c r="P178" i="84"/>
  <c r="P147" i="84"/>
  <c r="P148" i="84"/>
  <c r="P149" i="84"/>
  <c r="P150" i="84"/>
  <c r="P151" i="84"/>
  <c r="P152" i="84"/>
  <c r="P153" i="84"/>
  <c r="P154" i="84"/>
  <c r="P155" i="84"/>
  <c r="P156" i="84"/>
  <c r="P157" i="84"/>
  <c r="P158" i="84"/>
  <c r="P159" i="84"/>
  <c r="P160" i="84"/>
  <c r="P161" i="84"/>
  <c r="P146" i="84"/>
  <c r="P144" i="84"/>
  <c r="P141" i="84"/>
  <c r="P138" i="84"/>
  <c r="P139" i="84"/>
  <c r="P140" i="84"/>
  <c r="P129" i="84"/>
  <c r="P130" i="84"/>
  <c r="P131" i="84"/>
  <c r="P132" i="84"/>
  <c r="P133" i="84"/>
  <c r="P134" i="84"/>
  <c r="P135" i="84"/>
  <c r="P136" i="84"/>
  <c r="P137" i="84"/>
  <c r="P117" i="84"/>
  <c r="P118" i="84"/>
  <c r="P119" i="84"/>
  <c r="P120" i="84"/>
  <c r="P121" i="84"/>
  <c r="P122" i="84"/>
  <c r="P123" i="84"/>
  <c r="P124" i="84"/>
  <c r="P125" i="84"/>
  <c r="P126" i="84"/>
  <c r="P127" i="84"/>
  <c r="P128" i="84"/>
  <c r="P102" i="84"/>
  <c r="P103" i="84"/>
  <c r="P104" i="84"/>
  <c r="P105" i="84"/>
  <c r="P106" i="84"/>
  <c r="P107" i="84"/>
  <c r="P108" i="84"/>
  <c r="P109" i="84"/>
  <c r="P110" i="84"/>
  <c r="P111" i="84"/>
  <c r="P112" i="84"/>
  <c r="P113" i="84"/>
  <c r="P114" i="84"/>
  <c r="P115" i="84"/>
  <c r="P116" i="84"/>
  <c r="P92" i="84"/>
  <c r="P93" i="84"/>
  <c r="P94" i="84"/>
  <c r="P95" i="84"/>
  <c r="P96" i="84"/>
  <c r="P97" i="84"/>
  <c r="P98" i="84"/>
  <c r="P99" i="84"/>
  <c r="P100" i="84"/>
  <c r="P101" i="84"/>
  <c r="P76" i="84"/>
  <c r="P77" i="84"/>
  <c r="P78" i="84"/>
  <c r="P79" i="84"/>
  <c r="P80" i="84"/>
  <c r="P81" i="84"/>
  <c r="P82" i="84"/>
  <c r="P83" i="84"/>
  <c r="P84" i="84"/>
  <c r="P85" i="84"/>
  <c r="P86" i="84"/>
  <c r="P87" i="84"/>
  <c r="P88" i="84"/>
  <c r="P89" i="84"/>
  <c r="P90" i="84"/>
  <c r="P91" i="84"/>
  <c r="P63" i="84"/>
  <c r="P64" i="84"/>
  <c r="P65" i="84"/>
  <c r="P66" i="84"/>
  <c r="P67" i="84"/>
  <c r="P68" i="84"/>
  <c r="P69" i="84"/>
  <c r="P70" i="84"/>
  <c r="P71" i="84"/>
  <c r="P72" i="84"/>
  <c r="P73" i="84"/>
  <c r="P74" i="84"/>
  <c r="P75" i="84"/>
  <c r="P55" i="84"/>
  <c r="P56" i="84"/>
  <c r="P57" i="84"/>
  <c r="P58" i="84"/>
  <c r="P59" i="84"/>
  <c r="P60" i="84"/>
  <c r="P61" i="84"/>
  <c r="P62" i="84"/>
  <c r="P54" i="84"/>
  <c r="P53" i="84"/>
  <c r="P52" i="84"/>
  <c r="P49" i="84"/>
  <c r="P47" i="84"/>
  <c r="P44" i="84"/>
  <c r="P41" i="84"/>
  <c r="P38" i="84"/>
  <c r="P36" i="84"/>
  <c r="P33" i="84"/>
  <c r="P31" i="84"/>
  <c r="P24" i="84"/>
  <c r="P25" i="84"/>
  <c r="P26" i="84"/>
  <c r="P27" i="84"/>
  <c r="P28" i="84"/>
  <c r="P23" i="84"/>
  <c r="P20" i="84"/>
  <c r="P21" i="84"/>
  <c r="P19" i="84"/>
  <c r="P17" i="84"/>
  <c r="K136" i="84"/>
  <c r="M136" i="84" s="1"/>
  <c r="J136" i="84"/>
  <c r="H136" i="84"/>
  <c r="K129" i="84"/>
  <c r="N129" i="84" s="1"/>
  <c r="J129" i="84"/>
  <c r="H129" i="84"/>
  <c r="K101" i="84"/>
  <c r="N101" i="84" s="1"/>
  <c r="J101" i="84"/>
  <c r="H101" i="84"/>
  <c r="K71" i="84"/>
  <c r="N71" i="84" s="1"/>
  <c r="J71" i="84"/>
  <c r="H71" i="84"/>
  <c r="K23" i="44" l="1"/>
  <c r="I23" i="44"/>
  <c r="L136" i="84"/>
  <c r="O136" i="84" s="1"/>
  <c r="N136" i="84"/>
  <c r="L129" i="84"/>
  <c r="O129" i="84" s="1"/>
  <c r="M129" i="84"/>
  <c r="L101" i="84"/>
  <c r="O101" i="84" s="1"/>
  <c r="M101" i="84"/>
  <c r="L71" i="84"/>
  <c r="O71" i="84" s="1"/>
  <c r="M71" i="84"/>
  <c r="G67" i="87" l="1"/>
  <c r="H68" i="87" s="1"/>
  <c r="G52" i="87"/>
  <c r="H51" i="87"/>
  <c r="H50" i="87"/>
  <c r="M26" i="87"/>
  <c r="L26" i="87"/>
  <c r="D11" i="87"/>
  <c r="D9" i="87"/>
  <c r="D6" i="87"/>
  <c r="A2" i="87"/>
  <c r="A1" i="87"/>
  <c r="D14" i="9"/>
  <c r="F25" i="81" l="1"/>
  <c r="F17" i="83"/>
  <c r="F19" i="83" s="1"/>
  <c r="E61" i="4" s="1"/>
  <c r="AA61" i="4" s="1"/>
  <c r="F26" i="81" l="1"/>
  <c r="F27" i="81" l="1"/>
  <c r="F29" i="81" s="1"/>
  <c r="E57" i="4" l="1"/>
  <c r="F30" i="81"/>
  <c r="F31" i="81" l="1"/>
  <c r="AA48" i="4" l="1"/>
  <c r="Z48" i="4"/>
  <c r="Z57" i="4" s="1"/>
  <c r="H48" i="4"/>
  <c r="H57" i="4" s="1"/>
  <c r="P48" i="4"/>
  <c r="P57" i="4" s="1"/>
  <c r="Y48" i="4"/>
  <c r="Y57" i="4" s="1"/>
  <c r="I48" i="4"/>
  <c r="I57" i="4" s="1"/>
  <c r="Q48" i="4"/>
  <c r="Q57" i="4" s="1"/>
  <c r="M48" i="4"/>
  <c r="M57" i="4" s="1"/>
  <c r="W48" i="4"/>
  <c r="W57" i="4" s="1"/>
  <c r="J48" i="4"/>
  <c r="J57" i="4" s="1"/>
  <c r="R48" i="4"/>
  <c r="R57" i="4" s="1"/>
  <c r="K48" i="4"/>
  <c r="K57" i="4" s="1"/>
  <c r="S48" i="4"/>
  <c r="S57" i="4" s="1"/>
  <c r="N48" i="4"/>
  <c r="N57" i="4" s="1"/>
  <c r="L48" i="4"/>
  <c r="L57" i="4" s="1"/>
  <c r="U48" i="4"/>
  <c r="U57" i="4" s="1"/>
  <c r="V48" i="4"/>
  <c r="V57" i="4" s="1"/>
  <c r="G48" i="4"/>
  <c r="G57" i="4" s="1"/>
  <c r="O48" i="4"/>
  <c r="O57" i="4" s="1"/>
  <c r="X48" i="4"/>
  <c r="X57" i="4" s="1"/>
  <c r="F48" i="4"/>
  <c r="F57" i="4" s="1"/>
  <c r="AA59" i="4" l="1"/>
  <c r="AA57" i="4"/>
  <c r="AB57" i="4"/>
  <c r="D44" i="4" l="1"/>
  <c r="E13" i="44"/>
  <c r="AP32" i="85"/>
  <c r="AL32" i="85"/>
  <c r="Z32" i="85"/>
  <c r="V32" i="85"/>
  <c r="AH32" i="85"/>
  <c r="R32" i="85"/>
  <c r="AS23" i="85"/>
  <c r="AS24" i="85" s="1"/>
  <c r="AQ23" i="85"/>
  <c r="AQ24" i="85" s="1"/>
  <c r="AO23" i="85"/>
  <c r="AO24" i="85" s="1"/>
  <c r="AM23" i="85"/>
  <c r="AM24" i="85" s="1"/>
  <c r="AK23" i="85"/>
  <c r="AK24" i="85" s="1"/>
  <c r="AI23" i="85"/>
  <c r="AI24" i="85" s="1"/>
  <c r="AG23" i="85"/>
  <c r="AG24" i="85" s="1"/>
  <c r="AE23" i="85"/>
  <c r="AE24" i="85" s="1"/>
  <c r="AC23" i="85"/>
  <c r="AC24" i="85" s="1"/>
  <c r="AA23" i="85"/>
  <c r="AA24" i="85" s="1"/>
  <c r="Y23" i="85"/>
  <c r="Y24" i="85" s="1"/>
  <c r="W23" i="85"/>
  <c r="W24" i="85" s="1"/>
  <c r="U23" i="85"/>
  <c r="U24" i="85" s="1"/>
  <c r="S23" i="85"/>
  <c r="S24" i="85" s="1"/>
  <c r="Q23" i="85"/>
  <c r="Q24" i="85" s="1"/>
  <c r="O23" i="85"/>
  <c r="O24" i="85" s="1"/>
  <c r="I23" i="85"/>
  <c r="I24" i="85" s="1"/>
  <c r="H23" i="85"/>
  <c r="H24" i="85" s="1"/>
  <c r="D13" i="85"/>
  <c r="D12" i="85"/>
  <c r="D11" i="85"/>
  <c r="D8" i="85"/>
  <c r="N22" i="85" l="1"/>
  <c r="N32" i="85" s="1"/>
  <c r="L22" i="85"/>
  <c r="L32" i="85" s="1"/>
  <c r="J22" i="85"/>
  <c r="J32" i="85" s="1"/>
  <c r="P22" i="85"/>
  <c r="AF22" i="85"/>
  <c r="X22" i="85"/>
  <c r="AN22" i="85"/>
  <c r="T22" i="85"/>
  <c r="AJ22" i="85"/>
  <c r="V22" i="85"/>
  <c r="AL22" i="85"/>
  <c r="AD22" i="85"/>
  <c r="R22" i="85"/>
  <c r="AH22" i="85"/>
  <c r="AB22" i="85"/>
  <c r="AR22" i="85"/>
  <c r="AB32" i="85"/>
  <c r="AR32" i="85"/>
  <c r="AD32" i="85"/>
  <c r="AT32" i="85"/>
  <c r="P32" i="85"/>
  <c r="AF32" i="85"/>
  <c r="Z22" i="85"/>
  <c r="AP22" i="85"/>
  <c r="T32" i="85"/>
  <c r="AJ32" i="85"/>
  <c r="AT22" i="85"/>
  <c r="AN32" i="85"/>
  <c r="X32" i="85"/>
  <c r="K203" i="84" l="1"/>
  <c r="N203" i="84" s="1"/>
  <c r="J203" i="84"/>
  <c r="H203" i="84"/>
  <c r="K202" i="84"/>
  <c r="N202" i="84" s="1"/>
  <c r="J202" i="84"/>
  <c r="H202" i="84"/>
  <c r="K200" i="84"/>
  <c r="N200" i="84" s="1"/>
  <c r="J200" i="84"/>
  <c r="H200" i="84"/>
  <c r="K199" i="84"/>
  <c r="L199" i="84" s="1"/>
  <c r="O199" i="84" s="1"/>
  <c r="J199" i="84"/>
  <c r="H199" i="84"/>
  <c r="K198" i="84"/>
  <c r="N198" i="84" s="1"/>
  <c r="J198" i="84"/>
  <c r="H198" i="84"/>
  <c r="K197" i="84"/>
  <c r="M197" i="84" s="1"/>
  <c r="J197" i="84"/>
  <c r="H197" i="84"/>
  <c r="K196" i="84"/>
  <c r="N196" i="84" s="1"/>
  <c r="J196" i="84"/>
  <c r="H196" i="84"/>
  <c r="K195" i="84"/>
  <c r="L195" i="84" s="1"/>
  <c r="O195" i="84" s="1"/>
  <c r="J195" i="84"/>
  <c r="H195" i="84"/>
  <c r="K193" i="84"/>
  <c r="L193" i="84" s="1"/>
  <c r="O193" i="84" s="1"/>
  <c r="J193" i="84"/>
  <c r="H193" i="84"/>
  <c r="K192" i="84"/>
  <c r="M192" i="84" s="1"/>
  <c r="J192" i="84"/>
  <c r="H192" i="84"/>
  <c r="K190" i="84"/>
  <c r="N190" i="84" s="1"/>
  <c r="J190" i="84"/>
  <c r="H190" i="84"/>
  <c r="K189" i="84"/>
  <c r="N189" i="84" s="1"/>
  <c r="J189" i="84"/>
  <c r="H189" i="84"/>
  <c r="K186" i="84"/>
  <c r="M186" i="84" s="1"/>
  <c r="J186" i="84"/>
  <c r="H186" i="84"/>
  <c r="K185" i="84"/>
  <c r="L185" i="84" s="1"/>
  <c r="O185" i="84" s="1"/>
  <c r="J185" i="84"/>
  <c r="H185" i="84"/>
  <c r="K184" i="84"/>
  <c r="M184" i="84" s="1"/>
  <c r="J184" i="84"/>
  <c r="H184" i="84"/>
  <c r="K182" i="84"/>
  <c r="L182" i="84" s="1"/>
  <c r="O182" i="84" s="1"/>
  <c r="J182" i="84"/>
  <c r="H182" i="84"/>
  <c r="K181" i="84"/>
  <c r="M181" i="84" s="1"/>
  <c r="J181" i="84"/>
  <c r="H181" i="84"/>
  <c r="K180" i="84"/>
  <c r="N180" i="84" s="1"/>
  <c r="J180" i="84"/>
  <c r="H180" i="84"/>
  <c r="K179" i="84"/>
  <c r="M179" i="84" s="1"/>
  <c r="J179" i="84"/>
  <c r="H179" i="84"/>
  <c r="K178" i="84"/>
  <c r="N178" i="84" s="1"/>
  <c r="J178" i="84"/>
  <c r="H178" i="84"/>
  <c r="K177" i="84"/>
  <c r="M177" i="84" s="1"/>
  <c r="J177" i="84"/>
  <c r="H177" i="84"/>
  <c r="K176" i="84"/>
  <c r="M176" i="84" s="1"/>
  <c r="J176" i="84"/>
  <c r="H176" i="84"/>
  <c r="K174" i="84"/>
  <c r="N174" i="84" s="1"/>
  <c r="J174" i="84"/>
  <c r="H174" i="84"/>
  <c r="K173" i="84"/>
  <c r="N173" i="84" s="1"/>
  <c r="J173" i="84"/>
  <c r="H173" i="84"/>
  <c r="K172" i="84"/>
  <c r="M172" i="84" s="1"/>
  <c r="J172" i="84"/>
  <c r="H172" i="84"/>
  <c r="K171" i="84"/>
  <c r="N171" i="84" s="1"/>
  <c r="J171" i="84"/>
  <c r="H171" i="84"/>
  <c r="K170" i="84"/>
  <c r="M170" i="84" s="1"/>
  <c r="J170" i="84"/>
  <c r="H170" i="84"/>
  <c r="K168" i="84"/>
  <c r="M168" i="84" s="1"/>
  <c r="J168" i="84"/>
  <c r="H168" i="84"/>
  <c r="K167" i="84"/>
  <c r="M167" i="84" s="1"/>
  <c r="J167" i="84"/>
  <c r="H167" i="84"/>
  <c r="K166" i="84"/>
  <c r="N166" i="84" s="1"/>
  <c r="J166" i="84"/>
  <c r="H166" i="84"/>
  <c r="K165" i="84"/>
  <c r="N165" i="84" s="1"/>
  <c r="J165" i="84"/>
  <c r="H165" i="84"/>
  <c r="K162" i="84"/>
  <c r="N162" i="84" s="1"/>
  <c r="J162" i="84"/>
  <c r="H162" i="84"/>
  <c r="K161" i="84"/>
  <c r="N161" i="84" s="1"/>
  <c r="J161" i="84"/>
  <c r="H161" i="84"/>
  <c r="K158" i="84"/>
  <c r="M158" i="84" s="1"/>
  <c r="J158" i="84"/>
  <c r="H158" i="84"/>
  <c r="K157" i="84"/>
  <c r="L157" i="84" s="1"/>
  <c r="O157" i="84" s="1"/>
  <c r="J157" i="84"/>
  <c r="H157" i="84"/>
  <c r="K156" i="84"/>
  <c r="M156" i="84" s="1"/>
  <c r="J156" i="84"/>
  <c r="H156" i="84"/>
  <c r="K153" i="84"/>
  <c r="N153" i="84" s="1"/>
  <c r="J153" i="84"/>
  <c r="H153" i="84"/>
  <c r="K152" i="84"/>
  <c r="N152" i="84" s="1"/>
  <c r="J152" i="84"/>
  <c r="H152" i="84"/>
  <c r="K151" i="84"/>
  <c r="N151" i="84" s="1"/>
  <c r="J151" i="84"/>
  <c r="H151" i="84"/>
  <c r="K150" i="84"/>
  <c r="N150" i="84" s="1"/>
  <c r="J150" i="84"/>
  <c r="H150" i="84"/>
  <c r="K148" i="84"/>
  <c r="L148" i="84" s="1"/>
  <c r="O148" i="84" s="1"/>
  <c r="J148" i="84"/>
  <c r="H148" i="84"/>
  <c r="K147" i="84"/>
  <c r="M147" i="84" s="1"/>
  <c r="J147" i="84"/>
  <c r="H147" i="84"/>
  <c r="K146" i="84"/>
  <c r="L146" i="84" s="1"/>
  <c r="O146" i="84" s="1"/>
  <c r="J146" i="84"/>
  <c r="H146" i="84"/>
  <c r="K144" i="84"/>
  <c r="N144" i="84" s="1"/>
  <c r="J144" i="84"/>
  <c r="H144" i="84"/>
  <c r="K143" i="84"/>
  <c r="N143" i="84" s="1"/>
  <c r="J143" i="84"/>
  <c r="H143" i="84"/>
  <c r="K141" i="84"/>
  <c r="N141" i="84" s="1"/>
  <c r="J141" i="84"/>
  <c r="H141" i="84"/>
  <c r="K140" i="84"/>
  <c r="N140" i="84" s="1"/>
  <c r="J140" i="84"/>
  <c r="H140" i="84"/>
  <c r="K139" i="84"/>
  <c r="N139" i="84" s="1"/>
  <c r="J139" i="84"/>
  <c r="H139" i="84"/>
  <c r="K138" i="84"/>
  <c r="N138" i="84" s="1"/>
  <c r="J138" i="84"/>
  <c r="H138" i="84"/>
  <c r="K134" i="84"/>
  <c r="N134" i="84" s="1"/>
  <c r="J134" i="84"/>
  <c r="H134" i="84"/>
  <c r="K133" i="84"/>
  <c r="N133" i="84" s="1"/>
  <c r="J133" i="84"/>
  <c r="H133" i="84"/>
  <c r="K132" i="84"/>
  <c r="N132" i="84" s="1"/>
  <c r="J132" i="84"/>
  <c r="H132" i="84"/>
  <c r="K131" i="84"/>
  <c r="N131" i="84" s="1"/>
  <c r="J131" i="84"/>
  <c r="H131" i="84"/>
  <c r="K128" i="84"/>
  <c r="N128" i="84" s="1"/>
  <c r="J128" i="84"/>
  <c r="H128" i="84"/>
  <c r="K125" i="84"/>
  <c r="M125" i="84" s="1"/>
  <c r="J125" i="84"/>
  <c r="H125" i="84"/>
  <c r="K124" i="84"/>
  <c r="N124" i="84" s="1"/>
  <c r="J124" i="84"/>
  <c r="H124" i="84"/>
  <c r="K122" i="84"/>
  <c r="N122" i="84" s="1"/>
  <c r="J122" i="84"/>
  <c r="H122" i="84"/>
  <c r="K121" i="84"/>
  <c r="N121" i="84" s="1"/>
  <c r="J121" i="84"/>
  <c r="H121" i="84"/>
  <c r="K120" i="84"/>
  <c r="N120" i="84" s="1"/>
  <c r="J120" i="84"/>
  <c r="H120" i="84"/>
  <c r="K118" i="84"/>
  <c r="M118" i="84" s="1"/>
  <c r="J118" i="84"/>
  <c r="H118" i="84"/>
  <c r="K115" i="84"/>
  <c r="M115" i="84" s="1"/>
  <c r="J115" i="84"/>
  <c r="H115" i="84"/>
  <c r="K113" i="84"/>
  <c r="M113" i="84" s="1"/>
  <c r="J113" i="84"/>
  <c r="H113" i="84"/>
  <c r="K110" i="84"/>
  <c r="N110" i="84" s="1"/>
  <c r="J110" i="84"/>
  <c r="H110" i="84"/>
  <c r="K107" i="84"/>
  <c r="N107" i="84" s="1"/>
  <c r="J107" i="84"/>
  <c r="H107" i="84"/>
  <c r="K104" i="84"/>
  <c r="M104" i="84" s="1"/>
  <c r="J104" i="84"/>
  <c r="H104" i="84"/>
  <c r="K103" i="84"/>
  <c r="M103" i="84" s="1"/>
  <c r="J103" i="84"/>
  <c r="H103" i="84"/>
  <c r="K100" i="84"/>
  <c r="N100" i="84" s="1"/>
  <c r="J100" i="84"/>
  <c r="H100" i="84"/>
  <c r="K98" i="84"/>
  <c r="M98" i="84" s="1"/>
  <c r="J98" i="84"/>
  <c r="H98" i="84"/>
  <c r="K95" i="84"/>
  <c r="M95" i="84" s="1"/>
  <c r="J95" i="84"/>
  <c r="H95" i="84"/>
  <c r="K94" i="84"/>
  <c r="N94" i="84" s="1"/>
  <c r="J94" i="84"/>
  <c r="H94" i="84"/>
  <c r="K92" i="84"/>
  <c r="M92" i="84" s="1"/>
  <c r="J92" i="84"/>
  <c r="H92" i="84"/>
  <c r="K91" i="84"/>
  <c r="N91" i="84" s="1"/>
  <c r="J91" i="84"/>
  <c r="H91" i="84"/>
  <c r="K90" i="84"/>
  <c r="M90" i="84" s="1"/>
  <c r="J90" i="84"/>
  <c r="H90" i="84"/>
  <c r="K88" i="84"/>
  <c r="L88" i="84" s="1"/>
  <c r="O88" i="84" s="1"/>
  <c r="J88" i="84"/>
  <c r="H88" i="84"/>
  <c r="K85" i="84"/>
  <c r="N85" i="84" s="1"/>
  <c r="J85" i="84"/>
  <c r="H85" i="84"/>
  <c r="K83" i="84"/>
  <c r="N83" i="84" s="1"/>
  <c r="J83" i="84"/>
  <c r="H83" i="84"/>
  <c r="K80" i="84"/>
  <c r="M80" i="84" s="1"/>
  <c r="J80" i="84"/>
  <c r="H80" i="84"/>
  <c r="K77" i="84"/>
  <c r="M77" i="84" s="1"/>
  <c r="J77" i="84"/>
  <c r="H77" i="84"/>
  <c r="K74" i="84"/>
  <c r="M74" i="84" s="1"/>
  <c r="J74" i="84"/>
  <c r="H74" i="84"/>
  <c r="K73" i="84"/>
  <c r="N73" i="84" s="1"/>
  <c r="J73" i="84"/>
  <c r="H73" i="84"/>
  <c r="K70" i="84"/>
  <c r="N70" i="84" s="1"/>
  <c r="J70" i="84"/>
  <c r="H70" i="84"/>
  <c r="K68" i="84"/>
  <c r="M68" i="84" s="1"/>
  <c r="J68" i="84"/>
  <c r="H68" i="84"/>
  <c r="K65" i="84"/>
  <c r="N65" i="84" s="1"/>
  <c r="J65" i="84"/>
  <c r="H65" i="84"/>
  <c r="K64" i="84"/>
  <c r="M64" i="84" s="1"/>
  <c r="J64" i="84"/>
  <c r="H64" i="84"/>
  <c r="K62" i="84"/>
  <c r="M62" i="84" s="1"/>
  <c r="J62" i="84"/>
  <c r="H62" i="84"/>
  <c r="K61" i="84"/>
  <c r="N61" i="84" s="1"/>
  <c r="J61" i="84"/>
  <c r="H61" i="84"/>
  <c r="K60" i="84"/>
  <c r="N60" i="84" s="1"/>
  <c r="J60" i="84"/>
  <c r="H60" i="84"/>
  <c r="K58" i="84"/>
  <c r="N58" i="84" s="1"/>
  <c r="J58" i="84"/>
  <c r="H58" i="84"/>
  <c r="K55" i="84"/>
  <c r="N55" i="84" s="1"/>
  <c r="J55" i="84"/>
  <c r="H55" i="84"/>
  <c r="K53" i="84"/>
  <c r="N53" i="84" s="1"/>
  <c r="J53" i="84"/>
  <c r="H53" i="84"/>
  <c r="K52" i="84"/>
  <c r="M52" i="84" s="1"/>
  <c r="J52" i="84"/>
  <c r="H52" i="84"/>
  <c r="K49" i="84"/>
  <c r="N49" i="84" s="1"/>
  <c r="J49" i="84"/>
  <c r="H49" i="84"/>
  <c r="K47" i="84"/>
  <c r="M47" i="84" s="1"/>
  <c r="J47" i="84"/>
  <c r="H47" i="84"/>
  <c r="K44" i="84"/>
  <c r="L44" i="84" s="1"/>
  <c r="O44" i="84" s="1"/>
  <c r="J44" i="84"/>
  <c r="H44" i="84"/>
  <c r="K41" i="84"/>
  <c r="M41" i="84" s="1"/>
  <c r="J41" i="84"/>
  <c r="H41" i="84"/>
  <c r="K38" i="84"/>
  <c r="M38" i="84" s="1"/>
  <c r="J38" i="84"/>
  <c r="H38" i="84"/>
  <c r="K36" i="84"/>
  <c r="N36" i="84" s="1"/>
  <c r="J36" i="84"/>
  <c r="H36" i="84"/>
  <c r="K33" i="84"/>
  <c r="L33" i="84" s="1"/>
  <c r="O33" i="84" s="1"/>
  <c r="J33" i="84"/>
  <c r="H33" i="84"/>
  <c r="K31" i="84"/>
  <c r="N31" i="84" s="1"/>
  <c r="J31" i="84"/>
  <c r="H31" i="84"/>
  <c r="K28" i="84"/>
  <c r="N28" i="84" s="1"/>
  <c r="J28" i="84"/>
  <c r="H28" i="84"/>
  <c r="K27" i="84"/>
  <c r="M27" i="84" s="1"/>
  <c r="J27" i="84"/>
  <c r="H27" i="84"/>
  <c r="K26" i="84"/>
  <c r="N26" i="84" s="1"/>
  <c r="J26" i="84"/>
  <c r="H26" i="84"/>
  <c r="K25" i="84"/>
  <c r="M25" i="84" s="1"/>
  <c r="J25" i="84"/>
  <c r="H25" i="84"/>
  <c r="K24" i="84"/>
  <c r="N24" i="84" s="1"/>
  <c r="J24" i="84"/>
  <c r="H24" i="84"/>
  <c r="K23" i="84"/>
  <c r="M23" i="84" s="1"/>
  <c r="J23" i="84"/>
  <c r="H23" i="84"/>
  <c r="K21" i="84"/>
  <c r="N21" i="84" s="1"/>
  <c r="J21" i="84"/>
  <c r="H21" i="84"/>
  <c r="K20" i="84"/>
  <c r="M20" i="84" s="1"/>
  <c r="J20" i="84"/>
  <c r="H20" i="84"/>
  <c r="K19" i="84"/>
  <c r="M19" i="84" s="1"/>
  <c r="J19" i="84"/>
  <c r="H19" i="84"/>
  <c r="K17" i="84"/>
  <c r="J17" i="84"/>
  <c r="H17" i="84"/>
  <c r="F207" i="84"/>
  <c r="D46" i="83"/>
  <c r="P17" i="83"/>
  <c r="K17" i="83"/>
  <c r="L17" i="83" s="1"/>
  <c r="J17" i="83"/>
  <c r="J19" i="83" s="1"/>
  <c r="H17" i="83"/>
  <c r="H19" i="83" s="1"/>
  <c r="S27" i="41" s="1"/>
  <c r="D293" i="82"/>
  <c r="D292" i="82"/>
  <c r="D297" i="82"/>
  <c r="B277" i="82"/>
  <c r="D294" i="82" l="1"/>
  <c r="N118" i="84"/>
  <c r="Q27" i="41"/>
  <c r="H270" i="82"/>
  <c r="R27" i="41"/>
  <c r="J270" i="82"/>
  <c r="T27" i="41"/>
  <c r="O17" i="83"/>
  <c r="O19" i="83" s="1"/>
  <c r="L19" i="83"/>
  <c r="N64" i="84"/>
  <c r="N98" i="84"/>
  <c r="N88" i="84"/>
  <c r="N147" i="84"/>
  <c r="N20" i="84"/>
  <c r="M88" i="84"/>
  <c r="N156" i="84"/>
  <c r="N176" i="84"/>
  <c r="N184" i="84"/>
  <c r="N186" i="84"/>
  <c r="L174" i="84"/>
  <c r="O174" i="84" s="1"/>
  <c r="M195" i="84"/>
  <c r="N197" i="84"/>
  <c r="N199" i="84"/>
  <c r="L62" i="84"/>
  <c r="O62" i="84" s="1"/>
  <c r="N33" i="84"/>
  <c r="M85" i="84"/>
  <c r="N157" i="84"/>
  <c r="N182" i="84"/>
  <c r="N185" i="84"/>
  <c r="L197" i="84"/>
  <c r="O197" i="84" s="1"/>
  <c r="N80" i="84"/>
  <c r="L90" i="84"/>
  <c r="O90" i="84" s="1"/>
  <c r="L115" i="84"/>
  <c r="O115" i="84" s="1"/>
  <c r="M146" i="84"/>
  <c r="N148" i="84"/>
  <c r="L180" i="84"/>
  <c r="O180" i="84" s="1"/>
  <c r="N168" i="84"/>
  <c r="N90" i="84"/>
  <c r="L98" i="84"/>
  <c r="O98" i="84" s="1"/>
  <c r="M152" i="84"/>
  <c r="L167" i="84"/>
  <c r="O167" i="84" s="1"/>
  <c r="N170" i="84"/>
  <c r="L24" i="84"/>
  <c r="O24" i="84" s="1"/>
  <c r="M49" i="84"/>
  <c r="N125" i="84"/>
  <c r="M193" i="84"/>
  <c r="M24" i="84"/>
  <c r="L177" i="84"/>
  <c r="O177" i="84" s="1"/>
  <c r="N179" i="84"/>
  <c r="L181" i="84"/>
  <c r="O181" i="84" s="1"/>
  <c r="M185" i="84"/>
  <c r="N193" i="84"/>
  <c r="N177" i="84"/>
  <c r="N181" i="84"/>
  <c r="M44" i="84"/>
  <c r="L92" i="84"/>
  <c r="O92" i="84" s="1"/>
  <c r="N95" i="84"/>
  <c r="N115" i="84"/>
  <c r="N158" i="84"/>
  <c r="L184" i="84"/>
  <c r="O184" i="84" s="1"/>
  <c r="N23" i="84"/>
  <c r="N38" i="84"/>
  <c r="N44" i="84"/>
  <c r="N47" i="84"/>
  <c r="N52" i="84"/>
  <c r="N92" i="84"/>
  <c r="L100" i="84"/>
  <c r="O100" i="84" s="1"/>
  <c r="N104" i="84"/>
  <c r="N192" i="84"/>
  <c r="N62" i="84"/>
  <c r="M65" i="84"/>
  <c r="N77" i="84"/>
  <c r="N113" i="84"/>
  <c r="L121" i="84"/>
  <c r="O121" i="84" s="1"/>
  <c r="N146" i="84"/>
  <c r="M148" i="84"/>
  <c r="L152" i="84"/>
  <c r="O152" i="84" s="1"/>
  <c r="M157" i="84"/>
  <c r="N167" i="84"/>
  <c r="L170" i="84"/>
  <c r="O170" i="84" s="1"/>
  <c r="N172" i="84"/>
  <c r="M182" i="84"/>
  <c r="L186" i="84"/>
  <c r="O186" i="84" s="1"/>
  <c r="N195" i="84"/>
  <c r="M199" i="84"/>
  <c r="L202" i="84"/>
  <c r="O202" i="84" s="1"/>
  <c r="L103" i="84"/>
  <c r="O103" i="84" s="1"/>
  <c r="N103" i="84"/>
  <c r="N74" i="84"/>
  <c r="N68" i="84"/>
  <c r="M33" i="84"/>
  <c r="L203" i="84"/>
  <c r="O203" i="84" s="1"/>
  <c r="M203" i="84"/>
  <c r="M202" i="84"/>
  <c r="L200" i="84"/>
  <c r="O200" i="84" s="1"/>
  <c r="M200" i="84"/>
  <c r="L198" i="84"/>
  <c r="O198" i="84" s="1"/>
  <c r="M198" i="84"/>
  <c r="L196" i="84"/>
  <c r="O196" i="84" s="1"/>
  <c r="M196" i="84"/>
  <c r="L192" i="84"/>
  <c r="O192" i="84" s="1"/>
  <c r="L190" i="84"/>
  <c r="O190" i="84" s="1"/>
  <c r="M190" i="84"/>
  <c r="L189" i="84"/>
  <c r="O189" i="84" s="1"/>
  <c r="M189" i="84"/>
  <c r="M180" i="84"/>
  <c r="L179" i="84"/>
  <c r="O179" i="84" s="1"/>
  <c r="L178" i="84"/>
  <c r="O178" i="84" s="1"/>
  <c r="M178" i="84"/>
  <c r="L176" i="84"/>
  <c r="O176" i="84" s="1"/>
  <c r="M174" i="84"/>
  <c r="L173" i="84"/>
  <c r="O173" i="84" s="1"/>
  <c r="M173" i="84"/>
  <c r="L172" i="84"/>
  <c r="O172" i="84" s="1"/>
  <c r="L171" i="84"/>
  <c r="O171" i="84" s="1"/>
  <c r="M171" i="84"/>
  <c r="L168" i="84"/>
  <c r="O168" i="84" s="1"/>
  <c r="L166" i="84"/>
  <c r="O166" i="84" s="1"/>
  <c r="M166" i="84"/>
  <c r="L165" i="84"/>
  <c r="O165" i="84" s="1"/>
  <c r="M165" i="84"/>
  <c r="M162" i="84"/>
  <c r="L162" i="84"/>
  <c r="O162" i="84" s="1"/>
  <c r="L161" i="84"/>
  <c r="O161" i="84" s="1"/>
  <c r="M161" i="84"/>
  <c r="L158" i="84"/>
  <c r="O158" i="84" s="1"/>
  <c r="L156" i="84"/>
  <c r="O156" i="84" s="1"/>
  <c r="L153" i="84"/>
  <c r="O153" i="84" s="1"/>
  <c r="M153" i="84"/>
  <c r="L151" i="84"/>
  <c r="O151" i="84" s="1"/>
  <c r="M151" i="84"/>
  <c r="M150" i="84"/>
  <c r="L150" i="84"/>
  <c r="O150" i="84" s="1"/>
  <c r="L147" i="84"/>
  <c r="O147" i="84" s="1"/>
  <c r="M144" i="84"/>
  <c r="L144" i="84"/>
  <c r="O144" i="84" s="1"/>
  <c r="L143" i="84"/>
  <c r="O143" i="84" s="1"/>
  <c r="M143" i="84"/>
  <c r="L141" i="84"/>
  <c r="O141" i="84" s="1"/>
  <c r="M141" i="84"/>
  <c r="L140" i="84"/>
  <c r="O140" i="84" s="1"/>
  <c r="M140" i="84"/>
  <c r="M139" i="84"/>
  <c r="L139" i="84"/>
  <c r="O139" i="84" s="1"/>
  <c r="M138" i="84"/>
  <c r="L138" i="84"/>
  <c r="O138" i="84" s="1"/>
  <c r="M134" i="84"/>
  <c r="L134" i="84"/>
  <c r="O134" i="84" s="1"/>
  <c r="L133" i="84"/>
  <c r="O133" i="84" s="1"/>
  <c r="M133" i="84"/>
  <c r="L132" i="84"/>
  <c r="O132" i="84" s="1"/>
  <c r="M132" i="84"/>
  <c r="L131" i="84"/>
  <c r="O131" i="84" s="1"/>
  <c r="M131" i="84"/>
  <c r="L128" i="84"/>
  <c r="O128" i="84" s="1"/>
  <c r="M128" i="84"/>
  <c r="L125" i="84"/>
  <c r="O125" i="84" s="1"/>
  <c r="M124" i="84"/>
  <c r="L124" i="84"/>
  <c r="O124" i="84" s="1"/>
  <c r="M122" i="84"/>
  <c r="L122" i="84"/>
  <c r="O122" i="84" s="1"/>
  <c r="M121" i="84"/>
  <c r="L120" i="84"/>
  <c r="O120" i="84" s="1"/>
  <c r="M120" i="84"/>
  <c r="L118" i="84"/>
  <c r="O118" i="84" s="1"/>
  <c r="L113" i="84"/>
  <c r="O113" i="84" s="1"/>
  <c r="L110" i="84"/>
  <c r="O110" i="84" s="1"/>
  <c r="M110" i="84"/>
  <c r="M107" i="84"/>
  <c r="L107" i="84"/>
  <c r="O107" i="84" s="1"/>
  <c r="L104" i="84"/>
  <c r="O104" i="84" s="1"/>
  <c r="M100" i="84"/>
  <c r="L95" i="84"/>
  <c r="O95" i="84" s="1"/>
  <c r="L94" i="84"/>
  <c r="O94" i="84" s="1"/>
  <c r="M94" i="84"/>
  <c r="L91" i="84"/>
  <c r="O91" i="84" s="1"/>
  <c r="M91" i="84"/>
  <c r="L85" i="84"/>
  <c r="O85" i="84" s="1"/>
  <c r="M83" i="84"/>
  <c r="L83" i="84"/>
  <c r="O83" i="84" s="1"/>
  <c r="L80" i="84"/>
  <c r="O80" i="84" s="1"/>
  <c r="L77" i="84"/>
  <c r="O77" i="84" s="1"/>
  <c r="L74" i="84"/>
  <c r="O74" i="84" s="1"/>
  <c r="L73" i="84"/>
  <c r="O73" i="84" s="1"/>
  <c r="M73" i="84"/>
  <c r="L70" i="84"/>
  <c r="O70" i="84" s="1"/>
  <c r="M70" i="84"/>
  <c r="L68" i="84"/>
  <c r="O68" i="84" s="1"/>
  <c r="L65" i="84"/>
  <c r="O65" i="84" s="1"/>
  <c r="L64" i="84"/>
  <c r="O64" i="84" s="1"/>
  <c r="M61" i="84"/>
  <c r="L61" i="84"/>
  <c r="O61" i="84" s="1"/>
  <c r="L60" i="84"/>
  <c r="O60" i="84" s="1"/>
  <c r="M60" i="84"/>
  <c r="L58" i="84"/>
  <c r="O58" i="84" s="1"/>
  <c r="M58" i="84"/>
  <c r="L55" i="84"/>
  <c r="O55" i="84" s="1"/>
  <c r="M55" i="84"/>
  <c r="L53" i="84"/>
  <c r="O53" i="84" s="1"/>
  <c r="M53" i="84"/>
  <c r="L52" i="84"/>
  <c r="O52" i="84" s="1"/>
  <c r="L49" i="84"/>
  <c r="O49" i="84" s="1"/>
  <c r="L47" i="84"/>
  <c r="O47" i="84" s="1"/>
  <c r="N41" i="84"/>
  <c r="L41" i="84"/>
  <c r="O41" i="84" s="1"/>
  <c r="L38" i="84"/>
  <c r="O38" i="84" s="1"/>
  <c r="L36" i="84"/>
  <c r="O36" i="84" s="1"/>
  <c r="M36" i="84"/>
  <c r="M31" i="84"/>
  <c r="L31" i="84"/>
  <c r="O31" i="84" s="1"/>
  <c r="L28" i="84"/>
  <c r="O28" i="84" s="1"/>
  <c r="M28" i="84"/>
  <c r="N27" i="84"/>
  <c r="L27" i="84"/>
  <c r="O27" i="84" s="1"/>
  <c r="L26" i="84"/>
  <c r="O26" i="84" s="1"/>
  <c r="M26" i="84"/>
  <c r="N25" i="84"/>
  <c r="L25" i="84"/>
  <c r="O25" i="84" s="1"/>
  <c r="L23" i="84"/>
  <c r="O23" i="84" s="1"/>
  <c r="L21" i="84"/>
  <c r="O21" i="84" s="1"/>
  <c r="M21" i="84"/>
  <c r="L20" i="84"/>
  <c r="O20" i="84" s="1"/>
  <c r="N19" i="84"/>
  <c r="L19" i="84"/>
  <c r="O19" i="84" s="1"/>
  <c r="L17" i="84"/>
  <c r="O17" i="84" s="1"/>
  <c r="M17" i="84"/>
  <c r="N17" i="84"/>
  <c r="D42" i="83"/>
  <c r="D41" i="83"/>
  <c r="Q17" i="83"/>
  <c r="M17" i="83"/>
  <c r="N17" i="83"/>
  <c r="O205" i="84" l="1"/>
  <c r="O207" i="84" s="1"/>
  <c r="O270" i="82"/>
  <c r="P19" i="83"/>
  <c r="D43" i="83"/>
  <c r="L270" i="82" l="1"/>
  <c r="P269" i="82"/>
  <c r="F87" i="41"/>
  <c r="E87" i="41"/>
  <c r="H89" i="41"/>
  <c r="P89" i="41"/>
  <c r="D10" i="81" l="1"/>
  <c r="D10" i="82"/>
  <c r="D10" i="84"/>
  <c r="D10" i="83"/>
  <c r="F214" i="84"/>
  <c r="D9" i="84"/>
  <c r="D8" i="84"/>
  <c r="D7" i="84"/>
  <c r="D6" i="84"/>
  <c r="D5" i="84"/>
  <c r="A3" i="84"/>
  <c r="D9" i="83"/>
  <c r="D8" i="83"/>
  <c r="D7" i="83"/>
  <c r="D6" i="83"/>
  <c r="D5" i="83"/>
  <c r="A3" i="83"/>
  <c r="D9" i="82"/>
  <c r="D8" i="82"/>
  <c r="D7" i="82"/>
  <c r="D6" i="82"/>
  <c r="D5" i="82"/>
  <c r="A3" i="82"/>
  <c r="F33" i="81"/>
  <c r="D9" i="81"/>
  <c r="D8" i="81"/>
  <c r="D7" i="81"/>
  <c r="D6" i="81"/>
  <c r="D5" i="81"/>
  <c r="A3" i="81"/>
  <c r="E48" i="4" l="1"/>
  <c r="C63" i="4"/>
  <c r="C59" i="4"/>
  <c r="C61" i="4"/>
  <c r="C57" i="4"/>
  <c r="F206" i="84"/>
  <c r="F215" i="84" s="1"/>
  <c r="H215" i="84" s="1"/>
  <c r="F271" i="82"/>
  <c r="F38" i="81"/>
  <c r="H205" i="84"/>
  <c r="J205" i="84"/>
  <c r="F218" i="84"/>
  <c r="F22" i="83"/>
  <c r="F272" i="82"/>
  <c r="F275" i="82"/>
  <c r="F37" i="81"/>
  <c r="H38" i="81" l="1"/>
  <c r="J207" i="84"/>
  <c r="J206" i="84"/>
  <c r="P24" i="81"/>
  <c r="H207" i="84"/>
  <c r="F208" i="84"/>
  <c r="F210" i="84" s="1"/>
  <c r="H272" i="82"/>
  <c r="L205" i="84"/>
  <c r="L207" i="84" s="1"/>
  <c r="H206" i="84"/>
  <c r="F219" i="84"/>
  <c r="H219" i="84" s="1"/>
  <c r="F23" i="83"/>
  <c r="H23" i="83" s="1"/>
  <c r="F276" i="82"/>
  <c r="H276" i="82" s="1"/>
  <c r="F34" i="81"/>
  <c r="H34" i="81" s="1"/>
  <c r="P26" i="81" l="1"/>
  <c r="P25" i="81"/>
  <c r="E63" i="4"/>
  <c r="Z59" i="4"/>
  <c r="Z61" i="4"/>
  <c r="F211" i="84"/>
  <c r="F212" i="84" s="1"/>
  <c r="H208" i="84"/>
  <c r="H210" i="84" s="1"/>
  <c r="J208" i="84"/>
  <c r="J210" i="84" s="1"/>
  <c r="O206" i="84"/>
  <c r="L206" i="84"/>
  <c r="H211" i="84" l="1"/>
  <c r="H212" i="84" s="1"/>
  <c r="H213" i="84" s="1"/>
  <c r="J211" i="84"/>
  <c r="J212" i="84" s="1"/>
  <c r="P29" i="81"/>
  <c r="AA50" i="4"/>
  <c r="AA63" i="4" s="1"/>
  <c r="X59" i="4"/>
  <c r="W59" i="4"/>
  <c r="I59" i="4"/>
  <c r="H59" i="4"/>
  <c r="Q59" i="4"/>
  <c r="Y59" i="4"/>
  <c r="U59" i="4"/>
  <c r="N59" i="4"/>
  <c r="J59" i="4"/>
  <c r="V59" i="4"/>
  <c r="K59" i="4"/>
  <c r="P59" i="4"/>
  <c r="O59" i="4"/>
  <c r="S59" i="4"/>
  <c r="M59" i="4"/>
  <c r="L59" i="4"/>
  <c r="G59" i="4"/>
  <c r="R59" i="4"/>
  <c r="N61" i="4"/>
  <c r="X61" i="4"/>
  <c r="J61" i="4"/>
  <c r="M61" i="4"/>
  <c r="V61" i="4"/>
  <c r="G61" i="4"/>
  <c r="S61" i="4"/>
  <c r="L61" i="4"/>
  <c r="W61" i="4"/>
  <c r="I61" i="4"/>
  <c r="Q61" i="4"/>
  <c r="O61" i="4"/>
  <c r="H61" i="4"/>
  <c r="K61" i="4"/>
  <c r="U61" i="4"/>
  <c r="P61" i="4"/>
  <c r="R61" i="4"/>
  <c r="G228" i="84"/>
  <c r="O208" i="84"/>
  <c r="O210" i="84" s="1"/>
  <c r="O211" i="84" s="1"/>
  <c r="O212" i="84" s="1"/>
  <c r="O213" i="84" s="1"/>
  <c r="L208" i="84"/>
  <c r="L210" i="84" s="1"/>
  <c r="L211" i="84" s="1"/>
  <c r="G285" i="82"/>
  <c r="O32" i="81"/>
  <c r="J32" i="81"/>
  <c r="G47" i="81"/>
  <c r="H32" i="81"/>
  <c r="Z50" i="4" l="1"/>
  <c r="Z63" i="4" s="1"/>
  <c r="J213" i="84"/>
  <c r="R50" i="4"/>
  <c r="R63" i="4" s="1"/>
  <c r="M50" i="4"/>
  <c r="M63" i="4" s="1"/>
  <c r="P50" i="4"/>
  <c r="P63" i="4" s="1"/>
  <c r="G50" i="4"/>
  <c r="K50" i="4"/>
  <c r="K63" i="4" s="1"/>
  <c r="L50" i="4"/>
  <c r="L63" i="4" s="1"/>
  <c r="V50" i="4"/>
  <c r="V63" i="4" s="1"/>
  <c r="Q50" i="4"/>
  <c r="Q63" i="4" s="1"/>
  <c r="I50" i="4"/>
  <c r="I63" i="4" s="1"/>
  <c r="O50" i="4"/>
  <c r="O63" i="4" s="1"/>
  <c r="X50" i="4"/>
  <c r="X63" i="4" s="1"/>
  <c r="U50" i="4"/>
  <c r="U63" i="4" s="1"/>
  <c r="W50" i="4"/>
  <c r="W63" i="4" s="1"/>
  <c r="N50" i="4"/>
  <c r="N63" i="4" s="1"/>
  <c r="H50" i="4"/>
  <c r="S50" i="4"/>
  <c r="S63" i="4" s="1"/>
  <c r="J50" i="4"/>
  <c r="J63" i="4" s="1"/>
  <c r="Y50" i="4"/>
  <c r="Y63" i="4" s="1"/>
  <c r="P31" i="81"/>
  <c r="P30" i="81"/>
  <c r="G32" i="83"/>
  <c r="L212" i="84" l="1"/>
  <c r="L213" i="84" l="1"/>
  <c r="L32" i="81"/>
  <c r="H54" i="71" l="1"/>
  <c r="D14" i="1"/>
  <c r="D14" i="95" s="1"/>
  <c r="C9" i="1"/>
  <c r="I54" i="71"/>
  <c r="I24" i="71"/>
  <c r="A2" i="5"/>
  <c r="A1" i="5"/>
  <c r="E12" i="78"/>
  <c r="E10" i="78"/>
  <c r="E8" i="78"/>
  <c r="E7" i="78"/>
  <c r="E11" i="74"/>
  <c r="E9" i="74"/>
  <c r="E7" i="74"/>
  <c r="E6" i="74"/>
  <c r="L26" i="74"/>
  <c r="L25" i="74"/>
  <c r="L23" i="74"/>
  <c r="E14" i="44"/>
  <c r="F14" i="44"/>
  <c r="G14" i="44"/>
  <c r="H14" i="44"/>
  <c r="I14" i="44"/>
  <c r="J14" i="44"/>
  <c r="K14" i="44"/>
  <c r="L14" i="44"/>
  <c r="M14" i="44"/>
  <c r="N14" i="44"/>
  <c r="O14" i="44"/>
  <c r="P14" i="44"/>
  <c r="K8" i="4"/>
  <c r="K11" i="4" s="1"/>
  <c r="K12" i="4"/>
  <c r="P13" i="44"/>
  <c r="O13" i="44"/>
  <c r="N13" i="44"/>
  <c r="M13" i="44"/>
  <c r="L13" i="44"/>
  <c r="K13" i="44"/>
  <c r="J13" i="44"/>
  <c r="I13" i="44"/>
  <c r="H13" i="44"/>
  <c r="G13" i="44"/>
  <c r="F13" i="44"/>
  <c r="D13" i="71"/>
  <c r="D11" i="71"/>
  <c r="D8" i="71"/>
  <c r="D7" i="5"/>
  <c r="D10" i="5"/>
  <c r="D11" i="5"/>
  <c r="D12" i="5"/>
  <c r="D7" i="19"/>
  <c r="D8" i="19"/>
  <c r="D10" i="19"/>
  <c r="D12" i="19"/>
  <c r="D11" i="9"/>
  <c r="D12" i="9"/>
  <c r="D16" i="9"/>
  <c r="A3" i="48"/>
  <c r="D5" i="48"/>
  <c r="D6" i="48"/>
  <c r="D7" i="48"/>
  <c r="D9" i="48"/>
  <c r="A4" i="41"/>
  <c r="D7" i="41"/>
  <c r="D8" i="41"/>
  <c r="D33" i="41" s="1"/>
  <c r="D9" i="41"/>
  <c r="D11" i="41"/>
  <c r="D32" i="41"/>
  <c r="D34" i="41"/>
  <c r="D36" i="41"/>
  <c r="B39" i="41"/>
  <c r="A1" i="44"/>
  <c r="A2" i="44"/>
  <c r="D5" i="44"/>
  <c r="D7" i="44"/>
  <c r="D8" i="44"/>
  <c r="D9" i="44"/>
  <c r="D13" i="44"/>
  <c r="D14" i="44"/>
  <c r="A37" i="44"/>
  <c r="B37" i="44"/>
  <c r="A38" i="44"/>
  <c r="B38" i="44"/>
  <c r="A39" i="44"/>
  <c r="B39" i="44"/>
  <c r="A40" i="44"/>
  <c r="B40" i="44"/>
  <c r="D8" i="4"/>
  <c r="C1" i="1"/>
  <c r="C2" i="1"/>
  <c r="C7" i="1"/>
  <c r="C19" i="1"/>
  <c r="L24" i="74"/>
  <c r="A16" i="1" l="1"/>
  <c r="A17" i="96"/>
  <c r="P52" i="71"/>
  <c r="N52" i="71"/>
  <c r="L52" i="71"/>
  <c r="L56" i="71" s="1"/>
  <c r="D26" i="1" s="1"/>
  <c r="K13" i="4"/>
  <c r="K14" i="4" s="1"/>
  <c r="A1" i="95"/>
  <c r="A2" i="95"/>
  <c r="D14" i="4"/>
  <c r="D21" i="44"/>
  <c r="AH22" i="71"/>
  <c r="A1" i="93"/>
  <c r="A2" i="93"/>
  <c r="J52" i="71"/>
  <c r="E41" i="87"/>
  <c r="D9" i="85"/>
  <c r="A1" i="48"/>
  <c r="A1" i="85"/>
  <c r="A2" i="48"/>
  <c r="A2" i="85"/>
  <c r="F284" i="82"/>
  <c r="F286" i="82" s="1"/>
  <c r="F227" i="84"/>
  <c r="F229" i="84" s="1"/>
  <c r="F31" i="83"/>
  <c r="F33" i="83" s="1"/>
  <c r="F46" i="81"/>
  <c r="F48" i="81" s="1"/>
  <c r="A2" i="83"/>
  <c r="A2" i="81"/>
  <c r="A2" i="84"/>
  <c r="A2" i="82"/>
  <c r="A1" i="74"/>
  <c r="A1" i="82"/>
  <c r="A1" i="81"/>
  <c r="A1" i="84"/>
  <c r="A1" i="83"/>
  <c r="B5" i="9"/>
  <c r="A3" i="71"/>
  <c r="A2" i="74"/>
  <c r="E15" i="41"/>
  <c r="D10" i="48" s="1"/>
  <c r="A2" i="41"/>
  <c r="D6" i="44"/>
  <c r="A17" i="41"/>
  <c r="A24" i="1"/>
  <c r="C33" i="4"/>
  <c r="E43" i="4" s="1"/>
  <c r="A17" i="19"/>
  <c r="B88" i="41"/>
  <c r="A2" i="78"/>
  <c r="A1" i="78"/>
  <c r="B4" i="9"/>
  <c r="A1" i="41"/>
  <c r="A2" i="71"/>
  <c r="E44" i="4"/>
  <c r="D15" i="1"/>
  <c r="E14" i="78" l="1"/>
  <c r="E89" i="78" s="1"/>
  <c r="E42" i="87"/>
  <c r="J56" i="71"/>
  <c r="P56" i="71"/>
  <c r="AD56" i="71"/>
  <c r="AF56" i="71"/>
  <c r="T21" i="44"/>
  <c r="R56" i="71"/>
  <c r="AB56" i="71"/>
  <c r="N24" i="44"/>
  <c r="N25" i="44" s="1"/>
  <c r="O24" i="44"/>
  <c r="O25" i="44" s="1"/>
  <c r="J24" i="44"/>
  <c r="J25" i="44" s="1"/>
  <c r="K24" i="44"/>
  <c r="K25" i="44" s="1"/>
  <c r="N56" i="71"/>
  <c r="H24" i="44"/>
  <c r="H25" i="44" s="1"/>
  <c r="I24" i="44"/>
  <c r="I25" i="44" s="1"/>
  <c r="F17" i="44"/>
  <c r="N17" i="44"/>
  <c r="J19" i="44"/>
  <c r="L19" i="44"/>
  <c r="J17" i="44"/>
  <c r="N19" i="44"/>
  <c r="F19" i="44"/>
  <c r="G19" i="44"/>
  <c r="H46" i="44" s="1"/>
  <c r="H17" i="44"/>
  <c r="P17" i="44"/>
  <c r="K17" i="44"/>
  <c r="I17" i="44"/>
  <c r="E19" i="44"/>
  <c r="M19" i="44"/>
  <c r="O19" i="44"/>
  <c r="L17" i="44"/>
  <c r="K19" i="44"/>
  <c r="M17" i="44"/>
  <c r="H19" i="44"/>
  <c r="P19" i="44"/>
  <c r="O17" i="44"/>
  <c r="E17" i="44"/>
  <c r="G17" i="44"/>
  <c r="F46" i="44" s="1"/>
  <c r="I19" i="44"/>
  <c r="E45" i="4"/>
  <c r="C56" i="4"/>
  <c r="E47" i="4"/>
  <c r="E44" i="87"/>
  <c r="C52" i="4"/>
  <c r="B19" i="87"/>
  <c r="B26" i="87" s="1"/>
  <c r="C53" i="4"/>
  <c r="C54" i="4"/>
  <c r="A15" i="44"/>
  <c r="F21" i="41"/>
  <c r="E21" i="41"/>
  <c r="E53" i="4"/>
  <c r="F24" i="44"/>
  <c r="F25" i="44" s="1"/>
  <c r="D24" i="44"/>
  <c r="D25" i="44" s="1"/>
  <c r="E24" i="44"/>
  <c r="E25" i="44" s="1"/>
  <c r="M24" i="44"/>
  <c r="M25" i="44" s="1"/>
  <c r="P25" i="44"/>
  <c r="G24" i="44"/>
  <c r="G25" i="44" s="1"/>
  <c r="D17" i="44"/>
  <c r="E20" i="19" l="1"/>
  <c r="I23" i="95"/>
  <c r="K23" i="95" s="1"/>
  <c r="I24" i="95"/>
  <c r="I25" i="95"/>
  <c r="D29" i="1"/>
  <c r="G46" i="44"/>
  <c r="I21" i="95"/>
  <c r="E18" i="19"/>
  <c r="G18" i="96"/>
  <c r="G21" i="95" s="1"/>
  <c r="D27" i="1"/>
  <c r="F21" i="19"/>
  <c r="F20" i="19"/>
  <c r="G19" i="96"/>
  <c r="G22" i="95" s="1"/>
  <c r="E19" i="19"/>
  <c r="F19" i="19" s="1"/>
  <c r="H19" i="19" s="1"/>
  <c r="D28" i="1"/>
  <c r="F21" i="95"/>
  <c r="F24" i="95"/>
  <c r="F23" i="95"/>
  <c r="F22" i="95"/>
  <c r="F18" i="19"/>
  <c r="H18" i="19" s="1"/>
  <c r="O38" i="44"/>
  <c r="D25" i="1"/>
  <c r="E38" i="44"/>
  <c r="H38" i="44"/>
  <c r="D37" i="44"/>
  <c r="D38" i="44"/>
  <c r="F38" i="44"/>
  <c r="G38" i="44"/>
  <c r="E55" i="4"/>
  <c r="E37" i="74"/>
  <c r="F37" i="44"/>
  <c r="O37" i="44"/>
  <c r="E37" i="44"/>
  <c r="H37" i="44"/>
  <c r="N37" i="44"/>
  <c r="M37" i="44"/>
  <c r="G37" i="44"/>
  <c r="P37" i="44"/>
  <c r="J37" i="44"/>
  <c r="K37" i="44"/>
  <c r="I37" i="44"/>
  <c r="L37" i="44"/>
  <c r="AA44" i="4"/>
  <c r="AA53" i="4" s="1"/>
  <c r="G22" i="74"/>
  <c r="E54" i="4"/>
  <c r="E52" i="4"/>
  <c r="E19" i="87"/>
  <c r="K19" i="87" l="1"/>
  <c r="I19" i="87"/>
  <c r="G22" i="19"/>
  <c r="H22" i="19" s="1"/>
  <c r="K22" i="19" s="1"/>
  <c r="F22" i="19"/>
  <c r="I22" i="95"/>
  <c r="I19" i="19" s="1"/>
  <c r="K19" i="19" s="1"/>
  <c r="G21" i="19"/>
  <c r="H21" i="19" s="1"/>
  <c r="J19" i="96"/>
  <c r="M19" i="96" s="1"/>
  <c r="H19" i="96"/>
  <c r="J21" i="96"/>
  <c r="H21" i="96"/>
  <c r="I20" i="19"/>
  <c r="J20" i="96"/>
  <c r="H20" i="96"/>
  <c r="J18" i="96"/>
  <c r="H18" i="96"/>
  <c r="O33" i="74"/>
  <c r="L22" i="74"/>
  <c r="G21" i="74"/>
  <c r="L21" i="74"/>
  <c r="G30" i="19"/>
  <c r="P38" i="44"/>
  <c r="N38" i="44"/>
  <c r="M38" i="44"/>
  <c r="L38" i="44"/>
  <c r="K38" i="44"/>
  <c r="E64" i="4"/>
  <c r="J38" i="44"/>
  <c r="F21" i="87"/>
  <c r="K44" i="4"/>
  <c r="K53" i="4" s="1"/>
  <c r="I38" i="44"/>
  <c r="H40" i="41"/>
  <c r="Z44" i="4"/>
  <c r="Z53" i="4" s="1"/>
  <c r="G20" i="19"/>
  <c r="H20" i="19" s="1"/>
  <c r="F40" i="41"/>
  <c r="F43" i="41" s="1"/>
  <c r="G19" i="19"/>
  <c r="I44" i="4"/>
  <c r="I53" i="4" s="1"/>
  <c r="Q44" i="4"/>
  <c r="Q53" i="4" s="1"/>
  <c r="F44" i="4"/>
  <c r="J44" i="4"/>
  <c r="J53" i="4" s="1"/>
  <c r="R44" i="4"/>
  <c r="R53" i="4" s="1"/>
  <c r="O44" i="4"/>
  <c r="O53" i="4" s="1"/>
  <c r="S44" i="4"/>
  <c r="S53" i="4" s="1"/>
  <c r="V44" i="4"/>
  <c r="V53" i="4" s="1"/>
  <c r="G44" i="4"/>
  <c r="G53" i="4" s="1"/>
  <c r="L44" i="4"/>
  <c r="L53" i="4" s="1"/>
  <c r="U44" i="4"/>
  <c r="U53" i="4" s="1"/>
  <c r="M44" i="4"/>
  <c r="M53" i="4" s="1"/>
  <c r="P44" i="4"/>
  <c r="P53" i="4" s="1"/>
  <c r="Y44" i="4"/>
  <c r="Y53" i="4" s="1"/>
  <c r="N44" i="4"/>
  <c r="N53" i="4" s="1"/>
  <c r="W44" i="4"/>
  <c r="W53" i="4" s="1"/>
  <c r="X44" i="4"/>
  <c r="X53" i="4" s="1"/>
  <c r="H44" i="4"/>
  <c r="H53" i="4" s="1"/>
  <c r="F59" i="4"/>
  <c r="F61" i="4"/>
  <c r="F21" i="9"/>
  <c r="H21" i="9" s="1"/>
  <c r="J21" i="9" s="1"/>
  <c r="G20" i="4"/>
  <c r="C42" i="1"/>
  <c r="I34" i="95" l="1"/>
  <c r="I35" i="95" s="1"/>
  <c r="I37" i="95" s="1"/>
  <c r="M18" i="96"/>
  <c r="J35" i="96"/>
  <c r="M21" i="74"/>
  <c r="I18" i="19"/>
  <c r="K20" i="19"/>
  <c r="M20" i="96"/>
  <c r="H35" i="96"/>
  <c r="I18" i="96"/>
  <c r="I19" i="96" s="1"/>
  <c r="I20" i="96" s="1"/>
  <c r="I21" i="96" s="1"/>
  <c r="I22" i="96" s="1"/>
  <c r="I23" i="96" s="1"/>
  <c r="I24" i="96" s="1"/>
  <c r="I25" i="96" s="1"/>
  <c r="M21" i="96"/>
  <c r="K18" i="96"/>
  <c r="K19" i="96" s="1"/>
  <c r="K20" i="96" s="1"/>
  <c r="K21" i="96" s="1"/>
  <c r="K22" i="96" s="1"/>
  <c r="K23" i="96" s="1"/>
  <c r="K24" i="96" s="1"/>
  <c r="K25" i="96" s="1"/>
  <c r="N33" i="74"/>
  <c r="N36" i="74" s="1"/>
  <c r="G19" i="74"/>
  <c r="G20" i="74"/>
  <c r="G23" i="4"/>
  <c r="C40" i="96" s="1"/>
  <c r="C41" i="96" s="1"/>
  <c r="H43" i="41"/>
  <c r="Z39" i="41"/>
  <c r="AA46" i="4"/>
  <c r="AA55" i="4" s="1"/>
  <c r="AA45" i="4"/>
  <c r="AA54" i="4" s="1"/>
  <c r="G29" i="19"/>
  <c r="P40" i="41"/>
  <c r="G27" i="19"/>
  <c r="O43" i="41"/>
  <c r="N40" i="41"/>
  <c r="I45" i="4"/>
  <c r="I54" i="4" s="1"/>
  <c r="R45" i="4"/>
  <c r="R54" i="4" s="1"/>
  <c r="V45" i="4"/>
  <c r="V54" i="4" s="1"/>
  <c r="M45" i="4"/>
  <c r="M54" i="4" s="1"/>
  <c r="N45" i="4"/>
  <c r="N54" i="4" s="1"/>
  <c r="O45" i="4"/>
  <c r="O54" i="4" s="1"/>
  <c r="F45" i="4"/>
  <c r="F54" i="4" s="1"/>
  <c r="J45" i="4"/>
  <c r="J54" i="4" s="1"/>
  <c r="U45" i="4"/>
  <c r="U54" i="4" s="1"/>
  <c r="H45" i="4"/>
  <c r="H54" i="4" s="1"/>
  <c r="L45" i="4"/>
  <c r="L54" i="4" s="1"/>
  <c r="Y45" i="4"/>
  <c r="Y54" i="4" s="1"/>
  <c r="P45" i="4"/>
  <c r="P54" i="4" s="1"/>
  <c r="Q45" i="4"/>
  <c r="Q54" i="4" s="1"/>
  <c r="S45" i="4"/>
  <c r="S54" i="4" s="1"/>
  <c r="G45" i="4"/>
  <c r="G54" i="4" s="1"/>
  <c r="X45" i="4"/>
  <c r="X54" i="4" s="1"/>
  <c r="W45" i="4"/>
  <c r="W54" i="4" s="1"/>
  <c r="G25" i="19"/>
  <c r="Z45" i="4"/>
  <c r="Z54" i="4" s="1"/>
  <c r="K45" i="4"/>
  <c r="K54" i="4" s="1"/>
  <c r="L40" i="41"/>
  <c r="L43" i="41" s="1"/>
  <c r="F27" i="41"/>
  <c r="G24" i="19"/>
  <c r="K40" i="41"/>
  <c r="K43" i="41" s="1"/>
  <c r="J40" i="41"/>
  <c r="I40" i="41"/>
  <c r="I43" i="41" s="1"/>
  <c r="Z46" i="4"/>
  <c r="Z55" i="4" s="1"/>
  <c r="L46" i="4"/>
  <c r="L55" i="4" s="1"/>
  <c r="U46" i="4"/>
  <c r="U55" i="4" s="1"/>
  <c r="N46" i="4"/>
  <c r="N55" i="4" s="1"/>
  <c r="M46" i="4"/>
  <c r="M55" i="4" s="1"/>
  <c r="V46" i="4"/>
  <c r="V55" i="4" s="1"/>
  <c r="I46" i="4"/>
  <c r="I55" i="4" s="1"/>
  <c r="W46" i="4"/>
  <c r="W55" i="4" s="1"/>
  <c r="G46" i="4"/>
  <c r="G55" i="4" s="1"/>
  <c r="O46" i="4"/>
  <c r="O55" i="4" s="1"/>
  <c r="X46" i="4"/>
  <c r="X55" i="4" s="1"/>
  <c r="Q46" i="4"/>
  <c r="Q55" i="4" s="1"/>
  <c r="J46" i="4"/>
  <c r="J55" i="4" s="1"/>
  <c r="H46" i="4"/>
  <c r="H55" i="4" s="1"/>
  <c r="P46" i="4"/>
  <c r="P55" i="4" s="1"/>
  <c r="Y46" i="4"/>
  <c r="Y55" i="4" s="1"/>
  <c r="K46" i="4"/>
  <c r="K55" i="4" s="1"/>
  <c r="S46" i="4"/>
  <c r="S55" i="4" s="1"/>
  <c r="R46" i="4"/>
  <c r="R55" i="4" s="1"/>
  <c r="F46" i="4"/>
  <c r="F55" i="4" s="1"/>
  <c r="G40" i="41"/>
  <c r="G43" i="41" s="1"/>
  <c r="E40" i="41"/>
  <c r="E19" i="4"/>
  <c r="E20" i="4" s="1"/>
  <c r="E23" i="4" s="1"/>
  <c r="D18" i="44"/>
  <c r="T18" i="44" s="1"/>
  <c r="T19" i="44" s="1"/>
  <c r="E21" i="87"/>
  <c r="E19" i="5" s="1"/>
  <c r="E21" i="5" s="1"/>
  <c r="E27" i="41"/>
  <c r="F22" i="9"/>
  <c r="F25" i="9" s="1"/>
  <c r="F53" i="4"/>
  <c r="H38" i="19"/>
  <c r="H41" i="19"/>
  <c r="C37" i="19" l="1"/>
  <c r="J24" i="74"/>
  <c r="H32" i="74"/>
  <c r="M36" i="96"/>
  <c r="L33" i="74"/>
  <c r="J43" i="41"/>
  <c r="C30" i="1"/>
  <c r="K18" i="19"/>
  <c r="N18" i="96"/>
  <c r="N19" i="96" s="1"/>
  <c r="N20" i="96" s="1"/>
  <c r="N21" i="96" s="1"/>
  <c r="N22" i="96" s="1"/>
  <c r="N23" i="96" s="1"/>
  <c r="N24" i="96" s="1"/>
  <c r="N25" i="96" s="1"/>
  <c r="M33" i="74"/>
  <c r="I21" i="19"/>
  <c r="I32" i="19" s="1"/>
  <c r="G32" i="87"/>
  <c r="G35" i="87" s="1"/>
  <c r="E43" i="41"/>
  <c r="C43" i="1"/>
  <c r="G18" i="19"/>
  <c r="D22" i="44"/>
  <c r="N43" i="41"/>
  <c r="P43" i="41"/>
  <c r="G21" i="87"/>
  <c r="F21" i="5"/>
  <c r="E35" i="5"/>
  <c r="AA43" i="4"/>
  <c r="AA52" i="4" s="1"/>
  <c r="G28" i="19"/>
  <c r="L28" i="87"/>
  <c r="G26" i="19"/>
  <c r="H21" i="87"/>
  <c r="C32" i="93"/>
  <c r="J32" i="93" s="1"/>
  <c r="K19" i="93"/>
  <c r="N21" i="19"/>
  <c r="Z43" i="4"/>
  <c r="Z52" i="4" s="1"/>
  <c r="F20" i="4"/>
  <c r="F23" i="4" s="1"/>
  <c r="J43" i="4"/>
  <c r="J52" i="4" s="1"/>
  <c r="R43" i="4"/>
  <c r="R52" i="4" s="1"/>
  <c r="U43" i="4"/>
  <c r="U52" i="4" s="1"/>
  <c r="K43" i="4"/>
  <c r="K52" i="4" s="1"/>
  <c r="S43" i="4"/>
  <c r="S52" i="4" s="1"/>
  <c r="L43" i="4"/>
  <c r="L52" i="4" s="1"/>
  <c r="V43" i="4"/>
  <c r="V52" i="4" s="1"/>
  <c r="X43" i="4"/>
  <c r="X52" i="4" s="1"/>
  <c r="H43" i="4"/>
  <c r="H52" i="4" s="1"/>
  <c r="P43" i="4"/>
  <c r="P52" i="4" s="1"/>
  <c r="M43" i="4"/>
  <c r="M52" i="4" s="1"/>
  <c r="N43" i="4"/>
  <c r="N52" i="4" s="1"/>
  <c r="W43" i="4"/>
  <c r="W52" i="4" s="1"/>
  <c r="G43" i="4"/>
  <c r="G52" i="4" s="1"/>
  <c r="Y43" i="4"/>
  <c r="Y52" i="4" s="1"/>
  <c r="I43" i="4"/>
  <c r="I52" i="4" s="1"/>
  <c r="Q43" i="4"/>
  <c r="Q52" i="4" s="1"/>
  <c r="O43" i="4"/>
  <c r="O52" i="4" s="1"/>
  <c r="D19" i="44"/>
  <c r="F43" i="4"/>
  <c r="F52" i="4" s="1"/>
  <c r="E34" i="4"/>
  <c r="F23" i="87"/>
  <c r="J22" i="9"/>
  <c r="J25" i="9" s="1"/>
  <c r="H22" i="9"/>
  <c r="H25" i="9" s="1"/>
  <c r="J26" i="44" l="1"/>
  <c r="K26" i="44"/>
  <c r="K27" i="44" s="1"/>
  <c r="H47" i="9"/>
  <c r="H34" i="9"/>
  <c r="H35" i="9"/>
  <c r="H39" i="9"/>
  <c r="H46" i="9"/>
  <c r="E26" i="44"/>
  <c r="J27" i="44"/>
  <c r="G26" i="44"/>
  <c r="G27" i="44" s="1"/>
  <c r="I46" i="44" s="1"/>
  <c r="H26" i="44"/>
  <c r="H27" i="44" s="1"/>
  <c r="I26" i="44"/>
  <c r="I27" i="44" s="1"/>
  <c r="E38" i="4"/>
  <c r="S35" i="4"/>
  <c r="U35" i="4"/>
  <c r="H21" i="5"/>
  <c r="F41" i="87"/>
  <c r="C24" i="1"/>
  <c r="C37" i="1" s="1"/>
  <c r="C47" i="1"/>
  <c r="D47" i="1" s="1"/>
  <c r="H45" i="9"/>
  <c r="H37" i="9"/>
  <c r="K21" i="19"/>
  <c r="I35" i="19"/>
  <c r="E27" i="44"/>
  <c r="F26" i="44"/>
  <c r="F27" i="44" s="1"/>
  <c r="H32" i="87"/>
  <c r="M38" i="96"/>
  <c r="G26" i="87" s="1"/>
  <c r="D43" i="1"/>
  <c r="E43" i="1" s="1"/>
  <c r="M25" i="19"/>
  <c r="H32" i="19"/>
  <c r="K26" i="87"/>
  <c r="F25" i="5"/>
  <c r="J19" i="87"/>
  <c r="G32" i="19"/>
  <c r="Z40" i="41"/>
  <c r="Z43" i="41" s="1"/>
  <c r="D32" i="19"/>
  <c r="M89" i="41"/>
  <c r="L19" i="93"/>
  <c r="M22" i="93" s="1"/>
  <c r="K29" i="93"/>
  <c r="K32" i="93"/>
  <c r="D42" i="1"/>
  <c r="G23" i="87"/>
  <c r="M21" i="19"/>
  <c r="O21" i="19" s="1"/>
  <c r="F32" i="19"/>
  <c r="G89" i="41"/>
  <c r="E89" i="41"/>
  <c r="H35" i="4"/>
  <c r="P35" i="4"/>
  <c r="K35" i="4"/>
  <c r="I35" i="4"/>
  <c r="N35" i="4"/>
  <c r="Q35" i="4"/>
  <c r="L35" i="4"/>
  <c r="G35" i="4"/>
  <c r="F35" i="4"/>
  <c r="O35" i="4"/>
  <c r="J35" i="4"/>
  <c r="M35" i="4"/>
  <c r="R35" i="4"/>
  <c r="F89" i="41"/>
  <c r="D51" i="9"/>
  <c r="D17" i="9"/>
  <c r="I38" i="19"/>
  <c r="J39" i="9" l="1"/>
  <c r="H33" i="9"/>
  <c r="J40" i="9"/>
  <c r="J47" i="9"/>
  <c r="J46" i="9"/>
  <c r="U39" i="4"/>
  <c r="S39" i="4"/>
  <c r="AB35" i="4"/>
  <c r="C54" i="1"/>
  <c r="H41" i="87"/>
  <c r="F44" i="87"/>
  <c r="H35" i="19"/>
  <c r="H33" i="19"/>
  <c r="E47" i="1"/>
  <c r="E54" i="1" s="1"/>
  <c r="E56" i="1" s="1"/>
  <c r="D54" i="1"/>
  <c r="G28" i="87"/>
  <c r="G37" i="87" s="1"/>
  <c r="I21" i="5"/>
  <c r="K32" i="19"/>
  <c r="K35" i="19" s="1"/>
  <c r="J45" i="9"/>
  <c r="J34" i="9"/>
  <c r="H25" i="5"/>
  <c r="F38" i="5"/>
  <c r="F33" i="9"/>
  <c r="G39" i="4"/>
  <c r="F39" i="4"/>
  <c r="L29" i="93"/>
  <c r="M21" i="93"/>
  <c r="M20" i="93"/>
  <c r="L32" i="93"/>
  <c r="L41" i="93" s="1"/>
  <c r="K41" i="93"/>
  <c r="M19" i="93"/>
  <c r="J21" i="87"/>
  <c r="J44" i="9"/>
  <c r="F50" i="4"/>
  <c r="F63" i="4" s="1"/>
  <c r="C38" i="19"/>
  <c r="I21" i="87"/>
  <c r="H23" i="87" s="1"/>
  <c r="J23" i="87" s="1"/>
  <c r="L39" i="4"/>
  <c r="I39" i="4"/>
  <c r="H36" i="9" s="1"/>
  <c r="N39" i="4"/>
  <c r="H41" i="9" s="1"/>
  <c r="J39" i="4"/>
  <c r="O39" i="4"/>
  <c r="R39" i="4"/>
  <c r="Q39" i="4"/>
  <c r="M39" i="4"/>
  <c r="H40" i="9" s="1"/>
  <c r="P39" i="4"/>
  <c r="H39" i="4"/>
  <c r="K39" i="4"/>
  <c r="H38" i="9" s="1"/>
  <c r="K28" i="87"/>
  <c r="N28" i="87" s="1"/>
  <c r="J37" i="9"/>
  <c r="J38" i="9"/>
  <c r="J36" i="9"/>
  <c r="J41" i="9"/>
  <c r="J43" i="9"/>
  <c r="J42" i="9"/>
  <c r="E42" i="1"/>
  <c r="J41" i="87" l="1"/>
  <c r="P41" i="87"/>
  <c r="G33" i="9"/>
  <c r="G34" i="9" s="1"/>
  <c r="F28" i="87"/>
  <c r="F37" i="87" s="1"/>
  <c r="F46" i="87" s="1"/>
  <c r="H26" i="87"/>
  <c r="N26" i="87" s="1"/>
  <c r="D26" i="44"/>
  <c r="D27" i="44" s="1"/>
  <c r="H38" i="5"/>
  <c r="G25" i="5"/>
  <c r="D23" i="44"/>
  <c r="J38" i="5"/>
  <c r="J21" i="5"/>
  <c r="L38" i="5"/>
  <c r="M38" i="5" s="1"/>
  <c r="L56" i="93"/>
  <c r="L58" i="93" s="1"/>
  <c r="M29" i="93"/>
  <c r="M32" i="93"/>
  <c r="M41" i="93"/>
  <c r="J33" i="9"/>
  <c r="K33" i="9" s="1"/>
  <c r="K34" i="9" s="1"/>
  <c r="F35" i="9"/>
  <c r="F48" i="9" s="1"/>
  <c r="I33" i="9"/>
  <c r="I34" i="9" s="1"/>
  <c r="I35" i="9" s="1"/>
  <c r="L37" i="87" l="1"/>
  <c r="I36" i="9"/>
  <c r="F49" i="87"/>
  <c r="H49" i="87" s="1"/>
  <c r="H28" i="87"/>
  <c r="J35" i="9"/>
  <c r="K35" i="9" s="1"/>
  <c r="K36" i="9" s="1"/>
  <c r="K37" i="9" s="1"/>
  <c r="K38" i="9" s="1"/>
  <c r="G35" i="9"/>
  <c r="G36" i="9" s="1"/>
  <c r="G37" i="9" s="1"/>
  <c r="G38" i="9" s="1"/>
  <c r="D39" i="44"/>
  <c r="I35" i="5"/>
  <c r="K35" i="5" s="1"/>
  <c r="J39" i="44"/>
  <c r="M39" i="44"/>
  <c r="E39" i="44"/>
  <c r="F39" i="44"/>
  <c r="O39" i="44"/>
  <c r="M35" i="5"/>
  <c r="N39" i="44"/>
  <c r="L39" i="44"/>
  <c r="K39" i="44"/>
  <c r="H40" i="44"/>
  <c r="G39" i="44"/>
  <c r="I39" i="44"/>
  <c r="H39" i="44"/>
  <c r="G39" i="9" l="1"/>
  <c r="G40" i="9" s="1"/>
  <c r="G48" i="9" s="1"/>
  <c r="K39" i="9"/>
  <c r="I37" i="9"/>
  <c r="I38" i="9" s="1"/>
  <c r="F52" i="87"/>
  <c r="H52" i="87" s="1"/>
  <c r="J48" i="9"/>
  <c r="P39" i="44"/>
  <c r="M58" i="93"/>
  <c r="H33" i="87"/>
  <c r="H35" i="87" s="1"/>
  <c r="H37" i="87" s="1"/>
  <c r="K40" i="9" l="1"/>
  <c r="K48" i="9" s="1"/>
  <c r="I39" i="9"/>
  <c r="G55" i="87"/>
  <c r="I40" i="9" l="1"/>
  <c r="I41" i="9" s="1"/>
  <c r="G56" i="87"/>
  <c r="F55" i="87"/>
  <c r="F56" i="87" s="1"/>
  <c r="H34" i="74"/>
  <c r="H56" i="87" l="1"/>
  <c r="G57" i="87"/>
  <c r="F57" i="87"/>
  <c r="G59" i="87" l="1"/>
  <c r="F59" i="87"/>
  <c r="H42" i="87"/>
  <c r="H44" i="87" s="1"/>
  <c r="J42" i="87" l="1"/>
  <c r="K42" i="87"/>
  <c r="P42" i="87"/>
  <c r="J44" i="87" l="1"/>
  <c r="H59" i="87"/>
  <c r="J19" i="5" l="1"/>
  <c r="I19" i="5"/>
  <c r="Y61" i="4"/>
  <c r="J23" i="5" l="1"/>
  <c r="M49" i="44" l="1"/>
  <c r="J51" i="44"/>
  <c r="A30" i="44"/>
  <c r="N32" i="44"/>
  <c r="G40" i="44"/>
  <c r="G30" i="44"/>
  <c r="K32" i="44"/>
  <c r="D32" i="44"/>
  <c r="K33" i="44"/>
  <c r="K40" i="44"/>
  <c r="K30" i="44"/>
  <c r="L32" i="44"/>
  <c r="M40" i="44"/>
  <c r="M30" i="44"/>
  <c r="P40" i="44"/>
  <c r="P30" i="44"/>
  <c r="F40" i="44"/>
  <c r="F32" i="44"/>
  <c r="F30" i="44"/>
  <c r="J30" i="44"/>
  <c r="J40" i="44"/>
  <c r="D40" i="44"/>
  <c r="D30" i="44"/>
  <c r="L30" i="44"/>
  <c r="L40" i="44"/>
  <c r="N30" i="44"/>
  <c r="N40" i="44"/>
  <c r="E30" i="44"/>
  <c r="E40" i="44"/>
  <c r="O32" i="44"/>
  <c r="M32" i="44"/>
  <c r="E33" i="44"/>
  <c r="I40" i="44"/>
  <c r="I30" i="44"/>
  <c r="H30" i="44"/>
  <c r="O30" i="44"/>
  <c r="O40" i="44"/>
  <c r="H43" i="9" l="1"/>
  <c r="H44" i="9"/>
  <c r="F40" i="4"/>
  <c r="H42" i="9" l="1"/>
  <c r="G40" i="4"/>
  <c r="H40" i="4" s="1"/>
  <c r="I40" i="4" s="1"/>
  <c r="I42" i="9" l="1"/>
  <c r="I43" i="9" s="1"/>
  <c r="I44" i="9" s="1"/>
  <c r="I45" i="9" s="1"/>
  <c r="I46" i="9" s="1"/>
  <c r="I47" i="9" s="1"/>
  <c r="H48" i="9"/>
  <c r="J51" i="9" s="1"/>
  <c r="J40" i="4"/>
  <c r="K40" i="4" s="1"/>
  <c r="L40" i="4" l="1"/>
  <c r="M40" i="4" s="1"/>
  <c r="N40" i="4" s="1"/>
  <c r="O40" i="4" s="1"/>
  <c r="P40" i="4" s="1"/>
  <c r="Q40" i="4" s="1"/>
  <c r="R40" i="4" s="1"/>
</calcChain>
</file>

<file path=xl/comments1.xml><?xml version="1.0" encoding="utf-8"?>
<comments xmlns="http://schemas.openxmlformats.org/spreadsheetml/2006/main">
  <authors>
    <author>Norbertt</author>
  </authors>
  <commentList>
    <comment ref="C14" authorId="0" shapeId="0">
      <text>
        <r>
          <rPr>
            <b/>
            <sz val="9"/>
            <color indexed="81"/>
            <rFont val="Tahoma"/>
            <family val="2"/>
          </rPr>
          <t>Norbertt:</t>
        </r>
        <r>
          <rPr>
            <sz val="9"/>
            <color indexed="81"/>
            <rFont val="Tahoma"/>
            <family val="2"/>
          </rPr>
          <t xml:space="preserve">
SIAF 1142 
HGD CONTRATISTA SAC.</t>
        </r>
      </text>
    </comment>
  </commentList>
</comments>
</file>

<file path=xl/comments2.xml><?xml version="1.0" encoding="utf-8"?>
<comments xmlns="http://schemas.openxmlformats.org/spreadsheetml/2006/main">
  <authors>
    <author>NORBERTT</author>
  </authors>
  <commentList>
    <comment ref="H19" authorId="0" shapeId="0">
      <text>
        <r>
          <rPr>
            <b/>
            <sz val="9"/>
            <color indexed="81"/>
            <rFont val="Tahoma"/>
            <family val="2"/>
          </rPr>
          <t>NORBERTT:</t>
        </r>
        <r>
          <rPr>
            <sz val="9"/>
            <color indexed="81"/>
            <rFont val="Tahoma"/>
            <family val="2"/>
          </rPr>
          <t xml:space="preserve">
MES DE V.R.</t>
        </r>
      </text>
    </comment>
    <comment ref="I19" authorId="0" shapeId="0">
      <text>
        <r>
          <rPr>
            <b/>
            <sz val="9"/>
            <color indexed="81"/>
            <rFont val="Tahoma"/>
            <family val="2"/>
          </rPr>
          <t>NORBERTT:</t>
        </r>
        <r>
          <rPr>
            <sz val="9"/>
            <color indexed="81"/>
            <rFont val="Tahoma"/>
            <family val="2"/>
          </rPr>
          <t xml:space="preserve">
MES DEL ADELANTO</t>
        </r>
      </text>
    </comment>
    <comment ref="J19" authorId="0" shapeId="0">
      <text>
        <r>
          <rPr>
            <b/>
            <sz val="9"/>
            <color indexed="81"/>
            <rFont val="Tahoma"/>
            <family val="2"/>
          </rPr>
          <t>NORBERTT:</t>
        </r>
        <r>
          <rPr>
            <sz val="9"/>
            <color indexed="81"/>
            <rFont val="Tahoma"/>
            <family val="2"/>
          </rPr>
          <t xml:space="preserve">
MES DE REAJUSTE</t>
        </r>
      </text>
    </comment>
    <comment ref="H34" authorId="0" shapeId="0">
      <text>
        <r>
          <rPr>
            <b/>
            <sz val="9"/>
            <color indexed="81"/>
            <rFont val="Tahoma"/>
            <family val="2"/>
          </rPr>
          <t>NORBERTT:</t>
        </r>
        <r>
          <rPr>
            <sz val="9"/>
            <color indexed="81"/>
            <rFont val="Tahoma"/>
            <family val="2"/>
          </rPr>
          <t xml:space="preserve">
MES DE V.R.</t>
        </r>
      </text>
    </comment>
    <comment ref="I34" authorId="0" shapeId="0">
      <text>
        <r>
          <rPr>
            <b/>
            <sz val="9"/>
            <color indexed="81"/>
            <rFont val="Tahoma"/>
            <family val="2"/>
          </rPr>
          <t>NORBERTT:</t>
        </r>
        <r>
          <rPr>
            <sz val="9"/>
            <color indexed="81"/>
            <rFont val="Tahoma"/>
            <family val="2"/>
          </rPr>
          <t xml:space="preserve">
MES DEL ADELANTO</t>
        </r>
      </text>
    </comment>
    <comment ref="J34" authorId="0" shapeId="0">
      <text>
        <r>
          <rPr>
            <b/>
            <sz val="9"/>
            <color indexed="81"/>
            <rFont val="Tahoma"/>
            <family val="2"/>
          </rPr>
          <t>NORBERTT:</t>
        </r>
        <r>
          <rPr>
            <sz val="9"/>
            <color indexed="81"/>
            <rFont val="Tahoma"/>
            <family val="2"/>
          </rPr>
          <t xml:space="preserve">
MES DE REAJUSTE</t>
        </r>
      </text>
    </comment>
    <comment ref="H49" authorId="0" shapeId="0">
      <text>
        <r>
          <rPr>
            <b/>
            <sz val="9"/>
            <color indexed="81"/>
            <rFont val="Tahoma"/>
            <family val="2"/>
          </rPr>
          <t>NORBERTT:</t>
        </r>
        <r>
          <rPr>
            <sz val="9"/>
            <color indexed="81"/>
            <rFont val="Tahoma"/>
            <family val="2"/>
          </rPr>
          <t xml:space="preserve">
MES DE V.R.</t>
        </r>
      </text>
    </comment>
    <comment ref="I49" authorId="0" shapeId="0">
      <text>
        <r>
          <rPr>
            <b/>
            <sz val="9"/>
            <color indexed="81"/>
            <rFont val="Tahoma"/>
            <family val="2"/>
          </rPr>
          <t>NORBERTT:</t>
        </r>
        <r>
          <rPr>
            <sz val="9"/>
            <color indexed="81"/>
            <rFont val="Tahoma"/>
            <family val="2"/>
          </rPr>
          <t xml:space="preserve">
MES DEL ADELANTO</t>
        </r>
      </text>
    </comment>
    <comment ref="J49" authorId="0" shapeId="0">
      <text>
        <r>
          <rPr>
            <b/>
            <sz val="9"/>
            <color indexed="81"/>
            <rFont val="Tahoma"/>
            <family val="2"/>
          </rPr>
          <t>NORBERTT:</t>
        </r>
        <r>
          <rPr>
            <sz val="9"/>
            <color indexed="81"/>
            <rFont val="Tahoma"/>
            <family val="2"/>
          </rPr>
          <t xml:space="preserve">
MES DE REAJUSTE</t>
        </r>
      </text>
    </comment>
    <comment ref="H63" authorId="0" shapeId="0">
      <text>
        <r>
          <rPr>
            <b/>
            <sz val="9"/>
            <color indexed="81"/>
            <rFont val="Tahoma"/>
            <family val="2"/>
          </rPr>
          <t>NORBERTT:</t>
        </r>
        <r>
          <rPr>
            <sz val="9"/>
            <color indexed="81"/>
            <rFont val="Tahoma"/>
            <family val="2"/>
          </rPr>
          <t xml:space="preserve">
MES DE V.R.</t>
        </r>
      </text>
    </comment>
    <comment ref="I63" authorId="0" shapeId="0">
      <text>
        <r>
          <rPr>
            <b/>
            <sz val="9"/>
            <color indexed="81"/>
            <rFont val="Tahoma"/>
            <family val="2"/>
          </rPr>
          <t>NORBERTT:</t>
        </r>
        <r>
          <rPr>
            <sz val="9"/>
            <color indexed="81"/>
            <rFont val="Tahoma"/>
            <family val="2"/>
          </rPr>
          <t xml:space="preserve">
MES DEL ADELANTO</t>
        </r>
      </text>
    </comment>
    <comment ref="J63" authorId="0" shapeId="0">
      <text>
        <r>
          <rPr>
            <b/>
            <sz val="9"/>
            <color indexed="81"/>
            <rFont val="Tahoma"/>
            <family val="2"/>
          </rPr>
          <t>NORBERTT:</t>
        </r>
        <r>
          <rPr>
            <sz val="9"/>
            <color indexed="81"/>
            <rFont val="Tahoma"/>
            <family val="2"/>
          </rPr>
          <t xml:space="preserve">
MES DE REAJUSTE</t>
        </r>
      </text>
    </comment>
    <comment ref="H77" authorId="0" shapeId="0">
      <text>
        <r>
          <rPr>
            <b/>
            <sz val="9"/>
            <color indexed="81"/>
            <rFont val="Tahoma"/>
            <family val="2"/>
          </rPr>
          <t>NORBERTT:</t>
        </r>
        <r>
          <rPr>
            <sz val="9"/>
            <color indexed="81"/>
            <rFont val="Tahoma"/>
            <family val="2"/>
          </rPr>
          <t xml:space="preserve">
MES DE V.R.</t>
        </r>
      </text>
    </comment>
    <comment ref="I77" authorId="0" shapeId="0">
      <text>
        <r>
          <rPr>
            <b/>
            <sz val="9"/>
            <color indexed="81"/>
            <rFont val="Tahoma"/>
            <family val="2"/>
          </rPr>
          <t>NORBERTT:</t>
        </r>
        <r>
          <rPr>
            <sz val="9"/>
            <color indexed="81"/>
            <rFont val="Tahoma"/>
            <family val="2"/>
          </rPr>
          <t xml:space="preserve">
MES DEL ADELANTO</t>
        </r>
      </text>
    </comment>
    <comment ref="J77" authorId="0" shapeId="0">
      <text>
        <r>
          <rPr>
            <b/>
            <sz val="9"/>
            <color indexed="81"/>
            <rFont val="Tahoma"/>
            <family val="2"/>
          </rPr>
          <t>NORBERTT:</t>
        </r>
        <r>
          <rPr>
            <sz val="9"/>
            <color indexed="81"/>
            <rFont val="Tahoma"/>
            <family val="2"/>
          </rPr>
          <t xml:space="preserve">
MES DE REAJUSTE</t>
        </r>
      </text>
    </comment>
  </commentList>
</comments>
</file>

<file path=xl/comments3.xml><?xml version="1.0" encoding="utf-8"?>
<comments xmlns="http://schemas.openxmlformats.org/spreadsheetml/2006/main">
  <authors>
    <author>NORBERTT</author>
  </authors>
  <commentList>
    <comment ref="F20" authorId="0" shapeId="0">
      <text>
        <r>
          <rPr>
            <b/>
            <sz val="9"/>
            <color indexed="81"/>
            <rFont val="Tahoma"/>
            <family val="2"/>
          </rPr>
          <t>NORBERTT:</t>
        </r>
        <r>
          <rPr>
            <sz val="9"/>
            <color indexed="81"/>
            <rFont val="Tahoma"/>
            <family val="2"/>
          </rPr>
          <t xml:space="preserve">
MES DEL ADELANTO</t>
        </r>
      </text>
    </comment>
    <comment ref="G20" authorId="0" shapeId="0">
      <text>
        <r>
          <rPr>
            <b/>
            <sz val="9"/>
            <color indexed="81"/>
            <rFont val="Tahoma"/>
            <family val="2"/>
          </rPr>
          <t>NORBERTT:</t>
        </r>
        <r>
          <rPr>
            <sz val="9"/>
            <color indexed="81"/>
            <rFont val="Tahoma"/>
            <family val="2"/>
          </rPr>
          <t xml:space="preserve">
MES DE REAJUSTE</t>
        </r>
      </text>
    </comment>
  </commentList>
</comments>
</file>

<file path=xl/comments4.xml><?xml version="1.0" encoding="utf-8"?>
<comments xmlns="http://schemas.openxmlformats.org/spreadsheetml/2006/main">
  <authors>
    <author>norbertt</author>
    <author>Alex</author>
  </authors>
  <commentList>
    <comment ref="H17" authorId="0" shapeId="0">
      <text>
        <r>
          <rPr>
            <b/>
            <sz val="8"/>
            <color indexed="81"/>
            <rFont val="Tahoma"/>
            <family val="2"/>
          </rPr>
          <t>MES EN EL CUAL SE REALIZO EL PRESUPUESTO DEL EXPEDINTE TECNICO</t>
        </r>
      </text>
    </comment>
    <comment ref="I17" authorId="0" shapeId="0">
      <text>
        <r>
          <rPr>
            <b/>
            <sz val="8"/>
            <color indexed="81"/>
            <rFont val="Tahoma"/>
            <family val="2"/>
          </rPr>
          <t xml:space="preserve">MES EN EL CUAL SE REALIZO EL PAGO DEL ADELANTO DE MATERIALES
</t>
        </r>
      </text>
    </comment>
    <comment ref="I20" authorId="1" shapeId="0">
      <text>
        <r>
          <rPr>
            <b/>
            <sz val="9"/>
            <color indexed="81"/>
            <rFont val="Tahoma"/>
            <family val="2"/>
          </rPr>
          <t>ESTE ES EL VALOR DEL MES DE LA ENTREGA DEL ADELANTO DE MATERIALES POR LOQ UE DE AQUÍ EN ADELANTE NO SE CAMBIARA</t>
        </r>
      </text>
    </comment>
    <comment ref="I33" authorId="1" shapeId="0">
      <text>
        <r>
          <rPr>
            <b/>
            <sz val="9"/>
            <color indexed="81"/>
            <rFont val="Tahoma"/>
            <family val="2"/>
          </rPr>
          <t>ESTE ES EL VALOR DEL MES DE LA ENTREGA DE ADELANTO DE MATERIALES POR LO QUE DE AQUÍ EN ADELATE NO CAMBIARA</t>
        </r>
      </text>
    </comment>
    <comment ref="I45" authorId="1" shapeId="0">
      <text>
        <r>
          <rPr>
            <b/>
            <sz val="9"/>
            <color indexed="81"/>
            <rFont val="Tahoma"/>
            <family val="2"/>
          </rPr>
          <t>ESTE ES EL VALOR DEL MES DE LA ENTREGA DE ADELANTO DE MATERIALES POR LO QUE DE AQUÍ EN ADELATE NO CAMBIARA</t>
        </r>
      </text>
    </comment>
  </commentList>
</comments>
</file>

<file path=xl/sharedStrings.xml><?xml version="1.0" encoding="utf-8"?>
<sst xmlns="http://schemas.openxmlformats.org/spreadsheetml/2006/main" count="3338" uniqueCount="1812">
  <si>
    <t>TOTAL PRESUPUESTO</t>
  </si>
  <si>
    <t>CONTRATISTA</t>
  </si>
  <si>
    <t>SUPERV ISOR</t>
  </si>
  <si>
    <t>FECHA</t>
  </si>
  <si>
    <t>FORMULA</t>
  </si>
  <si>
    <t>ANTERIOR ACUM.</t>
  </si>
  <si>
    <t>VALORIZ. N° 06</t>
  </si>
  <si>
    <t>:</t>
  </si>
  <si>
    <t>ITEM</t>
  </si>
  <si>
    <t>DESCRIPCION</t>
  </si>
  <si>
    <t>ACTUAL</t>
  </si>
  <si>
    <t>ACUMULADO</t>
  </si>
  <si>
    <t xml:space="preserve">SALDO </t>
  </si>
  <si>
    <t>UNIDAD</t>
  </si>
  <si>
    <t>METRADO</t>
  </si>
  <si>
    <t>P.UNIT</t>
  </si>
  <si>
    <t>PARCIAL</t>
  </si>
  <si>
    <t>%</t>
  </si>
  <si>
    <t>OBRA</t>
  </si>
  <si>
    <t>TOTAL</t>
  </si>
  <si>
    <t>AVANCE  FISICO</t>
  </si>
  <si>
    <t>VALORIZACION</t>
  </si>
  <si>
    <t>AVANCE (%)</t>
  </si>
  <si>
    <t>PROGRAMADO</t>
  </si>
  <si>
    <t>EJECUTADO</t>
  </si>
  <si>
    <t>SUPERVISOR</t>
  </si>
  <si>
    <t xml:space="preserve">FORMULA  </t>
  </si>
  <si>
    <t>COEF.</t>
  </si>
  <si>
    <t>Io</t>
  </si>
  <si>
    <t>SIMBOLO</t>
  </si>
  <si>
    <t>ELEMENTO REPRESENTATIVO</t>
  </si>
  <si>
    <t>CODIGO</t>
  </si>
  <si>
    <t>I. BASE</t>
  </si>
  <si>
    <t>INCID.</t>
  </si>
  <si>
    <t>Ir</t>
  </si>
  <si>
    <t>K</t>
  </si>
  <si>
    <t>D</t>
  </si>
  <si>
    <t>COEFICIENTE DE REAJUSTE:    K =</t>
  </si>
  <si>
    <t>01</t>
  </si>
  <si>
    <t>(REINTEGRO QUE NO CORRESPONDE)</t>
  </si>
  <si>
    <t>ADELANTO</t>
  </si>
  <si>
    <t>CONTRATO</t>
  </si>
  <si>
    <t>DEDUCCION</t>
  </si>
  <si>
    <t>No.</t>
  </si>
  <si>
    <t>MES</t>
  </si>
  <si>
    <t>A</t>
  </si>
  <si>
    <t>C</t>
  </si>
  <si>
    <t>SUB-TOTAL</t>
  </si>
  <si>
    <t xml:space="preserve">TOTAL </t>
  </si>
  <si>
    <t>DEDUCCION POR ADELANTO DE MATERIALES</t>
  </si>
  <si>
    <t>MONTO CONT. (s/IGV)</t>
  </si>
  <si>
    <t xml:space="preserve">ADEL.MAT. (s/IGV):             </t>
  </si>
  <si>
    <t>ADELANTO PAGADO</t>
  </si>
  <si>
    <t>COEFICIENTE</t>
  </si>
  <si>
    <t>INDICES</t>
  </si>
  <si>
    <t>MONTO</t>
  </si>
  <si>
    <t>COEF.INCID.</t>
  </si>
  <si>
    <t xml:space="preserve"> INCID.</t>
  </si>
  <si>
    <t>DEFLAC.</t>
  </si>
  <si>
    <t>UTILIZADO</t>
  </si>
  <si>
    <t>V</t>
  </si>
  <si>
    <t>Ia</t>
  </si>
  <si>
    <t>AD=A*Io/Ia</t>
  </si>
  <si>
    <t>AU=C*%*V</t>
  </si>
  <si>
    <t>REINTEGRO POR REAJUSTE</t>
  </si>
  <si>
    <t>(CONTROL DE VALORIZACIONES Y REAJUSTES)</t>
  </si>
  <si>
    <t>CONTRATO PRINCIPAL</t>
  </si>
  <si>
    <t>VALORIZ. N° 05</t>
  </si>
  <si>
    <t>K-1</t>
  </si>
  <si>
    <t>BRUTO</t>
  </si>
  <si>
    <t>NETO</t>
  </si>
  <si>
    <t>PROGRAM.</t>
  </si>
  <si>
    <t>AUTORIZADO</t>
  </si>
  <si>
    <t>MATER.</t>
  </si>
  <si>
    <t>AMORTIZACION ACUMULADA</t>
  </si>
  <si>
    <t>TOTAL VALORIZADO S/IGV</t>
  </si>
  <si>
    <t>RESUMEN DE VALORIZACIONES</t>
  </si>
  <si>
    <t>VALORIZ. N° 01</t>
  </si>
  <si>
    <t>VALORIZ. N° 04</t>
  </si>
  <si>
    <t>VALORIZ. N° 03</t>
  </si>
  <si>
    <t>AMORTIZACION ANTERIOR</t>
  </si>
  <si>
    <t>AMORTIZACION DEL MES</t>
  </si>
  <si>
    <t>VALORIZACION CONTRACTUAL</t>
  </si>
  <si>
    <t>AMORTIZACIONES</t>
  </si>
  <si>
    <t>RETENCIONES</t>
  </si>
  <si>
    <t>MULTA</t>
  </si>
  <si>
    <t>E</t>
  </si>
  <si>
    <t>M</t>
  </si>
  <si>
    <t xml:space="preserve"> </t>
  </si>
  <si>
    <t>F:</t>
  </si>
  <si>
    <t>TOTAL  (F)</t>
  </si>
  <si>
    <t>MONTO A PAGAR AL CONTRATISTA</t>
  </si>
  <si>
    <t>MA=AU*Ia/Io</t>
  </si>
  <si>
    <t>Am=MA</t>
  </si>
  <si>
    <t>POR AMORTIZAR</t>
  </si>
  <si>
    <t>S=A-Am</t>
  </si>
  <si>
    <t>d.c.</t>
  </si>
  <si>
    <t>VALORIZ. N° 02</t>
  </si>
  <si>
    <t>(S/IGV)</t>
  </si>
  <si>
    <t>m</t>
  </si>
  <si>
    <t>AMORTIZABLE</t>
  </si>
  <si>
    <t>J</t>
  </si>
  <si>
    <t>REAJUSTES (R)</t>
  </si>
  <si>
    <t>DEDUCCIONES (D)</t>
  </si>
  <si>
    <t>VALORIZACION BRUTA  (VB=V+R-D)</t>
  </si>
  <si>
    <t>S/.</t>
  </si>
  <si>
    <t xml:space="preserve">AMORTIZACION </t>
  </si>
  <si>
    <t>Obra</t>
  </si>
  <si>
    <t>Ubicación</t>
  </si>
  <si>
    <t>C/IGV</t>
  </si>
  <si>
    <t>Plazo Ejecución</t>
  </si>
  <si>
    <t>Fecha de Inicio</t>
  </si>
  <si>
    <t>Con IGV</t>
  </si>
  <si>
    <t>Sin IGV</t>
  </si>
  <si>
    <t>Fecha</t>
  </si>
  <si>
    <t>Adel. Directo</t>
  </si>
  <si>
    <t>Adel. p/materiales</t>
  </si>
  <si>
    <t>Valorización No.</t>
  </si>
  <si>
    <t>Ingresar monto sin IGV y Kr según mes que corresponda</t>
  </si>
  <si>
    <t>Kr   DE</t>
  </si>
  <si>
    <t>MES DE</t>
  </si>
  <si>
    <t>VALORIZADO</t>
  </si>
  <si>
    <t>REAJUSTE</t>
  </si>
  <si>
    <t>TOTALES</t>
  </si>
  <si>
    <t>RESUMEN ACUMULADO POR VALORIZACION</t>
  </si>
  <si>
    <t>GENERAL</t>
  </si>
  <si>
    <t>CALENDARIO VALORIZADO DE AVANCE DE OBRA</t>
  </si>
  <si>
    <t>RESUMEN</t>
  </si>
  <si>
    <t>ESPECIALIDAD</t>
  </si>
  <si>
    <t>P.B.  (C/IGV)</t>
  </si>
  <si>
    <t>CONT.(C/IGV)</t>
  </si>
  <si>
    <t>CONT.(S/IGV)</t>
  </si>
  <si>
    <t>04</t>
  </si>
  <si>
    <t>IGV</t>
  </si>
  <si>
    <t>AVANCE PARCIAL</t>
  </si>
  <si>
    <t>AVANCE ACUMULADO</t>
  </si>
  <si>
    <t>CALENDARIO VALORIZADO DE OBRA</t>
  </si>
  <si>
    <t>Programado</t>
  </si>
  <si>
    <t>Ejecutado</t>
  </si>
  <si>
    <t>CONTRATADO</t>
  </si>
  <si>
    <t>Prog. Acum.</t>
  </si>
  <si>
    <t>Ejec. Acum.</t>
  </si>
  <si>
    <t>L.P.N</t>
  </si>
  <si>
    <t>L.P.N.</t>
  </si>
  <si>
    <t>SALDO</t>
  </si>
  <si>
    <t>AVANCE</t>
  </si>
  <si>
    <t>POR</t>
  </si>
  <si>
    <t>ANTERIOR</t>
  </si>
  <si>
    <t>VALORIZAR</t>
  </si>
  <si>
    <t>A:</t>
  </si>
  <si>
    <t>AVANCE FISICO DE OBRA</t>
  </si>
  <si>
    <t>B:</t>
  </si>
  <si>
    <t>TOTAL  (B)</t>
  </si>
  <si>
    <t>C:</t>
  </si>
  <si>
    <t>TOTAL  (C)</t>
  </si>
  <si>
    <t>D:</t>
  </si>
  <si>
    <t xml:space="preserve">AMORTIZACION DEL ADELANTO DE MAT. </t>
  </si>
  <si>
    <t>FONDO DE GARANTIA  (5%*VB)</t>
  </si>
  <si>
    <t>GASTOS DE LICITACION</t>
  </si>
  <si>
    <t>TOTAL  (D)</t>
  </si>
  <si>
    <t>E:</t>
  </si>
  <si>
    <t>TOTAL  (E)</t>
  </si>
  <si>
    <t xml:space="preserve">TOTAL COMPROMISO A SOLICITAR  </t>
  </si>
  <si>
    <t>I.G.V 18%</t>
  </si>
  <si>
    <t>L.P.</t>
  </si>
  <si>
    <t>01.01</t>
  </si>
  <si>
    <t>01.03</t>
  </si>
  <si>
    <t>m3</t>
  </si>
  <si>
    <t>m2</t>
  </si>
  <si>
    <t>01.04</t>
  </si>
  <si>
    <t>kg</t>
  </si>
  <si>
    <t>pza</t>
  </si>
  <si>
    <t>01.02</t>
  </si>
  <si>
    <t>I.G.V. (18%)</t>
  </si>
  <si>
    <t>pto</t>
  </si>
  <si>
    <t>EST.</t>
  </si>
  <si>
    <t>V-1</t>
  </si>
  <si>
    <t>V-2</t>
  </si>
  <si>
    <t>EN I.G.V.  (18%*VN)</t>
  </si>
  <si>
    <t>V-3</t>
  </si>
  <si>
    <t>V-4</t>
  </si>
  <si>
    <t>V-5</t>
  </si>
  <si>
    <t>V-6</t>
  </si>
  <si>
    <t>02</t>
  </si>
  <si>
    <t>02.01</t>
  </si>
  <si>
    <t>02.02</t>
  </si>
  <si>
    <t>02.03</t>
  </si>
  <si>
    <t>02.04</t>
  </si>
  <si>
    <t>02.05</t>
  </si>
  <si>
    <t>03</t>
  </si>
  <si>
    <t>03.01</t>
  </si>
  <si>
    <t>03.02</t>
  </si>
  <si>
    <t>03.03</t>
  </si>
  <si>
    <t>03.04</t>
  </si>
  <si>
    <t>03.05</t>
  </si>
  <si>
    <t>04.01</t>
  </si>
  <si>
    <t>04.02</t>
  </si>
  <si>
    <t>04.03</t>
  </si>
  <si>
    <t>04.04</t>
  </si>
  <si>
    <t>05</t>
  </si>
  <si>
    <t>05.01</t>
  </si>
  <si>
    <t>05.02</t>
  </si>
  <si>
    <t>06</t>
  </si>
  <si>
    <t>06.01</t>
  </si>
  <si>
    <t>01.05</t>
  </si>
  <si>
    <t>01.01.01</t>
  </si>
  <si>
    <t>01.02.01</t>
  </si>
  <si>
    <t>01.02.02</t>
  </si>
  <si>
    <t>01.03.01</t>
  </si>
  <si>
    <t>02.01.01</t>
  </si>
  <si>
    <t>02.02.01</t>
  </si>
  <si>
    <t>02.03.01</t>
  </si>
  <si>
    <t>02.03.02</t>
  </si>
  <si>
    <t>02.03.03</t>
  </si>
  <si>
    <t>02.04.01</t>
  </si>
  <si>
    <t>02.04.02</t>
  </si>
  <si>
    <t>VALORIZ. N° 07</t>
  </si>
  <si>
    <t>AREA GEOGRAFICA    3  (Ayacucho)</t>
  </si>
  <si>
    <t>02.04.03</t>
  </si>
  <si>
    <t>02.04.04</t>
  </si>
  <si>
    <t>02.05.01</t>
  </si>
  <si>
    <t>und</t>
  </si>
  <si>
    <t>02.01.02</t>
  </si>
  <si>
    <t>EN EFECTIVO  (VN-E)</t>
  </si>
  <si>
    <t>VALORIZ. N° 08</t>
  </si>
  <si>
    <t>mes</t>
  </si>
  <si>
    <t>03.01.01</t>
  </si>
  <si>
    <t>03.02.01</t>
  </si>
  <si>
    <t>03.03.01</t>
  </si>
  <si>
    <t>03.03.02</t>
  </si>
  <si>
    <t>03.04.01</t>
  </si>
  <si>
    <t>03.05.01</t>
  </si>
  <si>
    <t>04.01.01</t>
  </si>
  <si>
    <t>04.02.01</t>
  </si>
  <si>
    <t>04.03.01</t>
  </si>
  <si>
    <t>04.03.02</t>
  </si>
  <si>
    <t>UTILIDAD</t>
  </si>
  <si>
    <t>X =</t>
  </si>
  <si>
    <t>GG</t>
  </si>
  <si>
    <t>MONTO DE EXP TEC</t>
  </si>
  <si>
    <t>MONTO GANADOR</t>
  </si>
  <si>
    <t>FR</t>
  </si>
  <si>
    <t>ACERO DE CONSTRUCCION CORRUGADO</t>
  </si>
  <si>
    <t>CEMENTO PORTLAND TIPO I</t>
  </si>
  <si>
    <t>AGREGADO GRUESO</t>
  </si>
  <si>
    <t>MAQUINARIA Y EQUIPO NACIONAL</t>
  </si>
  <si>
    <t>MANO DE OBRA INC. LEYES SOCIALES</t>
  </si>
  <si>
    <t>factor</t>
  </si>
  <si>
    <t>V-7</t>
  </si>
  <si>
    <t>porcentaje pagado de adelanto directo</t>
  </si>
  <si>
    <t>porcentaje pagado de adelanto de materiales</t>
  </si>
  <si>
    <t>V-8</t>
  </si>
  <si>
    <t>VALORIZ. N° 09</t>
  </si>
  <si>
    <t>V-9</t>
  </si>
  <si>
    <t>VALORIZ. N° 10</t>
  </si>
  <si>
    <t>V-10</t>
  </si>
  <si>
    <t>VALORIZ. N° 11</t>
  </si>
  <si>
    <t>Acu ant</t>
  </si>
  <si>
    <t>Actual</t>
  </si>
  <si>
    <t>Acu actual</t>
  </si>
  <si>
    <t>Diferencia</t>
  </si>
  <si>
    <t>V-11</t>
  </si>
  <si>
    <t>VALORIZ. N° 12</t>
  </si>
  <si>
    <t xml:space="preserve">OBRA                          </t>
  </si>
  <si>
    <t xml:space="preserve">UBICACIÓN                 </t>
  </si>
  <si>
    <t xml:space="preserve">SUPERVISOR             </t>
  </si>
  <si>
    <t>02.03.01.01</t>
  </si>
  <si>
    <t>02.03.02.01</t>
  </si>
  <si>
    <t>02.04.01.01</t>
  </si>
  <si>
    <t>04.04.01</t>
  </si>
  <si>
    <t>05.02.01</t>
  </si>
  <si>
    <t>05.02.02</t>
  </si>
  <si>
    <t>05.02.03</t>
  </si>
  <si>
    <t>05.02.04</t>
  </si>
  <si>
    <t>05.04.01</t>
  </si>
  <si>
    <t>05.04.02</t>
  </si>
  <si>
    <t>05.05.01</t>
  </si>
  <si>
    <t>GLB</t>
  </si>
  <si>
    <t>GASTOS GENERALES (10% DEL C.D)</t>
  </si>
  <si>
    <t>COSTO DIRECTO (C.D)</t>
  </si>
  <si>
    <t>SUBTOTAL</t>
  </si>
  <si>
    <t>FACTOR DE RELACIÓN (F.R)</t>
  </si>
  <si>
    <t xml:space="preserve">MONTO CONTRACTUAL=SUB-TOTAL*FR </t>
  </si>
  <si>
    <t>PRESUPUESTO CONTRACTUAL</t>
  </si>
  <si>
    <t>F.R= MONTO CONTRATADO / VALOR REFERENCIAL=1.00000</t>
  </si>
  <si>
    <t>GASTOS GENERALES (10% DE C.D)</t>
  </si>
  <si>
    <t>MONTO CONTRACTUAL=SUB-TOTAL*FR (1.00000)</t>
  </si>
  <si>
    <t>F.R.                                                            :</t>
  </si>
  <si>
    <t>PLAZO DE EJECUCION (D.N.)    :</t>
  </si>
  <si>
    <t xml:space="preserve">PLAZO VIGENTE (D.N.)                  :        </t>
  </si>
  <si>
    <t xml:space="preserve">FECHA DE INICIO                              : </t>
  </si>
  <si>
    <t xml:space="preserve">FECHA TERMINO VIGENTE        :   </t>
  </si>
  <si>
    <t xml:space="preserve">FECHA TERMINO CONTRAC.   :      </t>
  </si>
  <si>
    <t>VALORIZACION NETA  (VN=VB-D)</t>
  </si>
  <si>
    <t>INDICE UNIFICADO DE:</t>
  </si>
  <si>
    <t>VALORIZACION DE:</t>
  </si>
  <si>
    <t>AVANCE REAL</t>
  </si>
  <si>
    <t>ESTADO DE LA OBRA</t>
  </si>
  <si>
    <t>ACTUAL (%)</t>
  </si>
  <si>
    <t>ACUMULADO (%)</t>
  </si>
  <si>
    <t>ACUMULADO ANTERIOR</t>
  </si>
  <si>
    <t xml:space="preserve">DEDUCCION DEL ADELANTO DE MAT. </t>
  </si>
  <si>
    <t>D = Coef.*%*V*(Ir-Ia)/Io</t>
  </si>
  <si>
    <t>Fecha de Valorización</t>
  </si>
  <si>
    <t>FORMULA  02</t>
  </si>
  <si>
    <t>OBS:</t>
  </si>
  <si>
    <t>V-12</t>
  </si>
  <si>
    <t>V-13</t>
  </si>
  <si>
    <t>UTILIDAD (10% DEL C.D)</t>
  </si>
  <si>
    <t>02.06</t>
  </si>
  <si>
    <t>02.07</t>
  </si>
  <si>
    <t>07</t>
  </si>
  <si>
    <t>07.01</t>
  </si>
  <si>
    <t>01.02.03</t>
  </si>
  <si>
    <t>01.02.04</t>
  </si>
  <si>
    <t>01.03.02</t>
  </si>
  <si>
    <t>01.03.03</t>
  </si>
  <si>
    <t>01.03.04</t>
  </si>
  <si>
    <t>01.03.05</t>
  </si>
  <si>
    <t>01.03.06</t>
  </si>
  <si>
    <t>02.06.01</t>
  </si>
  <si>
    <t>02.06.02</t>
  </si>
  <si>
    <t>02.07.01</t>
  </si>
  <si>
    <t>02.07.02</t>
  </si>
  <si>
    <t>02.08</t>
  </si>
  <si>
    <t>02.08.01</t>
  </si>
  <si>
    <t>02.09</t>
  </si>
  <si>
    <t>02.09.01</t>
  </si>
  <si>
    <t>02.09.02</t>
  </si>
  <si>
    <t>02.09.03</t>
  </si>
  <si>
    <t>02.10</t>
  </si>
  <si>
    <t>02.10.01</t>
  </si>
  <si>
    <t>02.10.02</t>
  </si>
  <si>
    <t>INSTALACIONES ELECTRICAS</t>
  </si>
  <si>
    <t>UTILIDAD (10% DE C.D)</t>
  </si>
  <si>
    <t>INSTALACIONES MECANICAS Y COMUNICACIONES</t>
  </si>
  <si>
    <t>CAPACITACIÓN EN TEMAS DE SALUD AL PERSONAL ASISTENCIAL Y ADMINISTRATIVO, PROMOCIÓN Y SENSIBILIZACION</t>
  </si>
  <si>
    <t xml:space="preserve">    CAPACITACIÓN EN TEMAS DE SALUD AL PERSONAL ASISTENCIAL Y ADMINISTRATIVO, PROMOCIÓN Y SENSIBILIZACION</t>
  </si>
  <si>
    <t>02.06.01.01</t>
  </si>
  <si>
    <t>02.06.02.01</t>
  </si>
  <si>
    <t>02.07.01.01</t>
  </si>
  <si>
    <t>02.07.01.02</t>
  </si>
  <si>
    <t>02.07.02.01</t>
  </si>
  <si>
    <t>02.08.01.01</t>
  </si>
  <si>
    <t>03.05.01.01</t>
  </si>
  <si>
    <t>03.06</t>
  </si>
  <si>
    <t>03.06.01</t>
  </si>
  <si>
    <t>03.06.01.01</t>
  </si>
  <si>
    <t>03.06.02</t>
  </si>
  <si>
    <t>03.06.02.01</t>
  </si>
  <si>
    <t>03.07</t>
  </si>
  <si>
    <t>03.07.01</t>
  </si>
  <si>
    <t>03.07.01.01</t>
  </si>
  <si>
    <t>03.08</t>
  </si>
  <si>
    <t>03.08.01</t>
  </si>
  <si>
    <t>03.08.02</t>
  </si>
  <si>
    <t>03.08.03</t>
  </si>
  <si>
    <t>03.09</t>
  </si>
  <si>
    <t>03.09.01</t>
  </si>
  <si>
    <t>03.09.02</t>
  </si>
  <si>
    <t>04.05</t>
  </si>
  <si>
    <t>04.05.01</t>
  </si>
  <si>
    <t>04.05.01.01</t>
  </si>
  <si>
    <t>04.06</t>
  </si>
  <si>
    <t>04.06.01</t>
  </si>
  <si>
    <t>04.06.01.01</t>
  </si>
  <si>
    <t>04.06.02</t>
  </si>
  <si>
    <t>04.06.02.01</t>
  </si>
  <si>
    <t>04.07</t>
  </si>
  <si>
    <t>04.07.01</t>
  </si>
  <si>
    <t>04.07.01.01</t>
  </si>
  <si>
    <t>04.08</t>
  </si>
  <si>
    <t>04.08.01</t>
  </si>
  <si>
    <t>04.08.02</t>
  </si>
  <si>
    <t>04.08.03</t>
  </si>
  <si>
    <t>04.09</t>
  </si>
  <si>
    <t>04.09.01</t>
  </si>
  <si>
    <t>04.09.02</t>
  </si>
  <si>
    <t>05.06.01</t>
  </si>
  <si>
    <t>05.06.02</t>
  </si>
  <si>
    <t>05.06.03</t>
  </si>
  <si>
    <t>06.01.01</t>
  </si>
  <si>
    <t>06.01.02</t>
  </si>
  <si>
    <t>06.01.03</t>
  </si>
  <si>
    <t>07.01.01.01</t>
  </si>
  <si>
    <t>07.01.01.02</t>
  </si>
  <si>
    <t>07.02.01</t>
  </si>
  <si>
    <t>07.02.01.01</t>
  </si>
  <si>
    <t>07.02.01.02</t>
  </si>
  <si>
    <t>07.02.02</t>
  </si>
  <si>
    <t>07.02.02.01</t>
  </si>
  <si>
    <t>07.02.02.02</t>
  </si>
  <si>
    <t>07.02.03</t>
  </si>
  <si>
    <t>07.02.03.01</t>
  </si>
  <si>
    <t>07.02.03.02</t>
  </si>
  <si>
    <t>07.02.03.03</t>
  </si>
  <si>
    <t>07.02.03.04</t>
  </si>
  <si>
    <t>07.02.03.05</t>
  </si>
  <si>
    <t>07.02.03.06</t>
  </si>
  <si>
    <t>07.02.04</t>
  </si>
  <si>
    <t>07.02.04.01</t>
  </si>
  <si>
    <t xml:space="preserve">PARTIDAS  GENERALES </t>
  </si>
  <si>
    <t xml:space="preserve">   OBRAS PRELIMINARES</t>
  </si>
  <si>
    <t xml:space="preserve">      LIMPIEZA Y DESBROCE DE TERRENO</t>
  </si>
  <si>
    <t xml:space="preserve">   DRENAJE DEL AREA DE INTERVENCION</t>
  </si>
  <si>
    <t xml:space="preserve">      ELIMINACION DE MATERIAL EXEDENTE MAXIMO 1.5KM</t>
  </si>
  <si>
    <t xml:space="preserve">      DRENAJE CON RELLENO DE PIEDRA</t>
  </si>
  <si>
    <t xml:space="preserve">      EXCAVACION MANUAL PARA ESTRUCTURA</t>
  </si>
  <si>
    <t xml:space="preserve">      COMPACTADO CON MATERIAL AFIRMADO E=0.20M</t>
  </si>
  <si>
    <t xml:space="preserve">      CURADO DE CONCRETO</t>
  </si>
  <si>
    <t>OBRAS GENERALES MODULO A</t>
  </si>
  <si>
    <t xml:space="preserve">   REMOCIONES</t>
  </si>
  <si>
    <t xml:space="preserve">      REMOCION DE VANOS INTERIORES</t>
  </si>
  <si>
    <t xml:space="preserve">   REPARACIONES Y DEMOLICIONES</t>
  </si>
  <si>
    <t xml:space="preserve">      REPARACION DE TABIQUERÍA INTERIOR.</t>
  </si>
  <si>
    <t xml:space="preserve">   CONTRAPISOS Y PISOS</t>
  </si>
  <si>
    <t xml:space="preserve">      PISOS</t>
  </si>
  <si>
    <t xml:space="preserve">         PISO VINILICO FLEXIBLE CONDUCTIVO ANTIHUMEDAD Y ANTIBACTERIAS</t>
  </si>
  <si>
    <t xml:space="preserve">      VEREDAS Y RAMPAS</t>
  </si>
  <si>
    <t xml:space="preserve">   ZOCALOS Y CONTRAZOCALOS</t>
  </si>
  <si>
    <t xml:space="preserve">      ZOCALOS</t>
  </si>
  <si>
    <t xml:space="preserve">         VINILICO ANTIBACTERIAS RESISTENTE A LA HUMEDAD HASTA CIELO RASO</t>
  </si>
  <si>
    <t xml:space="preserve">   CARPINTERIA DE MADERA</t>
  </si>
  <si>
    <t xml:space="preserve">      PUERTAS</t>
  </si>
  <si>
    <t xml:space="preserve">   CARPINTERIA METALICA Y HERRERIA</t>
  </si>
  <si>
    <t xml:space="preserve">      VENTANAS Y MAMPARAS DE ALUMINIO</t>
  </si>
  <si>
    <t xml:space="preserve">   CERRAJERIA: CERRADURAS, BISAGRAS Y ACCESORIOS DE CIERRA PUERTAS</t>
  </si>
  <si>
    <t xml:space="preserve">      CERRADURAS</t>
  </si>
  <si>
    <t xml:space="preserve">      BISAGRAS</t>
  </si>
  <si>
    <t xml:space="preserve">         BISAGRA TIPO 1</t>
  </si>
  <si>
    <t xml:space="preserve">   VIDRIOS, CRISTALES Y SIMILARES</t>
  </si>
  <si>
    <t xml:space="preserve">      ESPEJOS</t>
  </si>
  <si>
    <t xml:space="preserve">   PINTURA</t>
  </si>
  <si>
    <t xml:space="preserve">   SEÑALETICA</t>
  </si>
  <si>
    <t xml:space="preserve">      SEÑALETICA SEÑAL INDICATIVA</t>
  </si>
  <si>
    <t xml:space="preserve">      SEÑALETICA SEÑAL ORIENTATIVA</t>
  </si>
  <si>
    <t>OBRAS GENERALES MODULO B</t>
  </si>
  <si>
    <t xml:space="preserve">   COBERTURAS</t>
  </si>
  <si>
    <t xml:space="preserve">      DESMONTAJE DE COBERTURA EXISTENTE</t>
  </si>
  <si>
    <t xml:space="preserve">      COBERTURA DE MODULO CON CALAMINA</t>
  </si>
  <si>
    <t>OBRAS GENERALES MODULO C</t>
  </si>
  <si>
    <t xml:space="preserve">   TABLEROS ELECTRICOS</t>
  </si>
  <si>
    <t xml:space="preserve">   CABLES</t>
  </si>
  <si>
    <t xml:space="preserve">   ALUMBRADO INTERIOR</t>
  </si>
  <si>
    <t xml:space="preserve">      PUNTO DE LUZ INTERIOR CON TUBO</t>
  </si>
  <si>
    <t xml:space="preserve">      MECANISMO INTERRUPTOR SIMPLE</t>
  </si>
  <si>
    <t xml:space="preserve">   DISTRIBUCIÓN DE FUERZA Y TOMACORRIENTES</t>
  </si>
  <si>
    <t xml:space="preserve">   RED DE TIERRAS</t>
  </si>
  <si>
    <t xml:space="preserve">      POZO DE REGISTRO DE PUESTA A TIERRA</t>
  </si>
  <si>
    <t xml:space="preserve">   PARARRAYOS</t>
  </si>
  <si>
    <t>COMUNICACIONES</t>
  </si>
  <si>
    <t xml:space="preserve">   MEGAFONÍA</t>
  </si>
  <si>
    <t xml:space="preserve">INSTALACIONES SANITARIAS </t>
  </si>
  <si>
    <t xml:space="preserve">   AGUA</t>
  </si>
  <si>
    <t xml:space="preserve">      RED DE TUBERIAS</t>
  </si>
  <si>
    <t xml:space="preserve">      SANITARIOS</t>
  </si>
  <si>
    <t xml:space="preserve">         INODORO DE PORCELANA VITRIFICADA BLANCA CON ASIENTO Y TAPA ABS</t>
  </si>
  <si>
    <t xml:space="preserve">         LAVATORIO CON PEDESTAL DE PORCELANA SANITARIA</t>
  </si>
  <si>
    <t xml:space="preserve">      LLAVES Y ACCESORIOS</t>
  </si>
  <si>
    <t xml:space="preserve">   DESAGUE</t>
  </si>
  <si>
    <t xml:space="preserve">      TUBERIA DE EVACUACION</t>
  </si>
  <si>
    <t xml:space="preserve">      ACCESORIOS DE EVACUACION</t>
  </si>
  <si>
    <t xml:space="preserve">      DESAGUE DE APARATOS</t>
  </si>
  <si>
    <t xml:space="preserve">         DESAGUE PARA INODORO CON CODO DE PVC DE 4"</t>
  </si>
  <si>
    <t xml:space="preserve">      DESAGUE EXTERIOR</t>
  </si>
  <si>
    <t>05.04.03</t>
  </si>
  <si>
    <t>05.04.04</t>
  </si>
  <si>
    <t>05.07.01</t>
  </si>
  <si>
    <t>05.07.02</t>
  </si>
  <si>
    <t>05.07.03</t>
  </si>
  <si>
    <t>05.07.04</t>
  </si>
  <si>
    <t>MONTO (S/.)</t>
  </si>
  <si>
    <t>Fecha Presupuesto base</t>
  </si>
  <si>
    <t>OCT. 2018</t>
  </si>
  <si>
    <t>V-14</t>
  </si>
  <si>
    <t>V-15</t>
  </si>
  <si>
    <t>V-16</t>
  </si>
  <si>
    <t>V-17</t>
  </si>
  <si>
    <t>V-18</t>
  </si>
  <si>
    <t>V-19</t>
  </si>
  <si>
    <t>I</t>
  </si>
  <si>
    <t>INDICE GENERAL  DE PRECIOS AL CONSUMIDOR</t>
  </si>
  <si>
    <t>SET. 2018</t>
  </si>
  <si>
    <t>BASE (MAYO 2018)</t>
  </si>
  <si>
    <t>ÍNDICE GENERAL DE PRECIOS AL CONSUMIDOR</t>
  </si>
  <si>
    <t>DÓLAR (GENERAL PONDERADO)</t>
  </si>
  <si>
    <t>“MEJORAMIENTO DE LOS SERVICIOS DE SALUD DEL ESTABLECIMIENTO DE SALUD DE TAMBO, DEL DISTRITO DE TAMBO - LA MAR - AYACUCHO"</t>
  </si>
  <si>
    <t>|</t>
  </si>
  <si>
    <t>II</t>
  </si>
  <si>
    <t>III</t>
  </si>
  <si>
    <t>IV</t>
  </si>
  <si>
    <t>COMPONENTE</t>
  </si>
  <si>
    <t>CONT. (C/IGV)</t>
  </si>
  <si>
    <t>CONT. (S/IGV)</t>
  </si>
  <si>
    <t>MONTO (C/IGV)</t>
  </si>
  <si>
    <t>SALDOS POR VALORIZAR (C/IGV)</t>
  </si>
  <si>
    <t>EQUIPAMIENTO/IMPLEMENTACION Y CAPACITACION DE TEMAS DE SALUD NO SE REAJUSTAN YA QUE NO TIENEN FORMULA POLINÓMICA</t>
  </si>
  <si>
    <t>(C/IGV)</t>
  </si>
  <si>
    <t>OBRAS</t>
  </si>
  <si>
    <t>05.03.01</t>
  </si>
  <si>
    <t xml:space="preserve">         REINSTALACION DE FREGADERO DE UNA POZA EN ACERO INOXIDABLE</t>
  </si>
  <si>
    <t>04.04.01.01</t>
  </si>
  <si>
    <t>05.01.01</t>
  </si>
  <si>
    <t xml:space="preserve">   RAMPA DE ACCESO PARA EL  MODULO B Y C</t>
  </si>
  <si>
    <t xml:space="preserve">      EXCAVACION MASIVA  CON MAQUINARIA HASTA 1.50 KM</t>
  </si>
  <si>
    <t xml:space="preserve">      CONCRETO F'C=175 KG/CM2</t>
  </si>
  <si>
    <t xml:space="preserve">      JUNTA  ASFALTICA</t>
  </si>
  <si>
    <t xml:space="preserve">         VEREDA DE CONCRETO F'C= 175 KG/CM2. E=10 cm</t>
  </si>
  <si>
    <t xml:space="preserve">         PUERTA CONTRAPLACADA DE MADERA TORNILLO</t>
  </si>
  <si>
    <t>02.05.01.01</t>
  </si>
  <si>
    <t xml:space="preserve">         VENTANA DE ALUMINIO TIPO FIJO/ABATIBLE CON VIDRIO ARENADO DE 6 MM</t>
  </si>
  <si>
    <t xml:space="preserve">      PUERTAS DE ALUMINIO</t>
  </si>
  <si>
    <t xml:space="preserve">         PUERTA DE ALUMINIO CON VIDRIO TEMPADO DE 10MM.</t>
  </si>
  <si>
    <t xml:space="preserve">         CERRADURA  TIPO B</t>
  </si>
  <si>
    <t xml:space="preserve">         CERRADURA  TIPO D</t>
  </si>
  <si>
    <t xml:space="preserve">         ESPEJO CON DISEÑO</t>
  </si>
  <si>
    <t xml:space="preserve">      PINTURA EN MURO INTERIOR CON PINTURA LATEX</t>
  </si>
  <si>
    <t xml:space="preserve">      PINTURA EN MURO EXTERIOR CON PINTURA LATEX</t>
  </si>
  <si>
    <t xml:space="preserve">      PINTURA EN CIELORASO</t>
  </si>
  <si>
    <t>03.02.02</t>
  </si>
  <si>
    <t xml:space="preserve">      REPARACION DE TABIQUERÍA INTERIOR MODULO B</t>
  </si>
  <si>
    <t xml:space="preserve">      MURO DRYWALL CON PLANCHAS DE FIBROCEMENTEO DE 6MM</t>
  </si>
  <si>
    <t>03.04.01.01</t>
  </si>
  <si>
    <t xml:space="preserve">      CERRADURA  TIPO D</t>
  </si>
  <si>
    <t>04.02.02</t>
  </si>
  <si>
    <t xml:space="preserve">      REPARACION DE TABIQUERÍA INTERIOR MODULO C</t>
  </si>
  <si>
    <t>05.01.02</t>
  </si>
  <si>
    <t xml:space="preserve">      TABLERO ELECTRICO GENERAL -TG - BLOQUE A,B,C</t>
  </si>
  <si>
    <t xml:space="preserve">      TABLERO ELECTRICO DE DISTRIBUCIÓN -TD - BLOQUE A,B,C</t>
  </si>
  <si>
    <t xml:space="preserve">      CABLE THW-90 450/750v - 1X 4mm2</t>
  </si>
  <si>
    <t xml:space="preserve">      CABLE THW-90 450/750v - 1X 6mm2</t>
  </si>
  <si>
    <t xml:space="preserve">      CABLE NYY 0.6/1 KV PVC - 1 X 6mm2</t>
  </si>
  <si>
    <t xml:space="preserve">      CABLE NYY 0.6/1 KV PVC - 1 X 10mm2</t>
  </si>
  <si>
    <t xml:space="preserve">   CANALIZACIÓN ELÉCTRICA</t>
  </si>
  <si>
    <t xml:space="preserve">      TUBERIAS PVC SEL (ELECTRICAS) 20MM</t>
  </si>
  <si>
    <t xml:space="preserve">      REINSTALACION LUMINARIA EMPOTRADA  LED (2x2) 38W</t>
  </si>
  <si>
    <t xml:space="preserve">      LUMINARIA LED BULB - 13 -100W E27 865 220-240 V 1BL/4</t>
  </si>
  <si>
    <t>05.05.02</t>
  </si>
  <si>
    <t xml:space="preserve">      TOMACORRIENTE SIMPLE EMPOTRADO</t>
  </si>
  <si>
    <t xml:space="preserve">      TOMACORRIENTE DOBLE 2P + T 16A, EMPOTRADO</t>
  </si>
  <si>
    <t xml:space="preserve">      CONDUCTOR DE COBRE DESNUDO DE 10MM2 ENTERRADO</t>
  </si>
  <si>
    <t xml:space="preserve">      CAJA DE REGISTRO PARA POZO A TIERRA</t>
  </si>
  <si>
    <t xml:space="preserve">      PARARRAYO PDC DE CEBADO TIPO IONICO</t>
  </si>
  <si>
    <t xml:space="preserve">      MASTIL TELESCOPICO DE 2.00MTS EN ACERO GALVANIZADO</t>
  </si>
  <si>
    <t xml:space="preserve">      LINEA DE PUESTA A TIERRA DE PARARRAYOS, INSTALACION EN FACHADA</t>
  </si>
  <si>
    <t xml:space="preserve">      TORRE METALICA DE 18ML CON TUBO NEGRO CIRCULAR DE 1" X 2MM</t>
  </si>
  <si>
    <t xml:space="preserve">      ALTAVOZ METALICO DE TECHO 5" DE 6W-SALAS LIMPIAS</t>
  </si>
  <si>
    <t xml:space="preserve">      TUBERIA PARA ABASTECIMIENTO DE AGUA POTABLE .PVC SAP C-7.5 DE 2"</t>
  </si>
  <si>
    <t xml:space="preserve">      CAJA DE REGISTRO DE AGUA 12" X 24"</t>
  </si>
  <si>
    <t xml:space="preserve">   INSTALACION GENERAL</t>
  </si>
  <si>
    <t>07.02.02.03</t>
  </si>
  <si>
    <t>07.02.02.04</t>
  </si>
  <si>
    <t xml:space="preserve">         TUBERIA PVC SAP CLASE 10  DE 1/2"</t>
  </si>
  <si>
    <t xml:space="preserve">         TUBERIA CPVC 4120  DE 1/2"</t>
  </si>
  <si>
    <t xml:space="preserve">         TUBERIA PVC SAP CLASE 10  DE 1"</t>
  </si>
  <si>
    <t xml:space="preserve">         TUBERIA PVC SAP CLASE 10  DE 11/4"</t>
  </si>
  <si>
    <t>07.02.01.03</t>
  </si>
  <si>
    <t>07.02.01.04</t>
  </si>
  <si>
    <t xml:space="preserve">      PUNTOS DE CONSUMO </t>
  </si>
  <si>
    <t>07.02.02.05</t>
  </si>
  <si>
    <t xml:space="preserve">         PUNTO DE CONSUMO DE AGUA PARA INODORO CON FLUXOMETRO</t>
  </si>
  <si>
    <t xml:space="preserve">         PUNTO DE CONSUMO DE AGUA PARA URINARIO CON FLUXOMETRO</t>
  </si>
  <si>
    <t xml:space="preserve">         PUNTO DE CONSUMO DE AGUA PARA GRIFO TIPO JARDIN</t>
  </si>
  <si>
    <t xml:space="preserve">         PUNTO DE CONSUMO DE 2 AGUAS PARA LAVATORIO CON GRIFO MONOCOMANDO</t>
  </si>
  <si>
    <t xml:space="preserve">         PUNTO DE CONSUMO DE 2 AGUAS PARA DUCHA CON GRIFO MONOCOMANDO</t>
  </si>
  <si>
    <t>07.02.03.07</t>
  </si>
  <si>
    <t xml:space="preserve">         URINARIOS DE PORCELANA CON FLUXOMETRO</t>
  </si>
  <si>
    <t xml:space="preserve">         PLATO DE DUCHA DE FIBRA DE VIDRIO SANITARIA</t>
  </si>
  <si>
    <t xml:space="preserve">         REINSTALACION DE LAVADERO DE ROPA DE GRANITO</t>
  </si>
  <si>
    <t xml:space="preserve">         TANQUE CALENTADOR DE 100 LTS.</t>
  </si>
  <si>
    <t xml:space="preserve">         VALVULA ESFERICA DE PVC D=2''</t>
  </si>
  <si>
    <t xml:space="preserve">         VALVULA DE ESFERA DE LATON NIQUELADO PARA ROSCAR DE PVC D=2''</t>
  </si>
  <si>
    <t xml:space="preserve">         VALVULA DE ESFERA DE LATON NIQUELADO PARA ROSCAR DE PVC D=1/2''</t>
  </si>
  <si>
    <t>07.03.01</t>
  </si>
  <si>
    <t>07.03.01.01</t>
  </si>
  <si>
    <t>07.03.01.02</t>
  </si>
  <si>
    <t xml:space="preserve">         TUBERIA PVC-U-DS-CL DE 2"</t>
  </si>
  <si>
    <t xml:space="preserve">         TUBERIA PVC-U-DS-CL DE 4" EN RED PRINCIPAL</t>
  </si>
  <si>
    <t>07.03.02</t>
  </si>
  <si>
    <t>07.03.02.01</t>
  </si>
  <si>
    <t>07.03.02.02</t>
  </si>
  <si>
    <t xml:space="preserve">         SUMIDERO CROMADO DE 2"</t>
  </si>
  <si>
    <t xml:space="preserve">         REGISTRO CROMADO ROSCADO DE 4"</t>
  </si>
  <si>
    <t>07.03.03</t>
  </si>
  <si>
    <t>07.03.03.01</t>
  </si>
  <si>
    <t>07.03.03.02</t>
  </si>
  <si>
    <t>07.03.03.03</t>
  </si>
  <si>
    <t>07.03.03.04</t>
  </si>
  <si>
    <t>07.03.03.05</t>
  </si>
  <si>
    <t>07.03.03.06</t>
  </si>
  <si>
    <t xml:space="preserve">         DESAGUE PARA LAVATORIO DE 2" CON SUMIDERO INDIVIDUAL</t>
  </si>
  <si>
    <t xml:space="preserve">         DESAGUE PLATO DE DUCHA CON TRMPA DE SELLO HIDRAULICO</t>
  </si>
  <si>
    <t xml:space="preserve">         DESAGUE PARA LAVADERO DE 2" CON SUMIDERO INDIVIDUAL</t>
  </si>
  <si>
    <t xml:space="preserve">         DESAGUE PARA URINARIO DE PVC DE 2"</t>
  </si>
  <si>
    <t xml:space="preserve">         DESAGUE PARA LAVAROPAS DE 2" CON SUMIDERO INDIVIDUAL</t>
  </si>
  <si>
    <t>07.03.04</t>
  </si>
  <si>
    <t xml:space="preserve">         CAJA DE REGISTRO DE 24" X 24" CON TAPA DE CONCRETO</t>
  </si>
  <si>
    <t xml:space="preserve">         CAJA DE REGISTRO DE 12" X 24" CON TAPA DE CONCRETO</t>
  </si>
  <si>
    <t>07.03.04.01</t>
  </si>
  <si>
    <t>07.03.04.02</t>
  </si>
  <si>
    <t>07.02.04.02</t>
  </si>
  <si>
    <t>07.02.04.03</t>
  </si>
  <si>
    <t>N°</t>
  </si>
  <si>
    <t>CONSOLIDADO: TRABAJADO CON LOS COSTOS TOTALES DEL PROYECTO (INCLUIDO IGV)</t>
  </si>
  <si>
    <t>est</t>
  </si>
  <si>
    <t>01.05.02</t>
  </si>
  <si>
    <t>01.05.03</t>
  </si>
  <si>
    <t>01.05.02.01</t>
  </si>
  <si>
    <t>01.05.02.02</t>
  </si>
  <si>
    <t>01.05.02.03</t>
  </si>
  <si>
    <t>01.05.02.04</t>
  </si>
  <si>
    <t>01.05.02.05</t>
  </si>
  <si>
    <t>01.05.02.06</t>
  </si>
  <si>
    <t>01.05.03.01</t>
  </si>
  <si>
    <t>01.05.03.02</t>
  </si>
  <si>
    <t>01.06</t>
  </si>
  <si>
    <t>01.06.02</t>
  </si>
  <si>
    <t>01.06.03</t>
  </si>
  <si>
    <t>01.06.04</t>
  </si>
  <si>
    <t>01.07</t>
  </si>
  <si>
    <t>01.07.01</t>
  </si>
  <si>
    <t>01.07.02</t>
  </si>
  <si>
    <t>01.07.03</t>
  </si>
  <si>
    <t>01.07.04</t>
  </si>
  <si>
    <t>01.07.04.01</t>
  </si>
  <si>
    <t>01.07.04.02</t>
  </si>
  <si>
    <t>01.07.05</t>
  </si>
  <si>
    <t>01.07.06</t>
  </si>
  <si>
    <t>01.07.07</t>
  </si>
  <si>
    <t>01.07.08</t>
  </si>
  <si>
    <t>01.07.09</t>
  </si>
  <si>
    <t>01.07.10</t>
  </si>
  <si>
    <t>01.08.01</t>
  </si>
  <si>
    <t>01.08.02</t>
  </si>
  <si>
    <t>01.08.03</t>
  </si>
  <si>
    <t>01.08.04</t>
  </si>
  <si>
    <t>01.08.05</t>
  </si>
  <si>
    <t>01.09.01</t>
  </si>
  <si>
    <t>01.09.02</t>
  </si>
  <si>
    <t>01.09.03</t>
  </si>
  <si>
    <t>01.09.04</t>
  </si>
  <si>
    <t>01.09.05</t>
  </si>
  <si>
    <t>01.10.01</t>
  </si>
  <si>
    <t xml:space="preserve">   CENTRAL DE RED AL VACIO</t>
  </si>
  <si>
    <t xml:space="preserve">   CENTRAL DE AIRE COMPRIMIDO MEDICINAL</t>
  </si>
  <si>
    <t xml:space="preserve">   CENTRAL DE RED DE OXIGENO</t>
  </si>
  <si>
    <t xml:space="preserve">   CIRCUITO CERRADO DE TV</t>
  </si>
  <si>
    <t xml:space="preserve">   TANQUE DE PETROLEO DE 400Gl - INCLUYE TUBERIAS E INSTALACIONES ELECTROMECANCIAS</t>
  </si>
  <si>
    <t xml:space="preserve">   SISTEMA DE AIRE ACONDICIONADO CENTRALIZADO</t>
  </si>
  <si>
    <t xml:space="preserve">   SISTEMA DE CLIMATIZACIÓN DE VENTANA</t>
  </si>
  <si>
    <t>EQUIPAMIENTO E IMPLEMENTACION, PLAN DE MANTENIMIENTO DE INFRAESTRUCTURA Y EQUIPAMIENTO</t>
  </si>
  <si>
    <t>1</t>
  </si>
  <si>
    <t>EQUIPOS BIOMEDICOS</t>
  </si>
  <si>
    <t>D-1</t>
  </si>
  <si>
    <t>UND</t>
  </si>
  <si>
    <t>D-100</t>
  </si>
  <si>
    <t>D-104</t>
  </si>
  <si>
    <t>D-105</t>
  </si>
  <si>
    <t>D-15</t>
  </si>
  <si>
    <t>D-16</t>
  </si>
  <si>
    <t>D-17</t>
  </si>
  <si>
    <t>D-18</t>
  </si>
  <si>
    <t>D-193</t>
  </si>
  <si>
    <t>D-20</t>
  </si>
  <si>
    <t>D-201</t>
  </si>
  <si>
    <t>D-21</t>
  </si>
  <si>
    <t>D-235</t>
  </si>
  <si>
    <t>D-245</t>
  </si>
  <si>
    <t>D-249</t>
  </si>
  <si>
    <t>D-259</t>
  </si>
  <si>
    <t>D-262</t>
  </si>
  <si>
    <t>D-322</t>
  </si>
  <si>
    <t>D-334</t>
  </si>
  <si>
    <t>D-34</t>
  </si>
  <si>
    <t>D-350</t>
  </si>
  <si>
    <t>D-369</t>
  </si>
  <si>
    <t>D-373</t>
  </si>
  <si>
    <t>D-376</t>
  </si>
  <si>
    <t>D-39</t>
  </si>
  <si>
    <t>D-41</t>
  </si>
  <si>
    <t>D-447</t>
  </si>
  <si>
    <t>D-448</t>
  </si>
  <si>
    <t>D-449</t>
  </si>
  <si>
    <t>D-54</t>
  </si>
  <si>
    <t>D-88</t>
  </si>
  <si>
    <t>D-91</t>
  </si>
  <si>
    <t>D-92</t>
  </si>
  <si>
    <t>D-96</t>
  </si>
  <si>
    <t>D-97</t>
  </si>
  <si>
    <t>M-92</t>
  </si>
  <si>
    <t>T-55</t>
  </si>
  <si>
    <t>2</t>
  </si>
  <si>
    <t>EQUIPOS COMPLEMENTARIOS</t>
  </si>
  <si>
    <t>D-123</t>
  </si>
  <si>
    <t>D-124</t>
  </si>
  <si>
    <t>D-125</t>
  </si>
  <si>
    <t>D-126</t>
  </si>
  <si>
    <t>D-128</t>
  </si>
  <si>
    <t>D-131</t>
  </si>
  <si>
    <t>D-132</t>
  </si>
  <si>
    <t>D-133</t>
  </si>
  <si>
    <t>D-135</t>
  </si>
  <si>
    <t>D-136</t>
  </si>
  <si>
    <t>D-140</t>
  </si>
  <si>
    <t>D-147</t>
  </si>
  <si>
    <t>D-153</t>
  </si>
  <si>
    <t>D-155</t>
  </si>
  <si>
    <t>D-156</t>
  </si>
  <si>
    <t>D-158</t>
  </si>
  <si>
    <t>D-159</t>
  </si>
  <si>
    <t>D-188</t>
  </si>
  <si>
    <t>D-196</t>
  </si>
  <si>
    <t>D-199</t>
  </si>
  <si>
    <t>D-200</t>
  </si>
  <si>
    <t>D-202</t>
  </si>
  <si>
    <t>D-203</t>
  </si>
  <si>
    <t>D-216</t>
  </si>
  <si>
    <t>D-234</t>
  </si>
  <si>
    <t>D-28</t>
  </si>
  <si>
    <t>D-285</t>
  </si>
  <si>
    <t>D-307</t>
  </si>
  <si>
    <t>D-314</t>
  </si>
  <si>
    <t>D-325</t>
  </si>
  <si>
    <t>D-326</t>
  </si>
  <si>
    <t>D-328</t>
  </si>
  <si>
    <t>D-330</t>
  </si>
  <si>
    <t>D-331</t>
  </si>
  <si>
    <t>D-332</t>
  </si>
  <si>
    <t>D-333</t>
  </si>
  <si>
    <t>D-343</t>
  </si>
  <si>
    <t>D-345</t>
  </si>
  <si>
    <t>D-349</t>
  </si>
  <si>
    <t>D-407</t>
  </si>
  <si>
    <t>D-412</t>
  </si>
  <si>
    <t>D-413</t>
  </si>
  <si>
    <t>D-418</t>
  </si>
  <si>
    <t>E-160</t>
  </si>
  <si>
    <t>E-191</t>
  </si>
  <si>
    <t>E-81</t>
  </si>
  <si>
    <t>M-129a</t>
  </si>
  <si>
    <t>M-133</t>
  </si>
  <si>
    <t>M-136</t>
  </si>
  <si>
    <t>M-53</t>
  </si>
  <si>
    <t>M-78</t>
  </si>
  <si>
    <t>O-13</t>
  </si>
  <si>
    <t>O-20</t>
  </si>
  <si>
    <t>O-21</t>
  </si>
  <si>
    <t>O-22</t>
  </si>
  <si>
    <t>O-23</t>
  </si>
  <si>
    <t>O-24</t>
  </si>
  <si>
    <t>O-25</t>
  </si>
  <si>
    <t>O-26</t>
  </si>
  <si>
    <t>O-27</t>
  </si>
  <si>
    <t>O-5</t>
  </si>
  <si>
    <t>O-6</t>
  </si>
  <si>
    <t>3</t>
  </si>
  <si>
    <t>EQUIPOS ELECTROMECANICO</t>
  </si>
  <si>
    <t>D-186</t>
  </si>
  <si>
    <t>D-212</t>
  </si>
  <si>
    <t>D-217</t>
  </si>
  <si>
    <t>D-219</t>
  </si>
  <si>
    <t>D-220</t>
  </si>
  <si>
    <t>D-287</t>
  </si>
  <si>
    <t>D-288</t>
  </si>
  <si>
    <t>D-352</t>
  </si>
  <si>
    <t>D-430</t>
  </si>
  <si>
    <t>E-103</t>
  </si>
  <si>
    <t>E-130</t>
  </si>
  <si>
    <t>E-154</t>
  </si>
  <si>
    <t>E-159</t>
  </si>
  <si>
    <t>E-162</t>
  </si>
  <si>
    <t>E-2</t>
  </si>
  <si>
    <t>E-208</t>
  </si>
  <si>
    <t>E-209</t>
  </si>
  <si>
    <t>E-210</t>
  </si>
  <si>
    <t>E-211</t>
  </si>
  <si>
    <t>E-52</t>
  </si>
  <si>
    <t>E-53</t>
  </si>
  <si>
    <t>E-56</t>
  </si>
  <si>
    <t>E-57</t>
  </si>
  <si>
    <t>E-58</t>
  </si>
  <si>
    <t>E-80</t>
  </si>
  <si>
    <t>E-83</t>
  </si>
  <si>
    <t>E-86</t>
  </si>
  <si>
    <t>E-88</t>
  </si>
  <si>
    <t>M-129</t>
  </si>
  <si>
    <t>M-19</t>
  </si>
  <si>
    <t>T-49</t>
  </si>
  <si>
    <t>4</t>
  </si>
  <si>
    <t>EQUIPOS INFORMATICOS</t>
  </si>
  <si>
    <t>D-25</t>
  </si>
  <si>
    <t>T-112</t>
  </si>
  <si>
    <t>T-14</t>
  </si>
  <si>
    <t>T-16</t>
  </si>
  <si>
    <t>T-6</t>
  </si>
  <si>
    <t>T-73</t>
  </si>
  <si>
    <t>5</t>
  </si>
  <si>
    <t>INSTRUMENTAL</t>
  </si>
  <si>
    <t>D-129</t>
  </si>
  <si>
    <t>D-145</t>
  </si>
  <si>
    <t>D-146</t>
  </si>
  <si>
    <t>I-1</t>
  </si>
  <si>
    <t>I-10</t>
  </si>
  <si>
    <t>I-11</t>
  </si>
  <si>
    <t>I-12</t>
  </si>
  <si>
    <t>I-15</t>
  </si>
  <si>
    <t>I-18</t>
  </si>
  <si>
    <t>I-2</t>
  </si>
  <si>
    <t>I-20</t>
  </si>
  <si>
    <t>I-21</t>
  </si>
  <si>
    <t>I-22</t>
  </si>
  <si>
    <t>I-23</t>
  </si>
  <si>
    <t>I-25</t>
  </si>
  <si>
    <t>I-26</t>
  </si>
  <si>
    <t>I-27</t>
  </si>
  <si>
    <t>I-28</t>
  </si>
  <si>
    <t>I-29</t>
  </si>
  <si>
    <t>I-5</t>
  </si>
  <si>
    <t>I-56</t>
  </si>
  <si>
    <t>I-9</t>
  </si>
  <si>
    <t>6</t>
  </si>
  <si>
    <t>MOBILIARIO ADMINISTRATIVO</t>
  </si>
  <si>
    <t>M-1</t>
  </si>
  <si>
    <t>M-10</t>
  </si>
  <si>
    <t>M-101</t>
  </si>
  <si>
    <t>M-108</t>
  </si>
  <si>
    <t>M-11</t>
  </si>
  <si>
    <t>M-117</t>
  </si>
  <si>
    <t>M-120</t>
  </si>
  <si>
    <t>M-123</t>
  </si>
  <si>
    <t>M-13</t>
  </si>
  <si>
    <t>M-138</t>
  </si>
  <si>
    <t>M-14</t>
  </si>
  <si>
    <t>M-15</t>
  </si>
  <si>
    <t>M-16</t>
  </si>
  <si>
    <t>M-160</t>
  </si>
  <si>
    <t>M-162</t>
  </si>
  <si>
    <t>M-163</t>
  </si>
  <si>
    <t>M-17</t>
  </si>
  <si>
    <t>M-18</t>
  </si>
  <si>
    <t>M-2</t>
  </si>
  <si>
    <t>M-21</t>
  </si>
  <si>
    <t>M-22</t>
  </si>
  <si>
    <t>M-26</t>
  </si>
  <si>
    <t>M-28</t>
  </si>
  <si>
    <t>M-29</t>
  </si>
  <si>
    <t>M-3</t>
  </si>
  <si>
    <t>M-30</t>
  </si>
  <si>
    <t>M-32</t>
  </si>
  <si>
    <t>M-33</t>
  </si>
  <si>
    <t>M-34</t>
  </si>
  <si>
    <t>M-36</t>
  </si>
  <si>
    <t>M-37</t>
  </si>
  <si>
    <t>M-38</t>
  </si>
  <si>
    <t>M-39</t>
  </si>
  <si>
    <t>M-40</t>
  </si>
  <si>
    <t>M-42</t>
  </si>
  <si>
    <t>M-44</t>
  </si>
  <si>
    <t>M-46</t>
  </si>
  <si>
    <t>M-48</t>
  </si>
  <si>
    <t>M-58</t>
  </si>
  <si>
    <t>M-6</t>
  </si>
  <si>
    <t>M-8</t>
  </si>
  <si>
    <t>M-9</t>
  </si>
  <si>
    <t>M-96</t>
  </si>
  <si>
    <t>M-98</t>
  </si>
  <si>
    <t>T-53</t>
  </si>
  <si>
    <t>7</t>
  </si>
  <si>
    <t>MOBILIARIO CLINICO</t>
  </si>
  <si>
    <t>D-109</t>
  </si>
  <si>
    <t>D-141</t>
  </si>
  <si>
    <t>D-143</t>
  </si>
  <si>
    <t>D-148</t>
  </si>
  <si>
    <t>M-102</t>
  </si>
  <si>
    <t>M-105</t>
  </si>
  <si>
    <t>M-106</t>
  </si>
  <si>
    <t>M-109</t>
  </si>
  <si>
    <t>M-111</t>
  </si>
  <si>
    <t>M-113</t>
  </si>
  <si>
    <t>M-114</t>
  </si>
  <si>
    <t>M-115</t>
  </si>
  <si>
    <t>M-116</t>
  </si>
  <si>
    <t>M-124</t>
  </si>
  <si>
    <t>M-159</t>
  </si>
  <si>
    <t>M-161</t>
  </si>
  <si>
    <t>M-164</t>
  </si>
  <si>
    <t>M-165</t>
  </si>
  <si>
    <t>M-47</t>
  </si>
  <si>
    <t>M-55</t>
  </si>
  <si>
    <t>M-57</t>
  </si>
  <si>
    <t>M-59</t>
  </si>
  <si>
    <t>M-60</t>
  </si>
  <si>
    <t>M-64</t>
  </si>
  <si>
    <t>M-68</t>
  </si>
  <si>
    <t>M-72</t>
  </si>
  <si>
    <t>M-73</t>
  </si>
  <si>
    <t>M-75</t>
  </si>
  <si>
    <t>M-76</t>
  </si>
  <si>
    <t>M-81</t>
  </si>
  <si>
    <t>M-83</t>
  </si>
  <si>
    <t>M-84</t>
  </si>
  <si>
    <t>M-85</t>
  </si>
  <si>
    <t>M-86</t>
  </si>
  <si>
    <t>M-88</t>
  </si>
  <si>
    <t>M-90</t>
  </si>
  <si>
    <t>M-91</t>
  </si>
  <si>
    <t>M-94</t>
  </si>
  <si>
    <t>M-95</t>
  </si>
  <si>
    <t>M-97</t>
  </si>
  <si>
    <t>M-99</t>
  </si>
  <si>
    <t>ELECTROCARDIÓGRAFO</t>
  </si>
  <si>
    <t>ECÓGRAFO DOPPLER COLOR 4D</t>
  </si>
  <si>
    <t>BOMBA DE INFUSIÓN DE 1 CANAL</t>
  </si>
  <si>
    <t>BOMBA DE INFUSIÓN DE 2 CANALES</t>
  </si>
  <si>
    <t>MONITOR FETAL</t>
  </si>
  <si>
    <t>MONITOR FETAL GEMELAR</t>
  </si>
  <si>
    <t>PULSIOXÍMETRO</t>
  </si>
  <si>
    <t>MONITOR DE FUNCIONES VITALES DE 5 PARÁMETROS</t>
  </si>
  <si>
    <t>BOLSA PERFUSORA</t>
  </si>
  <si>
    <t xml:space="preserve">EQUIPO DE RAYOS X </t>
  </si>
  <si>
    <t>NEBULIZADOR</t>
  </si>
  <si>
    <t xml:space="preserve">EQUIPO DE RAYOS X DENTAL </t>
  </si>
  <si>
    <t xml:space="preserve">CONTADOR DE CÉLULAS </t>
  </si>
  <si>
    <t>ANALIZADOR BIOQUÍMICO SEMI AUTOMATICO</t>
  </si>
  <si>
    <t>BAÑO MARÍA DE 20 A 25 LITROS</t>
  </si>
  <si>
    <t xml:space="preserve">GLUCÓMETRO PORTÁTIL </t>
  </si>
  <si>
    <t>ROTADOR SEROLÓGICO</t>
  </si>
  <si>
    <t>ESTIMULADOR FETAL</t>
  </si>
  <si>
    <t>PULSIOXÍMETRO PORTÁTIL</t>
  </si>
  <si>
    <t>LÁMPARA QUIRÚRGICA RODABLE</t>
  </si>
  <si>
    <t>CUNA DE CALOR RADIANTE</t>
  </si>
  <si>
    <t>INCUBADORA PARA CULTIVO</t>
  </si>
  <si>
    <t>DESFIBRILADOR EXTERNO AUTOMATICO</t>
  </si>
  <si>
    <t>CABINA DE FLUJO LAMINAR VERTICAL (4PIES TIPO A/B3)</t>
  </si>
  <si>
    <t>DESTARTARIZADOR ULTRASÓNICO</t>
  </si>
  <si>
    <t>UNIDAD DENTAL COMPLETA</t>
  </si>
  <si>
    <t>DESFIBRILADOR CON MONITOR Y PALETAS EXTERNAS</t>
  </si>
  <si>
    <t>ANALIZADOR HEMATOLÓGICO</t>
  </si>
  <si>
    <t>LÁMPARA DE FOTOCURADO</t>
  </si>
  <si>
    <t>AMNIOSCOPIO</t>
  </si>
  <si>
    <t>ASPIRADOR DE SECRECIONES RODABLE</t>
  </si>
  <si>
    <t>CALENTADOR DE SANGRE/SOLUCIONES</t>
  </si>
  <si>
    <t>DESTRUCTOR DE AGUJAS HIPODÉRMICAS</t>
  </si>
  <si>
    <t>DETECTOR DE LATIDOS FETALES DE SOBREMESA</t>
  </si>
  <si>
    <t>DETECTOR DE LATIDOS FETALES PORTÁTIL</t>
  </si>
  <si>
    <t>MESA DE PARTOS</t>
  </si>
  <si>
    <t>ESTACIÓN DE DIAGNÓSTICO Y MONITOR DE GRADO MÉDICO</t>
  </si>
  <si>
    <t>ESTETOSCOPIO  NEONATAL</t>
  </si>
  <si>
    <t>ESTETOSCOPIO ADULTO</t>
  </si>
  <si>
    <t>ESTETOSCOPIO ADULTO PEDIÁTRICO</t>
  </si>
  <si>
    <t>FRONTOLUZ</t>
  </si>
  <si>
    <t>LINTERNA PARA EXAMEN CLÍNICO</t>
  </si>
  <si>
    <t>PANTOSCOPIO</t>
  </si>
  <si>
    <t>PANTOSCOPIO PEDIÁTRICO</t>
  </si>
  <si>
    <t>TENSIÓMETRO ANEROIDE ADULTO</t>
  </si>
  <si>
    <t>TENSIÓMETRO ANEROIDE RODABLE ADULTO</t>
  </si>
  <si>
    <t>TENSIÓMETRO ANEROIDE RODABLE PEDIÁTRICO - NEONATAL</t>
  </si>
  <si>
    <t>EQUIPO DE OXIGENOTERAPIA RODABLE</t>
  </si>
  <si>
    <t>MANDIL EMPLOMADO</t>
  </si>
  <si>
    <t>CANASTILLA (GRADILLA) PARA TRANSPORTE DE MUESTRAS</t>
  </si>
  <si>
    <t>MECHERO DE BUNSEN</t>
  </si>
  <si>
    <t>RELOJ CRONÓMETRO PARA LABORATORIO</t>
  </si>
  <si>
    <t>TERMÓMETRO/ HIGRÓMETRO DIGITAL</t>
  </si>
  <si>
    <t>COLCHONETA  200 X 80 CM</t>
  </si>
  <si>
    <t>BALANZA DIGITAL CON TALLÍMETRO PEDIÁTRICA</t>
  </si>
  <si>
    <t>SET DE COLLARÍN PARA POLITRAUMATIZADO</t>
  </si>
  <si>
    <t>FLUJÓMETRO CON HUMIDIFICADOR PARA LA RED DE OXÍGENO</t>
  </si>
  <si>
    <t>MALETÍN DE ATENCIÓN MEDICA</t>
  </si>
  <si>
    <t>UNIDAD DE ASPIRACIÓN PARA RED DE VACÍO</t>
  </si>
  <si>
    <t>MALETÍN DE REANIMACIÓN NEONATAL</t>
  </si>
  <si>
    <t>CORTADORA ELÉCTRICA DE GASAS</t>
  </si>
  <si>
    <t>CANASTILLA (GRADILLA) DE COLORACIÓN DE 20 LÁMINAS</t>
  </si>
  <si>
    <t xml:space="preserve">LÁMPARA DE EXAMEN CLÍNICO </t>
  </si>
  <si>
    <t>COOLER PARA TRANSPORTE DE VACUNAS</t>
  </si>
  <si>
    <t>MALETÍN DE REANIMACIÓN - ADULTO PEDIÁTRICO</t>
  </si>
  <si>
    <t>COLLARÍN EMPLOMADO</t>
  </si>
  <si>
    <t>BALANZA DIGITAL CON TALLÍMETRO ADULTO</t>
  </si>
  <si>
    <t>BALANZA DIGITAL CON TALLÍMETRO NEONATAL</t>
  </si>
  <si>
    <t>CINTA MÉTRICA</t>
  </si>
  <si>
    <t>MÓDULOS DE PSICOMOTRICIDAD PARA NIÑOS 1 A 3 AÑOS</t>
  </si>
  <si>
    <t>MÓDULOS DE PSICOMOTRICIDAD PARA NIÑOS 3 AÑOS A MAS</t>
  </si>
  <si>
    <t>MÓDULOS DE PSICOMOTRICIDAD PARA NIÑOS MENORES DE 12 MESES</t>
  </si>
  <si>
    <t>PELOTAS PARA EJERCICIOS 3 MEDIDAS</t>
  </si>
  <si>
    <t>INFANTÓMETRO</t>
  </si>
  <si>
    <t>TALLÍMETRO PEDIÁTRICO</t>
  </si>
  <si>
    <t>ESTETOSCOPIO FETOSCOPIO</t>
  </si>
  <si>
    <t>CAMPANA PARA ANAEROBIS</t>
  </si>
  <si>
    <t>BALANZA DIGITAL PORTÁTIL</t>
  </si>
  <si>
    <t>CINTA OBSTÉTRICA CLAP</t>
  </si>
  <si>
    <t>TENSIÓMETRO ANEROIDE PEDIATRICO - NEONATAL</t>
  </si>
  <si>
    <t>DATA LOGGER</t>
  </si>
  <si>
    <t>TERMÓMETRO PARA PORTA VACUNAS</t>
  </si>
  <si>
    <t>COCINA ELECTRICA DE DOS HORNILLAS DE MESA</t>
  </si>
  <si>
    <t>TABLA DE TRANSPORTE PARA POLITRAUMATIZADO</t>
  </si>
  <si>
    <t>ESTANTES CON  JUGUETES Y MATERIAL  DIDÁCTICO DIVERSO PARA ESTIMULACIÓN TEMPRANA</t>
  </si>
  <si>
    <t>PISO MICROPOROSO</t>
  </si>
  <si>
    <t xml:space="preserve">PARIHUELAS PARA DEPÓSITO </t>
  </si>
  <si>
    <t>CAMA DE 1 1/2 PLAZA</t>
  </si>
  <si>
    <t>TEST DE DESARROLLO PSICOMOTOR (TEPSI)</t>
  </si>
  <si>
    <t>TEST ABREVIADO PERUANO (TAP)</t>
  </si>
  <si>
    <t>TEST EEDP (ESCALA DE EVALUACIÓN DE DESARROLLO PSICOMOTOR)</t>
  </si>
  <si>
    <t>TEST DE WPPSI (PRE ESCOLAR)</t>
  </si>
  <si>
    <t>TEST DE WISC-R (ESCOLAR)</t>
  </si>
  <si>
    <t>TEST DE WAIS (ADULTOS)</t>
  </si>
  <si>
    <t>TEST DE STANFORD BINET</t>
  </si>
  <si>
    <t>GESTOGRAMA</t>
  </si>
  <si>
    <t>SET DE RODILLOS DE ESPUMA PARA GESTANTE</t>
  </si>
  <si>
    <t xml:space="preserve">JUEGOS PARA ESTIMULACIÓN TEMPRANA </t>
  </si>
  <si>
    <t>JUEGOS PARA ESTIMULACIÓN SENSORIAL</t>
  </si>
  <si>
    <t xml:space="preserve">BALANZA DE MESA DE 20 KILOS </t>
  </si>
  <si>
    <t xml:space="preserve">ESTERILIZADOR </t>
  </si>
  <si>
    <t xml:space="preserve">ESTERILIZADOR A VAPOR </t>
  </si>
  <si>
    <t>LAVADOR DE INSTRUMENTAL QUIRÚRGICO</t>
  </si>
  <si>
    <t xml:space="preserve">LAVADORA DE CHATAS  </t>
  </si>
  <si>
    <t xml:space="preserve">REFRIGERADORA PARA LABORATORIO </t>
  </si>
  <si>
    <t>REFRIGERADORA PARA MEDICAMENTOS</t>
  </si>
  <si>
    <t>ESTERILIZADOR A VAPOR VERTICAL DE 20 LITROS</t>
  </si>
  <si>
    <t>CONGELADORA PARA VACUNAS HORIZONTAL</t>
  </si>
  <si>
    <t>BALANZA DE PLATAFORMA, FUERZA 100 KG DIGITAL</t>
  </si>
  <si>
    <t>BIDESTILADOR DE AGUA 4 LITROS/H</t>
  </si>
  <si>
    <t>UPS 2 KVA ON LINE</t>
  </si>
  <si>
    <t>REFRIGERADORA DE 4 P3</t>
  </si>
  <si>
    <t>SECADOR ELÉCTRICO DE MANOS</t>
  </si>
  <si>
    <t>SELLADORA DE BOLSAS</t>
  </si>
  <si>
    <t>LAVADOR DESINFECTOR</t>
  </si>
  <si>
    <t>PISTOLA PARA LAVADO DE COCHES</t>
  </si>
  <si>
    <t>LAVADORA CENTRÍFUGA AUTOMÁTICA</t>
  </si>
  <si>
    <t>PLANCHA DE MANO</t>
  </si>
  <si>
    <t>MÁQUINA DE COSER, ELÉCTRICA</t>
  </si>
  <si>
    <t>PLANCHADORA DE SÁBANAS</t>
  </si>
  <si>
    <t>SECADORA DE ROPA</t>
  </si>
  <si>
    <t>TABLA DE PLANCHAR A MANO</t>
  </si>
  <si>
    <t>MÁQUINA LUSTRADORA TIPO INDUSTRIAL CON ESCOBILLA</t>
  </si>
  <si>
    <t>COCINA A GAS PROPANO DE 4 HORNILLAS Y HORNO</t>
  </si>
  <si>
    <t>EQUIPO CON PISTOLA PARA LAVADO DE COCHES (A VAPOR)</t>
  </si>
  <si>
    <t>HORNO MICROONDAS CON PANEL DIGITAL</t>
  </si>
  <si>
    <t>LICUADORA ELÉCTRICA 2000 CC</t>
  </si>
  <si>
    <t>REFRIGERADORA  DE 14 PIES CÚBICOS</t>
  </si>
  <si>
    <t>CAJA FUERTE CON CLAVE TIPO RELOJ</t>
  </si>
  <si>
    <t>CAJA REGISTRADORA DIGITAL</t>
  </si>
  <si>
    <t>AMBULANCIA RURAL TIPO I</t>
  </si>
  <si>
    <t>CARRO PARA TRANSPORTE DE PERSONAL TIPO TODO TERRENO</t>
  </si>
  <si>
    <t>IMPRESORA LÁSER EN SECO</t>
  </si>
  <si>
    <t>TELEVISOR LED SMART TV DE 50" APROX. INC RACK</t>
  </si>
  <si>
    <t>REPRODUCTOR BLU RAY</t>
  </si>
  <si>
    <t>TELEVISOR LED SMART TV DE 42" APROX. INCL.RACK</t>
  </si>
  <si>
    <t>EQUIPO DE SONIDO</t>
  </si>
  <si>
    <t>SISTEMA DE TELECONFERENCIA</t>
  </si>
  <si>
    <t>MARTILLO DE REFLEJOS</t>
  </si>
  <si>
    <t>SET DE RIÑONERAS DE ACERO QUIRÚRGICO</t>
  </si>
  <si>
    <t>SET DE TAMBORES DE ACERO QUIRÚRGICO</t>
  </si>
  <si>
    <t>SET DE INSTRUMENTAL PARA RETIRAR PUNTOS</t>
  </si>
  <si>
    <t>SET INSTRUMENTAL DE SUTURAS</t>
  </si>
  <si>
    <t>SET DE INSTRUMENTAL PARA CURACIONES</t>
  </si>
  <si>
    <t>SET DE INSTRUMENTAL PARA EXTRACCIÓN DE CUERPO EXTRAÑO</t>
  </si>
  <si>
    <t>SET DE TOMA DE MUESTRAS GINECO OBSTÉTRICOS</t>
  </si>
  <si>
    <t>SET INSTRUMENTAL DE INSERCION Y RETIRO DE DIU</t>
  </si>
  <si>
    <t>SET DE INSTRUMENTAL PARA SUTURA</t>
  </si>
  <si>
    <t>SET DE INSTRUMENTAL DE LEGRADO UTERINO</t>
  </si>
  <si>
    <t>SET DE INSTRUMENTAL DE PARTO</t>
  </si>
  <si>
    <t>SET INSTRUMENTAL PARA EXÁMEN GINECOLÓGICO I</t>
  </si>
  <si>
    <t>SET INSTRUMENTAL PARA REVISIÓN DE CUELLO UTERINO</t>
  </si>
  <si>
    <t>SET INSTRUMENTAL DE CIRUGÍA DENTAL</t>
  </si>
  <si>
    <t>SET INSTRUMENTAL PARA CURACIÓN DENTAL</t>
  </si>
  <si>
    <t>SET INSTRUMENTAL PARA DIAGNÓSTICO ODONTOLÓGICO</t>
  </si>
  <si>
    <t>SET INSTRUMENTAL PARA ENDODONCIA</t>
  </si>
  <si>
    <t>SET INSTRUMENTAL PARA EXODONCIA</t>
  </si>
  <si>
    <t>SET DE INSTRUMENTAL DE CIRUGIA MENOR</t>
  </si>
  <si>
    <t>SET INSTRUMENTAL PARA PUNCIÓN LUMBAR</t>
  </si>
  <si>
    <t>SET INSTRUMENTAL DE PEQUEÑAS INTERVENCIONES QUIRÚRGICAS</t>
  </si>
  <si>
    <t>ARCHIVADOR METÁLICO DE 4 GAVETAS</t>
  </si>
  <si>
    <t>VITRINA METÁLICA PARA ANUNCIOS CON PUERTAS CORREDIZAS DE VIDRIO</t>
  </si>
  <si>
    <t>PAPELERA DE ACERO INOXIDABLE DE FORMA CILÍNDRICA</t>
  </si>
  <si>
    <t>VELADOR METÁLICO</t>
  </si>
  <si>
    <t>VITRINA METÁLICA PARA LIBROS</t>
  </si>
  <si>
    <t>PORTABOLSA METÁLICA RODABLE, CON BOLSA DE LONA</t>
  </si>
  <si>
    <t>CARRO PARA TRANSPORTE PESADO</t>
  </si>
  <si>
    <t>MESA DE COMEDOR PARA 4 PERSONAS</t>
  </si>
  <si>
    <t>CILINDRO DE PLÁSTICO CON TAPA VAIVÉN</t>
  </si>
  <si>
    <t>ATRIL ROTAFOLIO</t>
  </si>
  <si>
    <t>PAPELERA DE PLÁSTICO CON TAPA Y VENTANA BATIBLE</t>
  </si>
  <si>
    <t>PAPELERA METÁLICA DE PISO</t>
  </si>
  <si>
    <t>BANCO DE MADERA PARA VESTUARIO</t>
  </si>
  <si>
    <t>ESTANTERÍA PARA HISTORIAS CLINICAS</t>
  </si>
  <si>
    <t>TABURETE DE ACERO INOXIDABLE CON ASIENTO GIRATORIO RODABLE CON RESPALDO</t>
  </si>
  <si>
    <t>ARCHIVADOR METÁLICO DE PLACAS RADIOGRÁFICAS</t>
  </si>
  <si>
    <t>BANDEJA ACRÍLICA DOBLE PARA ESCRITORIO</t>
  </si>
  <si>
    <t>BUTACA METÁLICA DE 3 CUERPOS</t>
  </si>
  <si>
    <t>ARMARIO METÁLICO DE 2 PUERTAS</t>
  </si>
  <si>
    <t>ESCRITORIO EJECUTIVO</t>
  </si>
  <si>
    <t>ESCRITORIO ESTÁNDAR</t>
  </si>
  <si>
    <t>MESA DE MADERA DE TRABAJO DE 240 X 120 CM</t>
  </si>
  <si>
    <t>MESA DE MADERA PARA NIÑOS</t>
  </si>
  <si>
    <t>MESA DE REUNIONES DE 90 X 180 CM</t>
  </si>
  <si>
    <t>ARMARIO METÁLICO DE UN CUERPO Y DOS COMPARTIMIENTOS</t>
  </si>
  <si>
    <t>MESA METÁLICA DE CENTRO</t>
  </si>
  <si>
    <t xml:space="preserve">MÓDULO PARA CÓMPUTO </t>
  </si>
  <si>
    <t>PIZARRA ACRÍLICA DE 150 X 100 CM PARA ADOSAR EN LA PARED</t>
  </si>
  <si>
    <t>SILLA DE MADERA PARA NIÑOS</t>
  </si>
  <si>
    <t>SILLA METÁLICA APILABLE</t>
  </si>
  <si>
    <t>SILLA METÁLICA CONFORTABLE GIRATORIA RODABLE</t>
  </si>
  <si>
    <t>SILLA METÁLICA GIRATORIA RODABLE CON BRAZOS</t>
  </si>
  <si>
    <t>SILLA METÁLICA GIRATORIA RODABLE</t>
  </si>
  <si>
    <t>SILLA METÁLICA GIRATORIA RODABLE CON ASIENTO ALTO</t>
  </si>
  <si>
    <t>SILLÓN METÁLICO CONFORTABLE RECLINABLE PARA REPOSO</t>
  </si>
  <si>
    <t>SILLÓN METÁLICO SEMICONFORTABLE SIN PORTABRAZOS 2 CUERPOS</t>
  </si>
  <si>
    <t>SILLÓN METÁLICO SEMICONFORTABLE SIN PORTABRAZOS UNIPERSONAL</t>
  </si>
  <si>
    <t>TABURETE METÁLICO FIJO CON ASIENTO GIRATORIO</t>
  </si>
  <si>
    <t>CARRO PARA TRANSPORTE DE MATERIAL ESTÉRIL</t>
  </si>
  <si>
    <t>ESCALERA DE ALUMINIO DE 3 PASOS</t>
  </si>
  <si>
    <t>ESTANTERÍA METÁLICA DE ÁNGULOS RANURADOS DE 01 CUERPO 05 ANAQUELES</t>
  </si>
  <si>
    <t>PERCHA METÁLICA DE PARED CON 4 GANCHOS</t>
  </si>
  <si>
    <t>MESA METÁLICA DE NOCHE</t>
  </si>
  <si>
    <t>MESA METÁLICA DE USO MÚLTIPLE DE 90 X 45 CM</t>
  </si>
  <si>
    <t>ECRAN DE PARED ENRROLLABLE</t>
  </si>
  <si>
    <t xml:space="preserve">COCHE DE PARO </t>
  </si>
  <si>
    <t>CHATA DE ACERO INOXIDABLE</t>
  </si>
  <si>
    <t>PAPAGAYO DE ACERO INOXIDABLE</t>
  </si>
  <si>
    <t>NEGATOSCOPIO DE 2 CAMPOS</t>
  </si>
  <si>
    <t xml:space="preserve">PORTACHATAS Y PAPAGAYOS DE PARED </t>
  </si>
  <si>
    <t>PORTASUERO METÁLICO RODABLE</t>
  </si>
  <si>
    <t>SILLA DE RUEDAS ESTÁNDAR</t>
  </si>
  <si>
    <t>SILLA ESPECIAL PARA TOMA DE MUESTRAS</t>
  </si>
  <si>
    <t>COCHE PARA TRANSPORTE DE ROPA LIMPIA</t>
  </si>
  <si>
    <t>CARRO PARA ÚTILES DE LIMPIEZA</t>
  </si>
  <si>
    <t xml:space="preserve">CUBO DE ACERO INOXIDABLE PARA DESPERDICIOS CON TAPA ACCIONADA A PEDAL </t>
  </si>
  <si>
    <t>PORTA BALDE DE ACERO INOXIDABLE RODABLE CON BALDE DE ACERO INOXIDABLE</t>
  </si>
  <si>
    <t>PORTA LAVATORIO DOBLE METÁLICO RODABLE, INCLUYE LAVATORIO DE ACERO INOXIDABLE</t>
  </si>
  <si>
    <t>MESA RODABLE PARA ALIMENTOS</t>
  </si>
  <si>
    <t>MESA DE USO MÚLTIPLE DE ACERO INOXIDABLE DE 90 X 45 CM</t>
  </si>
  <si>
    <t>CAMA PARA TRABAJO DE PARTO</t>
  </si>
  <si>
    <t>CONTENEDOR RODABLE DE RESIDUOS SÓLIDOS</t>
  </si>
  <si>
    <t xml:space="preserve">ESCALINATA DE ACERO INOXIDABLE DE 2 PELDANOS </t>
  </si>
  <si>
    <t>TABURETE DE ACERO INOXIDABLE CON ASIENTO GIRATORIO RODABLE</t>
  </si>
  <si>
    <t>VITRINA DE ACERO INOXIDABLE PARA INSTRUMENTAL Y MATERIAL ESTÉRIL DE UN  CUERPO</t>
  </si>
  <si>
    <t>ARMARIO DE ACERO INOXIDABLE PARA INSTRUMENTAL DENTAL DE 2 CUERPOS</t>
  </si>
  <si>
    <t>ESTANTERÍA DE ACERO INOXIDABLE DE 01 CUERPO 03 DIVISIONES</t>
  </si>
  <si>
    <t>ESTANTERÍA DE ACERO INOXIDABLE DE 01 CUERPO 05 DIVISIONES</t>
  </si>
  <si>
    <t>VITRINA DE ACERO INOXIDABLE PARA INSTRUMENTAL Y MATERIAL ESTÉRIL DE DOS CUERPOS</t>
  </si>
  <si>
    <t>MESA DIVÁN PARA EXÁMENES GINECO OBSTÉTRICOS</t>
  </si>
  <si>
    <t>BIOMBO DE ACERO INOXIDABLE DE 2 CUERPOS</t>
  </si>
  <si>
    <t>CAMA CAMILLA MULTIPROPÓSITO</t>
  </si>
  <si>
    <t>CAMA CLÍNICA RODABLE PARA ADULTOS</t>
  </si>
  <si>
    <t>CAMA CLÍNICA RODABLE PARA NIÑOS ESCOLARES</t>
  </si>
  <si>
    <t>CARRO METÁLICO FICHERO PARA 20 PORTA HISTORIAS CLÍNICAS</t>
  </si>
  <si>
    <t>COCHE METÁLICO DE CURACIONES RODABLE</t>
  </si>
  <si>
    <t>COCHE PARA TRANSPORTE DE ROPA SUCIA</t>
  </si>
  <si>
    <t>CUNA ACRÍLICA CON BASE METÁLICA RODABLE</t>
  </si>
  <si>
    <t>ESCALINATA METÁLICA 2 PELDAÑOS</t>
  </si>
  <si>
    <t>MESA DIVÁN PARA EXÁMENES Y CURACIONES</t>
  </si>
  <si>
    <t>MESA DE ACERO INOXIDABLE TIPO MAYO</t>
  </si>
  <si>
    <t>MESA DE ACERO INOXIDABLE RODABLE PARA MÚLTIPLES USOS</t>
  </si>
  <si>
    <t>MESA DE TRABAJO DE ACERO INOXIDABLE DE 140 X 70 CM</t>
  </si>
  <si>
    <t>MESA ESPECIAL EN ACERO INOXIDABLE PARA TÓPICO</t>
  </si>
  <si>
    <t>MESA METÁLICA PARA EXÁMENES Y CAMBIAR PAÑALES</t>
  </si>
  <si>
    <t>MESA RODABLE DE ACERO INOXIDABLE PARA CURACIONES CON TABLERO</t>
  </si>
  <si>
    <t>FLETE TERRESTRE</t>
  </si>
  <si>
    <t xml:space="preserve">K =  0.034*(Ir / Io) + 0.966*(EMr / EMo) </t>
  </si>
  <si>
    <t>EM</t>
  </si>
  <si>
    <t>EQUIPAMIENTO</t>
  </si>
  <si>
    <t>COEFICIENTE DE REAJUSTE   - INSTALACIONES MECÁNICAS Y DE COMUNICACIÓN</t>
  </si>
  <si>
    <t>INSTALACIONES MECÁNICAS Y DE COMUNICACIÓN</t>
  </si>
  <si>
    <t>L.P</t>
  </si>
  <si>
    <t>AVANCE PROG.</t>
  </si>
  <si>
    <t>TOTAL VALORIZADO C/IGV</t>
  </si>
  <si>
    <t>FORMULA  3</t>
  </si>
  <si>
    <t>Amort.(A)=MtdoMatUtilxPUmxFRxIma/Imo</t>
  </si>
  <si>
    <t>1ER ADELANTO</t>
  </si>
  <si>
    <t>3=1X2</t>
  </si>
  <si>
    <t>VAL Nº</t>
  </si>
  <si>
    <t>MAT. UTIL</t>
  </si>
  <si>
    <t>PU a fecha PB</t>
  </si>
  <si>
    <t>Monto a P.B.</t>
  </si>
  <si>
    <t>Ima</t>
  </si>
  <si>
    <t>Imo</t>
  </si>
  <si>
    <t>Amortizacion</t>
  </si>
  <si>
    <t>Adelanto</t>
  </si>
  <si>
    <t>saldo por</t>
  </si>
  <si>
    <t>Otorgado</t>
  </si>
  <si>
    <t>Amortizar</t>
  </si>
  <si>
    <t>VAL Nº 08</t>
  </si>
  <si>
    <t>MAT. UTILIZADO</t>
  </si>
  <si>
    <t>TOTAL ADELANT.</t>
  </si>
  <si>
    <t>AMORTIZ. DEL MES</t>
  </si>
  <si>
    <t>AMORTIZACIÓN DEL ADELANTO DE MATERIALES (POR VALORIZACION)</t>
  </si>
  <si>
    <t>AMORTIZACIÓN DEL ADELANTO DE MATERIALES (POR USO DE MAT.)</t>
  </si>
  <si>
    <t>sept-2019</t>
  </si>
  <si>
    <t>AMORTIZ.ACUMULADO</t>
  </si>
  <si>
    <t xml:space="preserve">Adelanto </t>
  </si>
  <si>
    <t>Acumulada</t>
  </si>
  <si>
    <t xml:space="preserve">Amortizacion </t>
  </si>
  <si>
    <t>Acumulado</t>
  </si>
  <si>
    <t>10=7-9</t>
  </si>
  <si>
    <t>V-21</t>
  </si>
  <si>
    <t xml:space="preserve">DESCRIPCIÓN </t>
  </si>
  <si>
    <t>% DE AVANCE FISICO EJECUTADO</t>
  </si>
  <si>
    <t>Valorizado S/.</t>
  </si>
  <si>
    <t>Valorizado /S.</t>
  </si>
  <si>
    <t>´01</t>
  </si>
  <si>
    <t>´02</t>
  </si>
  <si>
    <t>PRESUPUESTO TOTAL</t>
  </si>
  <si>
    <t>PRESUPUESTO S/.(EXPEDIENTE TECNICO APROBADO)</t>
  </si>
  <si>
    <t>´03</t>
  </si>
  <si>
    <t>DEDUCTIVOS</t>
  </si>
  <si>
    <t>CONVENIO</t>
  </si>
  <si>
    <t>ESPECIFICO Nº SP-2022-012</t>
  </si>
  <si>
    <t>“CREACION DEL PUENTE VEHICULAR CCANCHIS SOBRE EL RIO PAMPAS, DISTRITO DE CHUNGUI - PROVINCIA LA MAR - DEPARTAMENTO AYACUCHO”.</t>
  </si>
  <si>
    <t>SUB GERENCIA DE SUPERVISION Y LIQUIDACION</t>
  </si>
  <si>
    <t xml:space="preserve"> CHUNGUI - LA MAR - AYACUCHO</t>
  </si>
  <si>
    <t>FEBRERO DE 2022</t>
  </si>
  <si>
    <t>PUENTE VEHICULAR CCANCHI</t>
  </si>
  <si>
    <t>PARTIDA</t>
  </si>
  <si>
    <t>DESCRIPCIÓN</t>
  </si>
  <si>
    <t>PRESUPUESTO CONTRATADO</t>
  </si>
  <si>
    <t>SALDOS</t>
  </si>
  <si>
    <t>P.U. OFERTADO</t>
  </si>
  <si>
    <t xml:space="preserve"> ACUMULADO ANTERIOR</t>
  </si>
  <si>
    <t>ACUMULADO ACTUAL</t>
  </si>
  <si>
    <t>(S/.)</t>
  </si>
  <si>
    <t>CONSTRUCCIÓN DEL PUENTE VEHICULAR</t>
  </si>
  <si>
    <t xml:space="preserve">  OBRAS PROVISIONALES</t>
  </si>
  <si>
    <t>1.01.01.01</t>
  </si>
  <si>
    <t xml:space="preserve">     CAMPAMENTO PROVISIONAL DE OBRA</t>
  </si>
  <si>
    <t>1.01.01.02</t>
  </si>
  <si>
    <t xml:space="preserve">     CONSTRUCCIÓN DE LETRINA</t>
  </si>
  <si>
    <t>1.01.01.03</t>
  </si>
  <si>
    <t xml:space="preserve">     POZO PARA ALMACENAMIENTO DE AGUA</t>
  </si>
  <si>
    <t>1.01.01.04</t>
  </si>
  <si>
    <t xml:space="preserve">     CARTEL DE IDENTIFICACIÓN DE OBRA</t>
  </si>
  <si>
    <t>1.01.01.05</t>
  </si>
  <si>
    <t xml:space="preserve">     PLATAFORMA DE MONTAJE RETICULADO</t>
  </si>
  <si>
    <t>1.01.01.06</t>
  </si>
  <si>
    <t xml:space="preserve">     FALSO PUENTE DEL PTE RETICULADO</t>
  </si>
  <si>
    <t>glb</t>
  </si>
  <si>
    <t>1.01.01.07</t>
  </si>
  <si>
    <t xml:space="preserve">     FALSO PUENTE DEL PTE DE LOS ACCESOS DE CONCRETO</t>
  </si>
  <si>
    <t xml:space="preserve">  TRABAJOS PRELIMINARES</t>
  </si>
  <si>
    <t>1.02.01.01</t>
  </si>
  <si>
    <t xml:space="preserve">     MOVILIZACIÓN Y DESMOVILIZACIÓN DEL EQUIPO Y MAQ.</t>
  </si>
  <si>
    <t>1.02.01.02</t>
  </si>
  <si>
    <t xml:space="preserve">     DESBROCE Y DEFOSTERACIÓN DEL TERRENO</t>
  </si>
  <si>
    <t>1.02.01.03</t>
  </si>
  <si>
    <t xml:space="preserve">     LIMPIEZA DEL TERRENO MANUAL</t>
  </si>
  <si>
    <t>1.02.01.04</t>
  </si>
  <si>
    <t xml:space="preserve">     TRAZO REPLANTEO PRELIMINAR</t>
  </si>
  <si>
    <t>1.02.01.05</t>
  </si>
  <si>
    <t xml:space="preserve">     CONTROL TOPOGRÁFICO EN EL PROCESO DE EJECUCIÓN</t>
  </si>
  <si>
    <t>1.02.01.06</t>
  </si>
  <si>
    <t xml:space="preserve">    ACCESOS A CANTERAS, DME, FUENTES DE AGUA</t>
  </si>
  <si>
    <t>km</t>
  </si>
  <si>
    <t xml:space="preserve">  MOVIEMIENTO DE TIERRAS</t>
  </si>
  <si>
    <t>1.03.01.01</t>
  </si>
  <si>
    <t xml:space="preserve">     EXCAVACIÓN EN MATERIAL SECO PARA ESTRIBOS</t>
  </si>
  <si>
    <t>1.03.01.02</t>
  </si>
  <si>
    <t xml:space="preserve">     EXCAVACIÓN EN MATERIAL SECO PARA PILARES</t>
  </si>
  <si>
    <t>1.03.01.03</t>
  </si>
  <si>
    <t xml:space="preserve">     EXCAVACIÓN DE TORRES DE FALSO PUENTE CASTILLOS</t>
  </si>
  <si>
    <t>1.03.01.04</t>
  </si>
  <si>
    <t xml:space="preserve">     EXCAVACIÓN EN ROCA FIJA PARA PILARES</t>
  </si>
  <si>
    <t>1.03.01.05</t>
  </si>
  <si>
    <t xml:space="preserve">     EXCAVACIÓN BAJA AGUA PARA PILARES (MAT CON BOLONERIA)</t>
  </si>
  <si>
    <t>1.03.01.06</t>
  </si>
  <si>
    <t xml:space="preserve">     REFINE, NIVELACIÓN Y COMPACTACIÓN DEL TERRENO</t>
  </si>
  <si>
    <t>1.03.01.07</t>
  </si>
  <si>
    <t xml:space="preserve">    RELLENO TIPO EROCADO EN ESTRIBOS</t>
  </si>
  <si>
    <t>1.03.01.08</t>
  </si>
  <si>
    <t xml:space="preserve">    RELLENO COMPACT. CON MAT DE PRESTAMOS EN ESPALDONES</t>
  </si>
  <si>
    <t>1.03.01.09</t>
  </si>
  <si>
    <t xml:space="preserve">    ELIMINACION DE MATERIAL EXCEDENTE</t>
  </si>
  <si>
    <t xml:space="preserve">  OBRAS DE CONCRETO SIMPLE</t>
  </si>
  <si>
    <t>1.04.01.01</t>
  </si>
  <si>
    <t xml:space="preserve">     SOLADO DE ZAPATAS E=20 CM MEZCLA 1:10 CEMENTO - HORMIGON</t>
  </si>
  <si>
    <t xml:space="preserve">  OBRAS DE CONCRETO ARMADO</t>
  </si>
  <si>
    <t>1.05.01</t>
  </si>
  <si>
    <t xml:space="preserve">     SUBESTRUCTURA DE PUENTE</t>
  </si>
  <si>
    <t>1.05.01.01</t>
  </si>
  <si>
    <t xml:space="preserve">       CONCRETO fc=280 KG/CM2  EN ESTRIBOS</t>
  </si>
  <si>
    <t>1.05.01.02</t>
  </si>
  <si>
    <t xml:space="preserve">       CONCRETO fc=280 KG/CM2 EN PILARES</t>
  </si>
  <si>
    <t>1.05.01.03</t>
  </si>
  <si>
    <t xml:space="preserve">       CONCRETO fc=280 KG/CM2 EN PILARES BAJO AGUA</t>
  </si>
  <si>
    <t>1.05.01.04</t>
  </si>
  <si>
    <t xml:space="preserve">       ENCOFRADO Y DESENCOFRADO EN ESTRIBOS</t>
  </si>
  <si>
    <t>1.05.01.05</t>
  </si>
  <si>
    <t xml:space="preserve">       ENCOFRADO Y DESENCOFRADO EN PILARES</t>
  </si>
  <si>
    <t>1.05.01.06</t>
  </si>
  <si>
    <t xml:space="preserve">       ENCOFRADO Y DESENCOFRADO EN PILARES BAJO AGUA</t>
  </si>
  <si>
    <t>1.05.01.07</t>
  </si>
  <si>
    <t xml:space="preserve">       ACERO Fy=4200 KG/CM2 EN ESTRIBOS</t>
  </si>
  <si>
    <t>1.05.01.08</t>
  </si>
  <si>
    <t xml:space="preserve">       ACERO Fy=4200 kg/cm2 EN PILARES</t>
  </si>
  <si>
    <t xml:space="preserve">     SUPERESTRUCTURA DEL PUENTE</t>
  </si>
  <si>
    <t xml:space="preserve">       CONCRETO fc=280 KG/CM2 EN LOSA</t>
  </si>
  <si>
    <t xml:space="preserve">       ENCOFRADO Y DESENCOFRADO EN LOSA</t>
  </si>
  <si>
    <t xml:space="preserve">       ACERO Fy=4200 kg/cm2 EN LOSA</t>
  </si>
  <si>
    <t xml:space="preserve">       CONCRETO fc=280 KG/CM2 EN ACCESO (TRAMO ESTRIBO PILAR)</t>
  </si>
  <si>
    <t xml:space="preserve">       ENCOFRADO Y DESENCOFRADO DE ACCESO (TRAMO ESTRIBO PILAR)</t>
  </si>
  <si>
    <t xml:space="preserve">       ACERO Fy=4200 kg/cm2 EN ACCESOS (TRAMO ESTRIBO PILAR)</t>
  </si>
  <si>
    <t xml:space="preserve">     LOSA DE APROXIMACIÓN</t>
  </si>
  <si>
    <t xml:space="preserve">       CONCRETO fc=280 KG/CM2 EN LOSA DE APROXIMACIÓN</t>
  </si>
  <si>
    <t xml:space="preserve">       CONCRETO fc=175 KG/CM2 EN VEREDA</t>
  </si>
  <si>
    <t>01.05.03.03</t>
  </si>
  <si>
    <t xml:space="preserve">       ENCOFRADO Y DESENCOFRADO EN LOSA DE APROXIMACIÓN</t>
  </si>
  <si>
    <t>01.05.03.04</t>
  </si>
  <si>
    <t xml:space="preserve">       ACERO Fy=4200 kg/cm2 EN LOSA DE APROXIMACIÓN</t>
  </si>
  <si>
    <t xml:space="preserve">  ESTRUCTURAS METÁLICAS</t>
  </si>
  <si>
    <t>1.06.01</t>
  </si>
  <si>
    <t xml:space="preserve">     FABRICACIÓN DE ESTRUCTURAS METÁLICAS GRADO 50</t>
  </si>
  <si>
    <t>ton</t>
  </si>
  <si>
    <t xml:space="preserve">     TRANSPORTE DE ESTRUCTURAS METÁLICAS</t>
  </si>
  <si>
    <t xml:space="preserve">     ARENADO Y PINTURA DE ESTRUCTURAS METÁLICAS</t>
  </si>
  <si>
    <t xml:space="preserve">     MONTAJE Y LANZAMIENTO DE ESTRUCTURAS METÁLICAS</t>
  </si>
  <si>
    <t xml:space="preserve">  OBRAS COMPLEMENTARIAS</t>
  </si>
  <si>
    <t xml:space="preserve">     TUBOS DE DRENAJE PVC D=3" L=0.80 M</t>
  </si>
  <si>
    <t xml:space="preserve">     ACABADO DE VEREDAS</t>
  </si>
  <si>
    <t xml:space="preserve">     SUPERFICIE DE RODADURA DE CONCRETO E=0.05 m</t>
  </si>
  <si>
    <t xml:space="preserve">     BARRERA NEW JERSEY</t>
  </si>
  <si>
    <t xml:space="preserve">       CONCRETO EN BARRERA fc=280 kg/cm2</t>
  </si>
  <si>
    <t xml:space="preserve">       ENCOFRADO Y DESENCOFRADO EN BARRERA</t>
  </si>
  <si>
    <t>01.07.04.03</t>
  </si>
  <si>
    <t xml:space="preserve">       ACERO fy=4200 kg/cm2 EN BARRERA</t>
  </si>
  <si>
    <t xml:space="preserve">     BARANDA METÁLICA</t>
  </si>
  <si>
    <t xml:space="preserve">     JUNTA DE DILATACIÓN C/PERFIL ANGULAR Y NEOPRENO T/PANAL</t>
  </si>
  <si>
    <t xml:space="preserve">     DISPOSITIVO DE APOYO (PUENTE DE CONCRETO VIGA-LOSA)</t>
  </si>
  <si>
    <t xml:space="preserve">     DISPOSITIVO DE APOYO (PUENTE RETICULADO)</t>
  </si>
  <si>
    <t xml:space="preserve">     BRUÑA ROMPE AGUA EN LOSA</t>
  </si>
  <si>
    <t xml:space="preserve">    TOPES SISMICOS</t>
  </si>
  <si>
    <t xml:space="preserve">  PRUEBAS DE LABORATORIO Y CONTROL DE CALIDAD</t>
  </si>
  <si>
    <t xml:space="preserve">     ENSAYOS DE ROTURA DE PROBETAS</t>
  </si>
  <si>
    <t xml:space="preserve">     VERIFICACIÓN DE LA CAPACIDAD PORTANTE DEL TERRENO</t>
  </si>
  <si>
    <t xml:space="preserve">     DISEÑO DE MEZCLA</t>
  </si>
  <si>
    <t xml:space="preserve">     PRUEBAS A LA ESTRUCTURA METÁLICA</t>
  </si>
  <si>
    <t xml:space="preserve">     PRUEBAS DE CARGA A LA ESTRUCTURA METÁLICA</t>
  </si>
  <si>
    <t xml:space="preserve">  SEÑALIZACIÓN</t>
  </si>
  <si>
    <t xml:space="preserve">     SEÑALES INFORMATIVAS</t>
  </si>
  <si>
    <t xml:space="preserve">     SEÑALES PREVENTIVAS</t>
  </si>
  <si>
    <t xml:space="preserve">     SEÑALES REGLAMENTARIAS</t>
  </si>
  <si>
    <t xml:space="preserve">     TACHAS REFLECTIVAS</t>
  </si>
  <si>
    <t xml:space="preserve">     BARRERAS DE PROTECCIÓN</t>
  </si>
  <si>
    <t xml:space="preserve">  OBRAS DE MITIGACIÓN DE IMPACTO AMBIENTAL </t>
  </si>
  <si>
    <t xml:space="preserve">    MITIGACIÓN DEL IMPACTO AMBIENTAL</t>
  </si>
  <si>
    <t>ACCESOS AL PUENTE</t>
  </si>
  <si>
    <t xml:space="preserve">     TRAZO Y REPLANTEO</t>
  </si>
  <si>
    <t xml:space="preserve">     CONTROL TOPOGRÁFICO DURANTE EL PROCESO DE EJECUCIÓN</t>
  </si>
  <si>
    <t xml:space="preserve">  CONFORMACIÓN DE ACCESOS</t>
  </si>
  <si>
    <t xml:space="preserve">     CORTE DE TERRENO CON MAQUINARIA</t>
  </si>
  <si>
    <t xml:space="preserve">    CONFORMACIÓN DE TERRAPLENES CON MATERIAL DE PRESTAMO</t>
  </si>
  <si>
    <t xml:space="preserve">     PERFILADO DE CUNETA TRIANGULAR EN MATERIAL SUELTO</t>
  </si>
  <si>
    <t xml:space="preserve">     ELIMINACIÓN DE MATERIAL EXCEDENTE</t>
  </si>
  <si>
    <t xml:space="preserve">  PAVIMIENTOS</t>
  </si>
  <si>
    <t xml:space="preserve">     PERFILADO Y COMPACTADO EN ZONA DE CORTE</t>
  </si>
  <si>
    <t xml:space="preserve">     EXTRACCIÓN Y APILAMIENTO DE AFIRMADO RN CARTERA</t>
  </si>
  <si>
    <t xml:space="preserve">     CARGUÍO Y TRANSPORTE DE AFIRMADO</t>
  </si>
  <si>
    <t>02.03.04</t>
  </si>
  <si>
    <t xml:space="preserve">     AFIRMADO Y COMPACTADO BASE GRANULAR E=0.15 M</t>
  </si>
  <si>
    <t xml:space="preserve">     LIMPIEZA AL FINALIZAR LA OBRA</t>
  </si>
  <si>
    <t xml:space="preserve">     DEFENSA RIBEREÑA-MURO DE GAVIONES</t>
  </si>
  <si>
    <t xml:space="preserve">     DESMONTAJE Y DEMOLICIÓN DE ESTRUCTURA EXISTENTE</t>
  </si>
  <si>
    <t xml:space="preserve">     FLETE TERRESTRE</t>
  </si>
  <si>
    <t>PLAN DE MONITOREO ARQUEOLÓGICO</t>
  </si>
  <si>
    <t xml:space="preserve">  PLAN DE MONITOREO ARQUEOLÓGICO</t>
  </si>
  <si>
    <t>COSTO DIRECTO</t>
  </si>
  <si>
    <t>GASTOS GENERALES</t>
  </si>
  <si>
    <t xml:space="preserve">UTILIDAD </t>
  </si>
  <si>
    <t>PLAN DE CONTINGENCIA COVID-19</t>
  </si>
  <si>
    <t>SUB TOTAL</t>
  </si>
  <si>
    <t>I.G.V.   (18 % )</t>
  </si>
  <si>
    <t>PORCENTAJE DE AVANCE</t>
  </si>
  <si>
    <t>01 AL 31 MAY. 2022</t>
  </si>
  <si>
    <t>01 AL 30  JUN. 2022</t>
  </si>
  <si>
    <t>01 AL 31 AGOS. 2022</t>
  </si>
  <si>
    <t>01 AL 30 SEPT. 2022</t>
  </si>
  <si>
    <t>01 AL 31 OCT. 2022</t>
  </si>
  <si>
    <t>01 AL 30 NOV. 2022</t>
  </si>
  <si>
    <t>01 AL 31 MARZ 2023</t>
  </si>
  <si>
    <t>SUBGERENCIA DE SUPERVISION Y LIQUIDACION</t>
  </si>
  <si>
    <t>“CONSTRUCCION DE PUENTE VEHICULAR CCANCHI SOBRE EL RIO PAMPAS DISTRITO CHUNGUI, PROVINCIA LA MAR, DEPARTAMENTO DE AYACUCHO”</t>
  </si>
  <si>
    <t>CCANCHI-CHUNGUI-LA MAR-AYACUCHO</t>
  </si>
  <si>
    <t>COSTO  TOTAL</t>
  </si>
  <si>
    <t xml:space="preserve">COSTO TOTAL </t>
  </si>
  <si>
    <t>TOTAL (S/.)</t>
  </si>
  <si>
    <t>ABRI. 2022</t>
  </si>
  <si>
    <t>COEFICIENTE DE REAJUSTE   - PUENTE CCANCHIS</t>
  </si>
  <si>
    <t>PUENTE CCANCHI</t>
  </si>
  <si>
    <t>=   0.149*(Jr / Jo) + 0.449*(Mr /Mo) + 0.215*(Er/Eo) + 0.087*(Vr/Vo)+ 0.1*(GGr/GGo)</t>
  </si>
  <si>
    <t>MADERA TERCIADA PARA ENCOFRADO</t>
  </si>
  <si>
    <t>PERFIL DE ACERO LIVIANO</t>
  </si>
  <si>
    <t>TUBERIA DE ACERO NEGRO Y/O GALVANIZADO</t>
  </si>
  <si>
    <t>MAQUINARIA Y EQUIPO IMPORTADO</t>
  </si>
  <si>
    <t>BASE (FEBRERO 2022)</t>
  </si>
  <si>
    <t>TOTAL CON  I.G.V.</t>
  </si>
  <si>
    <t>TOTAL (S/.):</t>
  </si>
  <si>
    <t>Nº</t>
  </si>
  <si>
    <t>PUENTE VEHICULAR CCANCHIS</t>
  </si>
  <si>
    <t>MONTO (S/IGV)</t>
  </si>
  <si>
    <t>AU=10%*V</t>
  </si>
  <si>
    <t>GOBIERNO REGIONAL AYACUCHO</t>
  </si>
  <si>
    <t>PROGRAM. (S/Igv)</t>
  </si>
  <si>
    <t>EJECUTADO (S/Igv)</t>
  </si>
  <si>
    <t>DEDUCCION POR ADELANTO DIRECTO</t>
  </si>
  <si>
    <t>VALORIZACION (S/IGV)</t>
  </si>
  <si>
    <t xml:space="preserve">ADEL.DIRECTO (s/IGV):             </t>
  </si>
  <si>
    <t>DEDUCCION DEL ADELANTO DIRECTO</t>
  </si>
  <si>
    <t>GOBIERNO REGIONAL DE AYACUCHO</t>
  </si>
  <si>
    <t>MONTO CONT. (C/IGV)</t>
  </si>
  <si>
    <t>DIRECTO</t>
  </si>
  <si>
    <t>GERENCIA GENERAL DE INFRAESTRUCTURA</t>
  </si>
  <si>
    <t>AMORTIZACIÓN ADELANTOS DIRECTOS</t>
  </si>
  <si>
    <t>MAY. 2022</t>
  </si>
  <si>
    <t>1er Adelanto (S/IGV)</t>
  </si>
  <si>
    <t>1.0 ACERO DE REFUERZO fy=4200kg/cm2</t>
  </si>
  <si>
    <t>2.0 ACERO ESTRUCTURAL A-50</t>
  </si>
  <si>
    <t>VAL Nº 02</t>
  </si>
  <si>
    <t>VAL Nº 03</t>
  </si>
  <si>
    <t>VAL Nº 04</t>
  </si>
  <si>
    <t>VAL Nº 05</t>
  </si>
  <si>
    <t>VAL Nº 06</t>
  </si>
  <si>
    <t>VAL Nº 07</t>
  </si>
  <si>
    <t>4.0 TUBOS SCH 40 D=2"</t>
  </si>
  <si>
    <t>3.0 TUBOS SCH 40 D=1 1/2"</t>
  </si>
  <si>
    <t>5.0 CEMENTO PORTLAND TIPO 1</t>
  </si>
  <si>
    <t>KG</t>
  </si>
  <si>
    <t>TN</t>
  </si>
  <si>
    <t>ML</t>
  </si>
  <si>
    <t>BL</t>
  </si>
  <si>
    <t>CALCULO DE MATERIALES</t>
  </si>
  <si>
    <t>TOTAL S/.</t>
  </si>
  <si>
    <t>TOTAL TN</t>
  </si>
  <si>
    <t>VAL. MES S/</t>
  </si>
  <si>
    <t>MAT. USADO TN</t>
  </si>
  <si>
    <t>ACERO ESTRUCTURAL A-50</t>
  </si>
  <si>
    <t>ACERO DE REFUERZO FY=4200KG/CM2</t>
  </si>
  <si>
    <t>TUBO SCH 40 D=1 1/2"</t>
  </si>
  <si>
    <t>TUBO SCH 40 D=2"</t>
  </si>
  <si>
    <t>CEMENTO PORTLAND TIPO I (42.5KG)</t>
  </si>
  <si>
    <t>AMORTIZACION DEL ADELANTO DIRECTO</t>
  </si>
  <si>
    <t>JUN. 2022</t>
  </si>
  <si>
    <t>TOTAL KG</t>
  </si>
  <si>
    <t>MAT. USADO KG</t>
  </si>
  <si>
    <t>Val 02</t>
  </si>
  <si>
    <t>Val 03</t>
  </si>
  <si>
    <t>TOTAL ML</t>
  </si>
  <si>
    <t>MAT. USADO ML</t>
  </si>
  <si>
    <t>TOTAL BL</t>
  </si>
  <si>
    <t>MAT. USADO BL</t>
  </si>
  <si>
    <t>PARTIDAS</t>
  </si>
  <si>
    <t>VALORIZACION PROGRAMADA</t>
  </si>
  <si>
    <t>MENSUAL</t>
  </si>
  <si>
    <t>ACUMUL.</t>
  </si>
  <si>
    <t>VALORIZACION EJECUTADA</t>
  </si>
  <si>
    <t>MENSUAL(S/IGV)</t>
  </si>
  <si>
    <t>ACUMUL.(S/IGV)</t>
  </si>
  <si>
    <t>REAJUSTES</t>
  </si>
  <si>
    <t>SITUACION</t>
  </si>
  <si>
    <t>ADELANTADA</t>
  </si>
  <si>
    <t>REAJUSTE BRUTO AUTORIZADO</t>
  </si>
  <si>
    <t>REAJ. ACUMUL. EN VALORIZ. ANTERIOR</t>
  </si>
  <si>
    <t>JUL. 2022</t>
  </si>
  <si>
    <t>La obra se encuentra ATRASADA EN</t>
  </si>
  <si>
    <t>Val 04</t>
  </si>
  <si>
    <t>AMORTIZ. ANTERIOR</t>
  </si>
  <si>
    <t>CONSORCIO PERU N1</t>
  </si>
  <si>
    <t>Titular de Convenio</t>
  </si>
  <si>
    <t>Presupuesto de Convenio</t>
  </si>
  <si>
    <t>Presupuesto para Ejecución de obra</t>
  </si>
  <si>
    <t xml:space="preserve">Convenio </t>
  </si>
  <si>
    <t>AGO. 2022</t>
  </si>
  <si>
    <t>MAYO</t>
  </si>
  <si>
    <t>JUNIO</t>
  </si>
  <si>
    <t>ABRIL</t>
  </si>
  <si>
    <t>JULIO</t>
  </si>
  <si>
    <t>MARZO</t>
  </si>
  <si>
    <t>CONVENIO ESPECIFICO Nº SP-2022-012</t>
  </si>
  <si>
    <t>REINTEGRO</t>
  </si>
  <si>
    <t>DEDUC.</t>
  </si>
  <si>
    <t>2do.Adelanto (S/IGV)</t>
  </si>
  <si>
    <t xml:space="preserve">S/. 3,030,215.61 </t>
  </si>
  <si>
    <t>Formula</t>
  </si>
  <si>
    <t>SUPERVISOR:</t>
  </si>
  <si>
    <t>FECHA:</t>
  </si>
  <si>
    <t>OBRA:</t>
  </si>
  <si>
    <t>CONVENIO:</t>
  </si>
  <si>
    <t>--</t>
  </si>
  <si>
    <t>AMORTIZACIÓN DEL MES</t>
  </si>
  <si>
    <t>EJECUTOR:</t>
  </si>
  <si>
    <t>MONTO CONT. (s/IGV):</t>
  </si>
  <si>
    <t>(C)</t>
  </si>
  <si>
    <t>(AD)</t>
  </si>
  <si>
    <t>EJECUTOR</t>
  </si>
  <si>
    <t>SIMA PERU S.A.</t>
  </si>
  <si>
    <t xml:space="preserve">REAJUSTE REGULARIZADO </t>
  </si>
  <si>
    <t xml:space="preserve">TOTAL COMPROMISO A SOLICITAR (C/IGV)  </t>
  </si>
  <si>
    <t xml:space="preserve">DATOS </t>
  </si>
  <si>
    <t>CONVENIO DE OBRA</t>
  </si>
  <si>
    <t>Nº SP-2022-012</t>
  </si>
  <si>
    <t>FECHA DE SUSCRIPCIÓN 03 DE MARZO DE 2022</t>
  </si>
  <si>
    <t>CONTRATISTA - EJECUTOR</t>
  </si>
  <si>
    <t>SERVICIOS INDUSTRIALES DE LA MARINA S.A. SIMA PERÚ S.A.</t>
  </si>
  <si>
    <t xml:space="preserve">SIMA – PERÚ </t>
  </si>
  <si>
    <t xml:space="preserve">NOMBRE DE LA OBRA </t>
  </si>
  <si>
    <t>CREACIÓN DEL PUENTE VEHICULAR CCANCHI SOBRE EL RÍO PAMPAS, DISTRITO DE CHUNGUI, PROVINCIA LA MAR, DEPARTAMENTO DE AYACUCHO.</t>
  </si>
  <si>
    <t>UBICACIÓN</t>
  </si>
  <si>
    <t>LUGAR : RIO PAMPAS (CCANCHI)</t>
  </si>
  <si>
    <t>DISTRITO: CHUNGUI</t>
  </si>
  <si>
    <t>LOCALIDAD DE CCANCHI</t>
  </si>
  <si>
    <t>SUPERVISOR EXTERNO</t>
  </si>
  <si>
    <t xml:space="preserve">CONSULTOR QUE ELABORÓ EL PROYECTO </t>
  </si>
  <si>
    <t>PROMOCIÓN y GESTIÓN – PROMOGEST S.A.C.</t>
  </si>
  <si>
    <t>MODALIDAD DEL CONVENIO</t>
  </si>
  <si>
    <t xml:space="preserve">A PRECIOS UNITARIOS </t>
  </si>
  <si>
    <t xml:space="preserve">MONTO DEL CONVENIO </t>
  </si>
  <si>
    <t>PLAZO DE EJECUCIÓN</t>
  </si>
  <si>
    <t>365 DÍAS</t>
  </si>
  <si>
    <t>FECHA INICIO: 20 DE ABRIL DE 2022</t>
  </si>
  <si>
    <t xml:space="preserve">CARTAS FIANZAS </t>
  </si>
  <si>
    <t>FIANZA DE FIEL CUMPLIMIENTO (10%)</t>
  </si>
  <si>
    <t>Nº 010635123000</t>
  </si>
  <si>
    <t>VIGENTE</t>
  </si>
  <si>
    <t>FIANZA ADELANTO DE MATERIALES (20%)</t>
  </si>
  <si>
    <t>ADELANTO DIRECTO (10%)</t>
  </si>
  <si>
    <t>FECHA DE ENTREGA DE TERRENO</t>
  </si>
  <si>
    <t>19 DE ABRIL DE 2022</t>
  </si>
  <si>
    <t>SEGÚN ACTA DE LA FECHA</t>
  </si>
  <si>
    <t>FECHA DE INICIO DE EJECUCIÓN DE OBRA</t>
  </si>
  <si>
    <t>20 DE ABRIL DE 2022</t>
  </si>
  <si>
    <t>FECHA DE CONCLUSIÓN</t>
  </si>
  <si>
    <t>19 DE ABRIL DE 2023</t>
  </si>
  <si>
    <t>INFORMACIÓN ADICIONAL</t>
  </si>
  <si>
    <t>FECHA INICIO: 05 DE AGOSTO DE 2022</t>
  </si>
  <si>
    <t>FECHA INFORME FINAL: 22 DE JUNIO DE 2021</t>
  </si>
  <si>
    <t>15,151,078.06 (S/IGV)</t>
  </si>
  <si>
    <t>MONTO DEL ADELANTO DIRECTO (10%)</t>
  </si>
  <si>
    <t>MONTO DEL ADELANTO MATERIALES (20%)</t>
  </si>
  <si>
    <t>3,030,215.61 (S/IGV)</t>
  </si>
  <si>
    <t>1,515,107.81 (S/IGV)</t>
  </si>
  <si>
    <t>SEGUN ACTA DEL CUADERNO DE OBRA</t>
  </si>
  <si>
    <t>RESIDENTE DE OBRA: Ing. Carlos Chuquimantari Dávila</t>
  </si>
  <si>
    <t>JEFE DE SUPERVISIÓN: Ing. Cesar Augusto Mendoza A.</t>
  </si>
  <si>
    <t>FICHA TÉCNICA</t>
  </si>
  <si>
    <t>PROPIETARIO</t>
  </si>
  <si>
    <t>FECHA DE PAGO: 27 de mayo de 2022</t>
  </si>
  <si>
    <t>FECHA DE PAGO: 06 de abril de 2022</t>
  </si>
  <si>
    <t xml:space="preserve">FECHA </t>
  </si>
  <si>
    <t xml:space="preserve">AUTOR  </t>
  </si>
  <si>
    <t>RESIDENTE</t>
  </si>
  <si>
    <t>17/08//2022</t>
  </si>
  <si>
    <t xml:space="preserve">SOLICITA PRONUNCIMAMIENTO Nº 1.- RESPECTO AL ALTO RIESGO DE SOCAVACIÓN EN EL PILAR DERECHO DEL PUENTE. INSTRUCCIÓN Nº 12. </t>
  </si>
  <si>
    <t>SOLICITA DETALLES DE LA FABRICACIÓN DEL ELEMENTO INDICADO COMO 2PL-288X345X12 DEL PLANO ES-01-21. PRESENTACIÓN DEL ADICIONAL Nº 1</t>
  </si>
  <si>
    <t>SOLICITUD DE PRONUNCIAMIENTO Nº 2.- RESPECTO AL SISTEMA DE DEFENSAS RIVEREÑAS PLANTEADAS EN EXPEDIENTE TÉCNICO.</t>
  </si>
  <si>
    <t>CONSULTA</t>
  </si>
  <si>
    <t xml:space="preserve">APROBACIÓN DEL ÁNGULO ½”X6X6” ASTM 572 G.50. </t>
  </si>
  <si>
    <t>ASIENTO Nº 90 DE FECHA 18 DE AGOSTO DE 2022: La  SUPERVISIÓN emite opinión y absuelve la CONSULTA</t>
  </si>
  <si>
    <t>TRAMITE POSTERIOR</t>
  </si>
  <si>
    <t>APROBACIÓN DE LA JUNTA TIPO PANAL</t>
  </si>
  <si>
    <t>ASIENTO Nº 90 DE FECHA 18 DE AGOSTO DE 2022: La  SUPERVISIÓN emite opinión y solicita mayor informción No se abuselve la CONSULTA por no tener infoemación sufuciente</t>
  </si>
  <si>
    <t>ABSOLUCIÓN POR LA SUPERVISIÓN o RESPUESTA DEL RESIDENTE</t>
  </si>
  <si>
    <r>
      <t xml:space="preserve">MEDIANTE </t>
    </r>
    <r>
      <rPr>
        <i/>
        <sz val="8"/>
        <rFont val="Arial"/>
        <family val="2"/>
      </rPr>
      <t xml:space="preserve">CARTA N° 11-2022-CP N1/SUP/GRA </t>
    </r>
    <r>
      <rPr>
        <sz val="8"/>
        <rFont val="Arial"/>
        <family val="2"/>
      </rPr>
      <t>DE FECHA 23 DE AGOSTO DE 2022, se pone en conocmiento de la ENTIDAD sobre la CONSULTA</t>
    </r>
  </si>
  <si>
    <t>ASIENTO Nº 94 DE FECHA 20 DE AGOSTO DE 2022: La  SUPERVISIÓN aclara que se debe cumplir con las ET</t>
  </si>
  <si>
    <t>MEDIANTE CARTA N° 14-2022-CP N1/SUP/GRA DE FECHA 25 DE AGOSTO DE 2022, se pone en conocmiento de la ENTIDAD sobre la CONSULTA</t>
  </si>
  <si>
    <t>ASIENTO Nº 99 DE FECHA 24 DE AGOSTO DE 2022: El RESIDENTE manifiesta que en ASIENTO Nº 38 ya manifestó las respectivas aclaraciones.</t>
  </si>
  <si>
    <t>CUADRO DE CONTROL DE CONSULTAS</t>
  </si>
  <si>
    <t>DOCUMENTO</t>
  </si>
  <si>
    <t>CUADRO DE CONTROL DE INTERFERENCIAS</t>
  </si>
  <si>
    <t>CARTA Nº 017-2022-SIMA/CP N1</t>
  </si>
  <si>
    <t>INTERFERENCIA</t>
  </si>
  <si>
    <t>ACCIONES TOMADAS POR SUPERVISIÓN</t>
  </si>
  <si>
    <t>CABLE ELECTRICO QUE INTERFERIRÁ EN LA ESTRUCTURA METÁLICA DEL PUENTE CCANCHI, AL MOMENTO DEL MONTAJE</t>
  </si>
  <si>
    <t>3.INFORMACIÓN DEL RIESGO</t>
  </si>
  <si>
    <t>4 PLAN DE RESPUESTA A LOS RIESGOS</t>
  </si>
  <si>
    <t>4.1 ESTRATEGIA SELECCIONADA</t>
  </si>
  <si>
    <t>4.2 ACCIONES A REALIZAR EN EL MARCO DEL PLAN</t>
  </si>
  <si>
    <t>3.1 CÓD.</t>
  </si>
  <si>
    <t>DE RIESGO</t>
  </si>
  <si>
    <t>3.2 DESCRIPCIÓN DEL RIESGO</t>
  </si>
  <si>
    <t>3.3 PRIORIDAD</t>
  </si>
  <si>
    <t>DEL RIESGO</t>
  </si>
  <si>
    <t>Mitigar el riesgo</t>
  </si>
  <si>
    <t>Evitar el riesgo</t>
  </si>
  <si>
    <t>Aceptar el riesgo</t>
  </si>
  <si>
    <t>Transferir el riesgo</t>
  </si>
  <si>
    <t>Errores o deficiencias en el Expediente Técnico que puedan generar cambios en el cronograma de ejecución, presupuesto, calidad y/o alcance.</t>
  </si>
  <si>
    <r>
      <t> </t>
    </r>
    <r>
      <rPr>
        <b/>
        <sz val="7"/>
        <rFont val="LMRomanM"/>
      </rPr>
      <t>Prioridad Moderada</t>
    </r>
  </si>
  <si>
    <t>x</t>
  </si>
  <si>
    <t> 1) el contratista deberá evaluar las inconsistencias del expediente técnico y presentar su informe de compatibilidad según lo señalado en sus términos de referencia</t>
  </si>
  <si>
    <t>2) La entidad debe coordinar con el consultor que elaboro el expediente técnico, para realizar los cambios requeridos.</t>
  </si>
  <si>
    <r>
      <t> </t>
    </r>
    <r>
      <rPr>
        <b/>
        <sz val="8"/>
        <color rgb="FF000000"/>
        <rFont val="LMRomanM"/>
      </rPr>
      <t>Riesgo en el proceso constructivo- Accidentes laborales</t>
    </r>
  </si>
  <si>
    <t> Alta Prioridad</t>
  </si>
  <si>
    <r>
      <t> </t>
    </r>
    <r>
      <rPr>
        <b/>
        <sz val="8"/>
        <rFont val="LMRomanM"/>
      </rPr>
      <t>Desabastecimiento de materiales</t>
    </r>
  </si>
  <si>
    <r>
      <t> </t>
    </r>
    <r>
      <rPr>
        <b/>
        <sz val="7"/>
        <rFont val="LMRomanM"/>
      </rPr>
      <t>Alta Prioridad</t>
    </r>
  </si>
  <si>
    <t>1). Llevar un buen manejo del cronograma de adquisición de insumos</t>
  </si>
  <si>
    <t>2). tener buen manejo del almacén de la obra</t>
  </si>
  <si>
    <r>
      <t> </t>
    </r>
    <r>
      <rPr>
        <b/>
        <sz val="8"/>
        <rFont val="LMRomanM"/>
      </rPr>
      <t>Riesgo de implementar nuevas normativas de bioseguridad</t>
    </r>
  </si>
  <si>
    <t> La entidad debe evaluar y elaborar un presupuesto que cubra las necesidades que abarca los nuevos protocolos que se tendrá ante la amenaza del covid-19</t>
  </si>
  <si>
    <t>Retraso debido a incumplimiento  de pago a su personal o proveedores</t>
  </si>
  <si>
    <r>
      <t> </t>
    </r>
    <r>
      <rPr>
        <b/>
        <sz val="7"/>
        <rFont val="LMRomanM"/>
      </rPr>
      <t>Baja Prioridad</t>
    </r>
  </si>
  <si>
    <t>1) Se solicita a los contratistas y supervisores de obra, remitan oportunamente las valorizaciones de obra debidamente revisadas y con toda la documentación requerida.</t>
  </si>
  <si>
    <r>
      <t> </t>
    </r>
    <r>
      <rPr>
        <b/>
        <sz val="8"/>
        <rFont val="LMRomanM"/>
      </rPr>
      <t>Retraso debido a condiciones meteorológicas.</t>
    </r>
  </si>
  <si>
    <r>
      <t> </t>
    </r>
    <r>
      <rPr>
        <sz val="7"/>
        <rFont val="LMRomanM"/>
      </rPr>
      <t> </t>
    </r>
    <r>
      <rPr>
        <b/>
        <sz val="7"/>
        <rFont val="LMRomanM"/>
      </rPr>
      <t>Alta Prioridad</t>
    </r>
  </si>
  <si>
    <t> 1)Consultar y verificar con especialistas del SENAMHI, por amenaza del evento.</t>
  </si>
  <si>
    <t>2)Recolección de data meteorológica oficial para la zona de proyecto</t>
  </si>
  <si>
    <t>3) Preparar informe de análisis y sustento de probabilidad o de ocurrencia del evento,</t>
  </si>
  <si>
    <t>CUADRO DE CONTROL DE RIESGOS</t>
  </si>
  <si>
    <t> R001</t>
  </si>
  <si>
    <t> R002</t>
  </si>
  <si>
    <t> R003</t>
  </si>
  <si>
    <t> R004</t>
  </si>
  <si>
    <t> R005</t>
  </si>
  <si>
    <t> R006</t>
  </si>
  <si>
    <t>3) El supervisor debe tener la autoridad para evaluar los documentos que sustenten las ordenes de cambio (Ampliación de plazo, Adicional o mayores metrados) y apoyar a la Gerencia correspondiente para la aprobación.</t>
  </si>
  <si>
    <t>Capacitaciones al personal de obra con respecto al tema de seguridad en obra, así como dar todas las condiciones estándar de trabajo dentro del marco de la normativa vigente de seguridad.</t>
  </si>
  <si>
    <t>2) Cumplir con los tiempos estipulados en los procedimientos internos para el trámite de pago oportuno a contratistas y proveedores.</t>
  </si>
  <si>
    <t>Se tiene un monitoreo de las condiciones climáticas por parte de la SUPERVISIÓN mediante páginas Webb correspondientes.</t>
  </si>
  <si>
    <t>Se dispone de datos metereológicos colectados mediante el Expediente Técnico.</t>
  </si>
  <si>
    <t>CONSULTA Nº 1 DE LA SUPERVISIÓN AL PROYECTISTA SOBRE LA ALTURA DE CIMENTACIÓN DEL PILAR LADO DERECHO, DADA MEDIANTE LA CARTA N° 11-2022-CP N1/SUP/GRA DE FECHA 31 DE AGOSTO DE 2022</t>
  </si>
  <si>
    <t xml:space="preserve">Nº  </t>
  </si>
  <si>
    <t>Nº DOCUMENTO</t>
  </si>
  <si>
    <t>TIPO DE DOCUMENTO</t>
  </si>
  <si>
    <t xml:space="preserve">MONTO </t>
  </si>
  <si>
    <t>ENTIDAD</t>
  </si>
  <si>
    <t>VIGENCIA</t>
  </si>
  <si>
    <t>OBS.</t>
  </si>
  <si>
    <t>DESDE</t>
  </si>
  <si>
    <t>HASTA</t>
  </si>
  <si>
    <t>SIMA PERÚ S.A.</t>
  </si>
  <si>
    <t>SCOTIABANK</t>
  </si>
  <si>
    <t>16 MAR. 2022</t>
  </si>
  <si>
    <t>11 MAR. 2023</t>
  </si>
  <si>
    <t>010635127-001</t>
  </si>
  <si>
    <t>01 JUN. 2022</t>
  </si>
  <si>
    <t>12 SET. 2022</t>
  </si>
  <si>
    <t>010635126-001</t>
  </si>
  <si>
    <t>12 OCT. 2022</t>
  </si>
  <si>
    <t>CUADRO DE CONTROL DE CARTAS FIANZAS</t>
  </si>
  <si>
    <t>ACCIONES DE LA SUPERVISIÓN</t>
  </si>
  <si>
    <t>CUADRO DE CONTROL DE MODIFICACIONES</t>
  </si>
  <si>
    <t>MODIFICACIONES INTRODUCIDAS</t>
  </si>
  <si>
    <t>MODIFICACIÓN TOPOGRÁFICA DEL RELIEVE DEL TERRENO Y LA PROFUNDIDAD DEL CAUCE DEL RÍO</t>
  </si>
  <si>
    <t xml:space="preserve">DOCUMENTO </t>
  </si>
  <si>
    <t>CARTA Nº 898-2022-GRA-GGR/GRI-SGSL de fecha 01 de agosto de 2022</t>
  </si>
  <si>
    <t>ACCIONES POSTERIORES</t>
  </si>
  <si>
    <t>MODIFICACIÓN DE LAS COTAS DE CIMENTACIÓN LOS PILARES y ESTRIBOS DEL PUENTE. MODIFICACIÓN DE LA COTA DEL TABLERO O RASANTE DEL PUENTE</t>
  </si>
  <si>
    <t>MODIFICACIÓN EN LAS DIMENSIONES DE LOS ESTRIBOS y PILARES DEL PUENTE</t>
  </si>
  <si>
    <t xml:space="preserve">MODIFICACIÓN EN LAS DIMENSIONES DE LAS EXCAVACIONES y TALUDES DE CORTE </t>
  </si>
  <si>
    <t>INCREMENTO EL NÚMERO DE UNIDADES DE LAS BARANDAS METÁLICAS</t>
  </si>
  <si>
    <t>CARTA Nº 015-2022-SIMA/CP N1 de fecha 26 de agosto de 2022</t>
  </si>
  <si>
    <t>IMPLEMENTACIÓN DE DOS PARTIDAS NUEVAS, TUBERÍAS DE DRENAJE EN MUROS y SISTEMAS DE DRENAJE EN EL PUENTE</t>
  </si>
  <si>
    <t>CUADRO DE CONTROL DE PENALIDADES</t>
  </si>
  <si>
    <t>CUADRO DE CONTROL DE MODIFICACIONES AL EXPEDIENTE DE CONTRATACIÓN</t>
  </si>
  <si>
    <t>NO APLICA PENALIDADES A SIMA PERÚ S.A. SEGÚN CONVENIO ESPECIFICO Nº SP-2022-012</t>
  </si>
  <si>
    <t>HOJAS DE METRADOS, ENSAYOS NO DESTRUCTIVOS, ENSAYOS ESPECIALES, etc.</t>
  </si>
  <si>
    <t>CROQUIS, PLANOS DEL TERRENO NATURAL QUE SUSTENTE EL AVANCE VALORIZADO</t>
  </si>
  <si>
    <t>DOCUMENTOS QUE ACREDITAN LA CONDICIÓN DE PAGO DE LAS PARTIDAS VALORIZADAS</t>
  </si>
  <si>
    <t>EL DOCUMENTO FUNDAMENTAL QUE ACREDITA LA FORMA DE PAGO PARA CADA UNA DE LAS PARTIDAS VALORIZADAS SON LAS ESPECIFICACIONES TÉCNICAS DEL EXPEDIENTE TÉCNICO. NO SE OPTÓ POR OTRAS FORMAS DE PAGO.</t>
  </si>
  <si>
    <t>PERSONAL DE LA SUPERVISIÓN</t>
  </si>
  <si>
    <t>PERSONAL PROFESIONAL</t>
  </si>
  <si>
    <t>INGENIERO JEFE DE SUPERVISIÓN DE OBRA</t>
  </si>
  <si>
    <t xml:space="preserve">INGENIERO ESPECIALISTA EN ESTRUCTURAS METALICAS </t>
  </si>
  <si>
    <t xml:space="preserve">INGENIERO ESPECIALISTA EN HIDROLOGÍA </t>
  </si>
  <si>
    <t xml:space="preserve">INGENIERO ESPECIALISTA EN GEOLOGÍA Y GEOTECNIA </t>
  </si>
  <si>
    <t xml:space="preserve">INGENIERO ESPECIALISTA EN SEGURIDAD E IMPACTO AMBIENTAL </t>
  </si>
  <si>
    <t>INGENIERO ESPECIALISTA EN CONTROL DE CALIDAD</t>
  </si>
  <si>
    <t>PERSONAL TECNICO</t>
  </si>
  <si>
    <t>CHOFER</t>
  </si>
  <si>
    <t>AGOSTO</t>
  </si>
  <si>
    <t>ACUMULADO AL MES DE SETIEMBRE</t>
  </si>
  <si>
    <t>TOTAL REAJUSTE A SETIEMBRE 2022</t>
  </si>
  <si>
    <t>RETENCIÓN</t>
  </si>
  <si>
    <t>DE REAJUSTE</t>
  </si>
  <si>
    <t>CARTA Nº 27-2022-SIMA/CP N1 del 27 de setiembre de 2022</t>
  </si>
  <si>
    <t>CORRIGE INTERFERENCIA DE PERNOS EN CONEXIÓN C-1 (PERNOS de BRIDA INFERIOR EN APOYOS FIJOS y MÓVILES)</t>
  </si>
  <si>
    <r>
      <t xml:space="preserve">UNA VEZ REVISADO POR LA SUPERVISIÓN y MEDIANTE LA </t>
    </r>
    <r>
      <rPr>
        <i/>
        <sz val="8"/>
        <rFont val="Arial"/>
        <family val="2"/>
      </rPr>
      <t>CARTA N° 27-2022-CP N1/SUP/GRA</t>
    </r>
    <r>
      <rPr>
        <sz val="8"/>
        <rFont val="Arial"/>
        <family val="2"/>
      </rPr>
      <t xml:space="preserve"> de fecha 27 de setiembre de 2022, se hizo llegar la absolucion de la Consulta </t>
    </r>
  </si>
  <si>
    <t>SUPERVISIÓN DE OBRA</t>
  </si>
  <si>
    <t>010635127-002</t>
  </si>
  <si>
    <t>13 SET. 2022</t>
  </si>
  <si>
    <t>11 DIC. 2022</t>
  </si>
  <si>
    <t>VENCIDA</t>
  </si>
  <si>
    <t>010635126-002</t>
  </si>
  <si>
    <t>03 OCT. 2022</t>
  </si>
  <si>
    <t>CONSULTA Nº 2 DE LA SUPERVISIÓN AL PROYECTISTA SOBRE LAS ACTIVIDADES CORRESPONDIENTES A "MITIGACIÓN AMBIENTAL", DADA MEDIANTE LA CARTA N° 26-2022-CP N1/SUP/GRA DE FECHA 13 DE SETIEMBRE DE 2022.</t>
  </si>
  <si>
    <t>05 POSTES DE ENERGÍA ELÉCTRICA UBICADOS EN LA CALZADA DEL TRAZO MODIFICADO POR LA ENTIDAD</t>
  </si>
  <si>
    <r>
      <t xml:space="preserve">SE CURSO LA </t>
    </r>
    <r>
      <rPr>
        <i/>
        <sz val="8"/>
        <rFont val="Arial"/>
        <family val="2"/>
      </rPr>
      <t>CARTA Nº 25-2022-CP N1/SUP/GRA</t>
    </r>
    <r>
      <rPr>
        <sz val="8"/>
        <rFont val="Arial"/>
        <family val="2"/>
      </rPr>
      <t xml:space="preserve"> DE FECHA 12 DE SETIEMBRE DE 2022 DIRIGIDA A ELECTROSUR ESTE PARA LAS COORDINACIONES CORRESPONDIENTES</t>
    </r>
  </si>
  <si>
    <t>SE CURSO LA CARTA Nº 25-2022-CP N1/SUP/GRA DE FECHA 12 DE SETIEMBRE DE 2022 DIRIGIDA A ELECTROSUR ESTE PARA LAS COORDINACIONES CORRESPONDIENTES</t>
  </si>
  <si>
    <t>EN FECHA 22 DE SETIEMBRE SE TUVO LA INSPECCIÓN DE LOS FUNCIONARIOS DE "ELECTRO SUR ESTE" DUEÑOS DE LAS INSTALACIONES ELÉCTRICAS. SE QUEDÓ QUE ENTREGARÍAN SU PRESUPUESTO O COTIZACIÓN PARA EL RETIRO DE LAS INTERFERENCIAS. A LA FECHA TODAVÍA NO E ALCANZÓ EL REFERIDO PRESUPUESTO.</t>
  </si>
  <si>
    <t>EN FECHA 22 DE SETIEMBRE SE TUVO LA INSPECCIÓN DE LOS FUNCIONARIOS DE "ELECTRO SUR ESTE" DUEÑOS DE LAS INSTALACIONES ELÉCTRICAS. SE QUEDÓ QUE ENTREGARÍAN SU PRESUPUESTO O COTIZACIÓN PARA EL RETIRO DE LA INTERFERENCIA. A LA FECHA TODAVÍA NO E ALCANZÓ EL REFERIDO PRESUPUESTO.</t>
  </si>
  <si>
    <t>CONSULTA Nº 3 DE LA SUPERVISIÓN AL PROYECTISTA  SOBRE EL CUMPLIMIENTO DE LAS ACTIVIDADES CORRESPONDIENTES AL "PLAN DE VIGILANCIA, PREVECIÓN y CONTROL DE COVID-19", DADA MEDIANTE LA CARTA N° 27-2022-CP N1/SUP/GRA DE FECHA 13 DE SETIEMBRE DE 2022.</t>
  </si>
  <si>
    <t>SOLICITA LA CONSULTA SOBRE LAS INTERFERENCIAS DE PERNOS EN CONEXIÓN C-1 (PERNOS de BRIDA INFERIOR EN APOYOS FIJOS y MÓVILES)</t>
  </si>
  <si>
    <t>MEDIANTE CARTA N° 35-2022-CP N1/SUP/GRA de fecha 01 de octubre de 2022, se pone en conocimiento de la ENTIDAD sobre la absolución de la CONSULTA</t>
  </si>
  <si>
    <t>Nº 010635126-002</t>
  </si>
  <si>
    <t xml:space="preserve">UNA VEZ REVISADO POR LA SUPERVISIÓN y CONSENSUADO CON EL PROYECTISTA, MEDIANTE LA CARTA N° 30-2022-CP N1/SUP/GRA de fecha 24 de setiembre de 2022, se hizo llegar la absolucion de la Consulta </t>
  </si>
  <si>
    <t>SET. 2022</t>
  </si>
  <si>
    <t>ADICIONAL Nº 1</t>
  </si>
  <si>
    <t>FECHA APROBACIÓN: 28 DE OCTUBRE DE 2022</t>
  </si>
  <si>
    <t>RES. GERENCIA GENERAL REGIONAL Nº 596-2022-GRA/GGR</t>
  </si>
  <si>
    <t>NUEVO MONTO DE CONVENIO</t>
  </si>
  <si>
    <t>SETIEMBRE</t>
  </si>
  <si>
    <t>CARTA Nº 046-2022-CP N1/SUP/GRA</t>
  </si>
  <si>
    <t xml:space="preserve">SUPERVISOR </t>
  </si>
  <si>
    <t>SE CURSO LA CARTA Nº 46-2022-CP N1/SUP/GRA DE FECHA 19 DE OCTUBRE DE 2022 DIRIGIDA AL G.R.A. PARA LAS ATENCIONES CORRESPONDIENTES</t>
  </si>
  <si>
    <t>SE DISPONE DEL CONVENIO Nº ESPECIFICO Nº SP-2022-012 POR LO QUE NO SE TIENE EXPEDIENTE DE CONTRATACIÓN.</t>
  </si>
  <si>
    <t>CRONOGRAMA DE LA SUPERVISIÓN</t>
  </si>
  <si>
    <t>MONTO VALORIZADO (S/)</t>
  </si>
  <si>
    <t>AMORTIZACIÓN ADELANTO (S/IGV)            (S/)</t>
  </si>
  <si>
    <t>AMORTIZACIÓN ADELANTO  (C/IGV)            (S/)</t>
  </si>
  <si>
    <t>OCTUBRE</t>
  </si>
  <si>
    <t>20 AL 30 ABRIL             2022</t>
  </si>
  <si>
    <t>01 AL 30 DE ABRIL 2023</t>
  </si>
  <si>
    <t>01 AL 31 DE MAYO 2023</t>
  </si>
  <si>
    <t>01 AL 28 FEB.   2023</t>
  </si>
  <si>
    <t>01 AL 31 ENE.    2023</t>
  </si>
  <si>
    <t>01 AL 31 DIC.   2022</t>
  </si>
  <si>
    <t>01 AL 31 JUL.      2022</t>
  </si>
  <si>
    <t>A TIEMPO</t>
  </si>
  <si>
    <t>AMPLIACION DE PLAZO Nº 1 (D.N)  :</t>
  </si>
  <si>
    <t>10 ENE. 2023</t>
  </si>
  <si>
    <t>En obra, SIMA PERÚ ya dispone de materiales suficientes pero se encuentra un manejo poco eficiente del almacén.</t>
  </si>
  <si>
    <t>Se disponde de un presupuesto destinado para el PLAN COVID - 19 por lo que se tienen los recursos para la implementación la bioseguridad en Obra. Las acciones de prevención y control son llevados de acuerdo a la normativa vigente.</t>
  </si>
  <si>
    <t>SIMA PERÚ y esta misma SUPERVISIÓN venimos cumpliendo con la responsabilidad de elaborar, revisar y tramitar los documentos de pago en el tiempo establecido según Convenio.</t>
  </si>
  <si>
    <t>Se viene cumpliendo con todos los procedimientos internos para los tramites de pagos de manera oportuna.</t>
  </si>
  <si>
    <t>Las condiciones meterioológicas en la zona del Proyecto son favorables ya que la temporada de lluvias se viene retrasando.</t>
  </si>
  <si>
    <t xml:space="preserve">MEDIANTE CARTA N° 64-2022-CP N1/SUP/GRA DE FECHA 21 DE NOVIEMBRE DE 2022, ESTA SUPERVISIÓN HIZO ENTREGA A LA ENTIDAD DEL DOCUMENTO DEL ADICIONAL Nº 2 EL CUAL VERSA SOBRE LA CREACIÓN DE 02 PARTIDAS NUEVAS, DENTRO DE ELLAS LA CORRESPONDIENTE AL DESPLAZAMIENTO o REUBICACIÓN DE LAS INTERFERENCIAS. A LA FECHA TODAVÍA NO SE DISPONE DEL PRONUNCIAMIENTO DE LA ENTIDAD. </t>
  </si>
  <si>
    <t>CARTA Nº 064-2022-CP N1/SUP/GRA</t>
  </si>
  <si>
    <t>SE CURSO LA CARTA Nº 64-2022-CP N1/SUP/GRA DE FECHA 21 DE NOVIEMBRE DE 2022 DIRIGIDA AL G.R.A. PARA LAS ATENCIONES CORRESPONDIENTES</t>
  </si>
  <si>
    <t>MEDIANTE EL ASIENTO Nº 161 DEL 14 DE OCTUBRE ESTA SUPERVISION MANIFESTÓ LA NECESIDAD DEL ADICIONAL Nº 2. EN RESPUESTA A ELLO SIMA PERÚ (MEDIANTE SU ASIENTO Nº 162) MANIFESTÓ QUE ELABORARÁ EL EXPEDIENTE y LO PRESENTARÁ A LA SUPERVISIÓN. FINALMENTE SE ENTREGÓ DICHO DOCUMENTO LA PRIMERA QUINCENA DEL MES DE NOVIEMBRE.</t>
  </si>
  <si>
    <t>ASIENTO Nº 99 DE FECHA 24 DE AGOSTO DE 2022: El RESIDENTE mediante el ASIENTO Nº 24 manifestó las respectivas aclaraciones.</t>
  </si>
  <si>
    <r>
      <t xml:space="preserve">Mediante la </t>
    </r>
    <r>
      <rPr>
        <i/>
        <sz val="8"/>
        <rFont val="Arial"/>
        <family val="2"/>
      </rPr>
      <t>CARTA Nº 01-CCANCHIS/HPST</t>
    </r>
    <r>
      <rPr>
        <sz val="8"/>
        <rFont val="Arial"/>
        <family val="2"/>
      </rPr>
      <t xml:space="preserve"> de fecha 09 de noviembre de 2022 el Ing. Hans Paúl Sanchez Tueros hizo llegar el Documento “</t>
    </r>
    <r>
      <rPr>
        <i/>
        <sz val="8"/>
        <rFont val="Arial"/>
        <family val="2"/>
      </rPr>
      <t>Consultoría para el Análisis de Estabilidad Hidráulica del Río y Verificación de Socavación</t>
    </r>
    <r>
      <rPr>
        <sz val="8"/>
        <rFont val="Arial"/>
        <family val="2"/>
      </rPr>
      <t>”. En este documento se modifica el sistema de defensa rivereña pero la solución muestra costos excesivos.</t>
    </r>
  </si>
  <si>
    <t>El RESIDENTE se pronuncia a favor de la opinión de la SUPERVISIÓN</t>
  </si>
  <si>
    <r>
      <t xml:space="preserve">Mediante la </t>
    </r>
    <r>
      <rPr>
        <i/>
        <sz val="8"/>
        <rFont val="Arial"/>
        <family val="2"/>
      </rPr>
      <t xml:space="preserve">CARTA Nº 01-CCANCHIS/HPST </t>
    </r>
    <r>
      <rPr>
        <sz val="8"/>
        <rFont val="Arial"/>
        <family val="2"/>
      </rPr>
      <t>de fecha 09 de noviembre de 2022 el Ing. Hans Paúl Sanchez Tueros hizo llegar el Documento “</t>
    </r>
    <r>
      <rPr>
        <i/>
        <sz val="8"/>
        <rFont val="Arial"/>
        <family val="2"/>
      </rPr>
      <t>Consultoría para el Análisis de Estabilidad Hidráulica del Río y Verificación de Socavación</t>
    </r>
    <r>
      <rPr>
        <sz val="8"/>
        <rFont val="Arial"/>
        <family val="2"/>
      </rPr>
      <t>”. A la fecha se tienen las evaluciones para la solución del problema de socavación en el Pilar Derecho.</t>
    </r>
  </si>
  <si>
    <r>
      <t xml:space="preserve">mediante la </t>
    </r>
    <r>
      <rPr>
        <i/>
        <sz val="8"/>
        <rFont val="Arial"/>
        <family val="2"/>
      </rPr>
      <t>CARTA 0041-2022/ADM-PRO</t>
    </r>
    <r>
      <rPr>
        <sz val="8"/>
        <rFont val="Arial"/>
        <family val="2"/>
      </rPr>
      <t xml:space="preserve"> de fecha 28 de octubre de 2022 el PROYECTISTA absuelve la </t>
    </r>
    <r>
      <rPr>
        <b/>
        <i/>
        <sz val="8"/>
        <rFont val="Arial"/>
        <family val="2"/>
      </rPr>
      <t>CONSULTA Nº 2</t>
    </r>
    <r>
      <rPr>
        <sz val="8"/>
        <rFont val="Arial"/>
        <family val="2"/>
      </rPr>
      <t xml:space="preserve"> haciendo notar que se tiene disponible el presupuesto ambiental establecido en el Capítulo IX PLAN DE INVERSIONES. </t>
    </r>
  </si>
  <si>
    <r>
      <t xml:space="preserve">En fecha 20 de octubre de 2022, la ENTIDAD hizo llegar la absolución de la </t>
    </r>
    <r>
      <rPr>
        <b/>
        <i/>
        <sz val="8"/>
        <rFont val="Arial"/>
        <family val="2"/>
      </rPr>
      <t>CONSULTA Nº 3</t>
    </r>
    <r>
      <rPr>
        <sz val="8"/>
        <rFont val="Arial"/>
        <family val="2"/>
      </rPr>
      <t xml:space="preserve">  disponiendo la introducción de deductivos puesto que en vista del obligatorio cumplimiento de las últimas disposiciones respecto al “Plan COVID-19” muchas de las actividades establecidas en el Expediente Técnico no se llegarán a ejecutar</t>
    </r>
  </si>
  <si>
    <r>
      <t xml:space="preserve">En fecha 23 de noviembre de 2022, la ENTIDAD hizo llegar la absolución de la </t>
    </r>
    <r>
      <rPr>
        <b/>
        <i/>
        <sz val="8"/>
        <rFont val="Arial"/>
        <family val="2"/>
      </rPr>
      <t>CONSULTA Nº 5</t>
    </r>
    <r>
      <rPr>
        <sz val="8"/>
        <rFont val="Arial"/>
        <family val="2"/>
      </rPr>
      <t xml:space="preserve"> la cual fue directamente absuelta por el PROYECTISTA manifestando que se realicen los ensayos de radiografian en el  100% de los elementos principales del Puente</t>
    </r>
  </si>
  <si>
    <t>AMP. PLAZO Nº 1</t>
  </si>
  <si>
    <t>69 DIAS</t>
  </si>
  <si>
    <t>APROBADO EL 04 DE NOV. DE 2022</t>
  </si>
  <si>
    <t>DEDUCTIVO VINCULANTE Nº 1</t>
  </si>
  <si>
    <t xml:space="preserve">SEGÚN CONVENIO </t>
  </si>
  <si>
    <t>27 DE JUNIO DE 2023</t>
  </si>
  <si>
    <t xml:space="preserve">VIGENTE </t>
  </si>
  <si>
    <t>INFORME DE SUPERVISIÓN N° 09 - DICIEMBRE - 2022</t>
  </si>
  <si>
    <t>MES DE DICIEMBRE DE 2022</t>
  </si>
  <si>
    <t>SEMANA DE DICIEMBRE 2022</t>
  </si>
  <si>
    <t>DESPLAZAMIENTO DEL EJE DEL PUENTE EN 5.00 m y 10.00 m AGUAS ABAJO EN LOS LADOS IZQUIERDO y DERECHO RESPECTIVAMENTE, SOLUCIÓN DE DIVERSAS INCONGRUENCIAS DEL EXPEDIENTE TÉCNICO.</t>
  </si>
  <si>
    <t xml:space="preserve">ELABORACIÓN y PRESENTACIÓN DEL ADICIONAL Nº 1 en fecha 31 de agosto de 2022. Mediante la RESOLUCIÓN GERENCIAL GENERAL REGIONAL Nº 596-2022-GRA/GGR de fecha 28 de octubre de 2022, se aprobó la PRESTACIÓN ADICIONAL Nº 1 y el DEDUCTIVO VINCULANTE Nº 1 </t>
  </si>
  <si>
    <t xml:space="preserve">Mediante la RESOLUCIÓN GERENCIAL GENERAL REGIONAL Nº 596-2022-GRA/GGR de fecha 28 de octubre de 2022, se aprobó la PRESTACIÓN ADICIONAL Nº 1 y el DEDUCTIVO VINCULANTE Nº 1 </t>
  </si>
  <si>
    <t xml:space="preserve">CARTA Nº 008-2022-SIMA/CPN1 de fecha 17 de agosto de 2022 </t>
  </si>
  <si>
    <t>SOLICITA APROBACIÓN DEL CAMBIO DE JUNTA DE DILATACIÓN DEL TIPO "N" A OTRA TIPO "PANAL"</t>
  </si>
  <si>
    <t>CARTA Nº 017-2022-SIMA/CP N1 de fecha 31 de agosto de 2022</t>
  </si>
  <si>
    <t>SOLICITA RETIRO DE INTERFERENCIAS QUE SE ENCUENTRAN DENTRO DE LO ACCESOS AL PUENTE.LAS INTERFERENCIAS CONSISTEN EN POSTES DE ALUMBRADO PUBLICO y DE ENERGÍA DE BAJA TENSIÓN.</t>
  </si>
  <si>
    <t>CARTA Nº 26-2022-CP N1/SUP/GRA de fecha 13 de setiembre de 2022</t>
  </si>
  <si>
    <r>
      <t xml:space="preserve">INTERPONE LA </t>
    </r>
    <r>
      <rPr>
        <b/>
        <sz val="8"/>
        <rFont val="Arial"/>
        <family val="2"/>
      </rPr>
      <t>CONSULTA Nº 2</t>
    </r>
    <r>
      <rPr>
        <sz val="8"/>
        <rFont val="Arial"/>
        <family val="2"/>
      </rPr>
      <t xml:space="preserve"> LA CUAL VERSA SOBRE LAS INCONGURENCIAS DEL PRESPUESTO Y LA "DECLARACION DE IMPACTO AMBIENTAL" DEL EXPEDIENTE TÉCNICO</t>
    </r>
  </si>
  <si>
    <r>
      <t xml:space="preserve">Mediante CARTA N° 64-2022-CP N1/SUP/GRA de fecha 21 de noviembre de 2022, esta SUPERVISÓN sustentó </t>
    </r>
    <r>
      <rPr>
        <b/>
        <sz val="8"/>
        <rFont val="Arial"/>
        <family val="2"/>
      </rPr>
      <t>ADICIONAL N° 2</t>
    </r>
    <r>
      <rPr>
        <sz val="8"/>
        <rFont val="Arial"/>
        <family val="2"/>
      </rPr>
      <t xml:space="preserve"> para la creación de la Partida Nueva: 01.07.11.- JUNTA TIPO N65 CON ANCLAJE ANILLA (m). A la fecha no dispone de la resolución de la ENTIDAD.</t>
    </r>
  </si>
  <si>
    <r>
      <t xml:space="preserve">Mediante CARTA N° 64-2022-CP N1/SUP/GRA de fecha 21 de noviembre de 2022, esta SUPERVISÓN sustetó el </t>
    </r>
    <r>
      <rPr>
        <b/>
        <sz val="8"/>
        <rFont val="Arial"/>
        <family val="2"/>
      </rPr>
      <t>ADICIONAL N° 2</t>
    </r>
    <r>
      <rPr>
        <sz val="8"/>
        <rFont val="Arial"/>
        <family val="2"/>
      </rPr>
      <t xml:space="preserve"> para la creación de la Partida Nueva: 01.07.12.- REUBICACIÓN DE INFRAESTRUCTURA ELÉCTRICA (glb).A la fecha no dispone de la resolución de la ENTIDAD.</t>
    </r>
  </si>
  <si>
    <r>
      <t xml:space="preserve">Mediante CARTA N° 72-2022-CP N1/SUP/GRA de fecha 06 de diciembre de 2022, esta SUPERVISÓN sustentó el </t>
    </r>
    <r>
      <rPr>
        <b/>
        <sz val="8"/>
        <rFont val="Arial"/>
        <family val="2"/>
      </rPr>
      <t>ADICIONAL N° 3</t>
    </r>
    <r>
      <rPr>
        <sz val="8"/>
        <rFont val="Arial"/>
        <family val="2"/>
      </rPr>
      <t xml:space="preserve"> – DEDUCTIVO VINCULANTE Nº 3, para la creacion de 14 partidas nuevas  correspondientes al PLAN DE MONITOREO AMBIENTAL. A la fecha no dispone de la resolución de la ENTIDAD.</t>
    </r>
  </si>
  <si>
    <t>CARTA Nº 1642-2022-GRA/GRI-SGSL-JDE/CO del 01 de diciembre de 2022</t>
  </si>
  <si>
    <r>
      <t xml:space="preserve">LA SUB GERENCIA DE SUPERVISIÓN RATIFICA LA NECESIDAD DEL </t>
    </r>
    <r>
      <rPr>
        <b/>
        <sz val="8"/>
        <rFont val="Arial"/>
        <family val="2"/>
      </rPr>
      <t>ADICIONAL Nº 4</t>
    </r>
    <r>
      <rPr>
        <sz val="8"/>
        <rFont val="Arial"/>
        <family val="2"/>
      </rPr>
      <t>, el cual versa sobre la solución de la altura de cimentación del Pilar Derecho mediante el recrecido o “alargado” del Tramo Central del Puente hacia el Estribo Derecho y de esta manera obviar o eliminar la construcción del Pilar Derecho generándose deductivos vinculantes</t>
    </r>
  </si>
  <si>
    <t>Mediante el ASIENTO Nº 245 del 02 de diciembre de 2022, la SUPERVISÓN ratificó la necesidad del ADICIONAL N° 4 – DEDUCTIVO VINCULANTE Nº 4, ordenando a SIMA PERÚ proceda con la elaboración del Espediente Técnico correspondiente. A la fecha dicho expediente no fue presentado.</t>
  </si>
  <si>
    <t xml:space="preserve">LAS HOJAS DE METRADOS, ENSAYOS NO DESTRUCTIVOS, ENSAYOS ESPECIALES, etc, SE ENCUENTRAN ADJUNTOS EN LA VALORIZACIÓN Nº 9 - DICIEMBRE DE 2022. </t>
  </si>
  <si>
    <t xml:space="preserve">LOS CROQUIS y PLANOS QUE SUSTENTAN EL AVANCE VALORIZADO SE ENCUENTRAN ADJUNTOS EN LA VALORIZACIÓN Nº 9 - DICIEMBRE DE 2022. </t>
  </si>
  <si>
    <t>1, 787,827.24</t>
  </si>
  <si>
    <t xml:space="preserve">VENCIDA </t>
  </si>
  <si>
    <r>
      <t>VENCIDA</t>
    </r>
    <r>
      <rPr>
        <b/>
        <sz val="7"/>
        <color rgb="FFFF0000"/>
        <rFont val="Arial"/>
        <family val="2"/>
      </rPr>
      <t xml:space="preserve"> </t>
    </r>
  </si>
  <si>
    <t>010635127-003</t>
  </si>
  <si>
    <t>12 DIC. 2022</t>
  </si>
  <si>
    <t>Mediante el ASIENTO Nº 300 del CUADERNO DE OBRA, de fecha 31 de diciembre de 2022, se solicitó la renovación de la Garantía.</t>
  </si>
  <si>
    <t xml:space="preserve">4.3 ACCIONES EJECUTADAS DURANTE EL MES DE DICIEMBRE </t>
  </si>
  <si>
    <t>SIMA PERÚ S.A. hasta el mes de diciembre presentó diversas consultas y aclaraciones respecto a las incongruencias encontradas en el Expediente Técnico. SIMA PERÚ no presentó el INFORME DE COMPATIBILIDAD.</t>
  </si>
  <si>
    <t>La ENTIDAD coordinó con el CONSULTOR - PROYECTISTA para la absolución de las consultas interpuestas por SIMA PERÚ, por lo que a finales del mes de Julio de 2022 hizo entrega de los documentos de modificación del Expediente Técnico. En los meses de agosto, setiembre, octubre y noviembre se interpusieron 05 consultas de los cuales para el mes de noviembre fueron absueltas en su totalidad. Para el mes de diciembre se tienen 07 consultas nuevas las cuales a la fecha no fueron absueltas - según conoce esta SUPERVISIÓN -.</t>
  </si>
  <si>
    <t>A la fecha se tramitaron 03 Adicionales y 04 Ampliaciones de Plazo, de las cuales ya fueron resueltas por la ENTIDAD el Adicional Nº 1, la Ampliación de Plazo Nº 1, Ampliación de Plazo Nº 2 y la Ampliación de Plazo Nº 3. El Adicional Nº 2 y el Adicional Nº 3 hasta el final del mes de diciembre no se tuvo la resolución correspondiente.</t>
  </si>
  <si>
    <t>Durante el mes SIMA PERÚ y la SUPERVISIÓN realizaron diversas charlas y capacitaciones cuyas evidencias son adjuntadas en el documento de la VALORIZACIÓN Nº 9 correspondiente al mes de DICIEMBRE de 2022.</t>
  </si>
  <si>
    <t>En el mes de DICIEMBRE SIMA PERÚ alcanzó a cumplir el cronograma de adquisición de materiales por la probabilidad de que se tenga desabastecimiento. Cabe destacar que entre los días 12 al 19 de DICIEMBRE se tuvieron bloqueos de caminos los cuales causaron desabatecimiento parcial de materiales e insumos.</t>
  </si>
  <si>
    <r>
      <t xml:space="preserve">Mediante la </t>
    </r>
    <r>
      <rPr>
        <b/>
        <sz val="7"/>
        <rFont val="LMRomanM"/>
      </rPr>
      <t>CONSULTA Nº 1</t>
    </r>
    <r>
      <rPr>
        <sz val="7"/>
        <rFont val="LMRomanM"/>
      </rPr>
      <t xml:space="preserve"> al Proyectista se solicitó la aclaración sobre la altura de cimentacion del Pilar Derecho, dada mediante la CARTA N° 11-2022-CP N1/SUP/GRA de fecha 31 de agosto de 2022. Durante los meses de octubre y noviembre se tuvieron pronunciamientos del PROYECTISTA e inclusive nuevos estudios hidrológicos - hidráulicos. Frente a estos nuevos estudios se ha verificado los riesgos que se tiene en el Pilar Derecho. A la fecha se viene elaborando el Expediente del </t>
    </r>
    <r>
      <rPr>
        <b/>
        <sz val="7"/>
        <rFont val="LMRomanM"/>
      </rPr>
      <t xml:space="preserve">ADICIONAL Nº 4 </t>
    </r>
    <r>
      <rPr>
        <sz val="7"/>
        <rFont val="LMRomanM"/>
      </rPr>
      <t>para la solución definitiva del problema.</t>
    </r>
  </si>
  <si>
    <r>
      <rPr>
        <b/>
        <sz val="8"/>
        <rFont val="Arial"/>
        <family val="2"/>
      </rPr>
      <t xml:space="preserve">CONSULTA Nº 5 </t>
    </r>
    <r>
      <rPr>
        <sz val="8"/>
        <rFont val="Arial"/>
        <family val="2"/>
      </rPr>
      <t xml:space="preserve">DE LA SUPERVISIÓN AL PROYECTISTA SOBRE LA EJECUCION DE LOS ENSAYOS DE CONTROL DE CALIDAD MEDIANTE RADIOGRAFÍAS, DADA MEDIANTE LA </t>
    </r>
    <r>
      <rPr>
        <i/>
        <sz val="8"/>
        <rFont val="Arial"/>
        <family val="2"/>
      </rPr>
      <t>CARTA N° 48-2022-CP N1/SUP/GRA</t>
    </r>
    <r>
      <rPr>
        <sz val="8"/>
        <rFont val="Arial"/>
        <family val="2"/>
      </rPr>
      <t xml:space="preserve"> DE FECHA 07 DE NOVIEMBRE DE 2022.</t>
    </r>
  </si>
  <si>
    <t>SIMA PERÚ</t>
  </si>
  <si>
    <r>
      <rPr>
        <b/>
        <sz val="8"/>
        <rFont val="Arial"/>
        <family val="2"/>
      </rPr>
      <t>CONSULTA Nº 7</t>
    </r>
    <r>
      <rPr>
        <sz val="8"/>
        <rFont val="Arial"/>
        <family val="2"/>
      </rPr>
      <t>: “Solicitud de Adicional de Obra por Mayores Ensayos Radiográficos”, planteado por SIMA PERÚ en su CARTA Nº 062-2022-SIMA/CPN1  de fecha 02 de diciembre de 2022</t>
    </r>
  </si>
  <si>
    <t>De acuerdo a los análisis realizados por la SUPERVISIÓN se llegaron a diversas conclusiones las cuales son mostradas en la CARTA Nº 77-2022-CP N1/SUP/GRA de fecha 10 de diciembre de 2022, mediate la cual la CONSULTA Nº 7 fue tramitada ante la ENTIDAD</t>
  </si>
  <si>
    <t>A la fecha esta SUPERVISIÓN no conoce si esta CONSULTA fue absuelta por la ENTIDAD</t>
  </si>
  <si>
    <r>
      <rPr>
        <b/>
        <sz val="8"/>
        <rFont val="Arial"/>
        <family val="2"/>
      </rPr>
      <t>CONSULTA Nº 8</t>
    </r>
    <r>
      <rPr>
        <sz val="8"/>
        <rFont val="Arial"/>
        <family val="2"/>
      </rPr>
      <t>: “Solicitud de Adicional de Obra por la Construcción de Badén Provisional Sobre el Río Pampas”, planteado por el RESIDENTE de Obra mediante su ASIENTO Nº 254 de fecha 06 de diciembre de 2022</t>
    </r>
  </si>
  <si>
    <t>Mediante la CARTA Nº 80-2022-CP N1/SUP/GRA de fecha 12 de diciembre de 2022 la SUPERVISIÓN interpone ante la ENTIDAD la referida consulta pero ésta no pudo ser entregada en físico puesto que se tuvieron bloqueos en los caminos de acceso al sitio de las obras</t>
  </si>
  <si>
    <r>
      <rPr>
        <b/>
        <sz val="8"/>
        <rFont val="Arial"/>
        <family val="2"/>
      </rPr>
      <t>CONSULTA Nº 9:</t>
    </r>
    <r>
      <rPr>
        <sz val="8"/>
        <rFont val="Arial"/>
        <family val="2"/>
      </rPr>
      <t xml:space="preserve"> “Corrección del Margen de Variabilidad del Módulo de Fineza y Ampliación de los Parámetros del mismo Módulo”, planteado por esta misma SUPERVISIÓN en la CARTA Nº 81-2022-CP N1/SUP/GRA de fecha 12 de diciembre de 2022, mediante ésta se solicita opinión al PROYECTISTA respecto al margen de variabilidad del módulo de fineza establecida en el Especificación Técnica 01.05.- OBRAS DE CONCRETO ARMADO</t>
    </r>
  </si>
  <si>
    <r>
      <rPr>
        <b/>
        <sz val="8"/>
        <rFont val="Tahoma"/>
        <family val="2"/>
      </rPr>
      <t>CONSULTA Nº 10:</t>
    </r>
    <r>
      <rPr>
        <sz val="8"/>
        <rFont val="Tahoma"/>
        <family val="2"/>
      </rPr>
      <t xml:space="preserve"> “Solicitud de Modificación de APU de las Partidas de Concreto por Incongruencia de Insumos”, planteado por el RESIDENTE de Obra mediante su ASIENTO Nº 255 de fecha 06 de diciembre de 2022</t>
    </r>
  </si>
  <si>
    <t>Mediante la CARTA Nº 82-2022-CP N1/SUP/GRA de fecha 12 de diciembre de 2022 la SUPERVISIÓN interpone ante la ENTIDAD la referida consulta pero ésta Carta pudo ser entregada en físico puesto que se tuvieron bloqueos en los caminos de acceso al sitio de las obras. Finalmente se tramitó el 21 de diciembre de 2022</t>
  </si>
  <si>
    <r>
      <rPr>
        <b/>
        <sz val="8"/>
        <rFont val="Tahoma"/>
        <family val="2"/>
      </rPr>
      <t>CONSULTA Nº 11</t>
    </r>
    <r>
      <rPr>
        <sz val="8"/>
        <rFont val="Tahoma"/>
        <family val="2"/>
      </rPr>
      <t xml:space="preserve">: “Solicita Determinar Parámetros del Suelo, Capacidad Última, Niveles de Servicio y Cimentación. Opinión Técnica del Especialista Hidráulico Sobre el Recrecimiento del Tramo Central del Puente”, planteado por SIMA PERÚ mediante la </t>
    </r>
    <r>
      <rPr>
        <i/>
        <sz val="9"/>
        <rFont val="Tahoma"/>
        <family val="2"/>
      </rPr>
      <t xml:space="preserve">CARTA Nº 069-2022-SIMA/CPN1 </t>
    </r>
    <r>
      <rPr>
        <sz val="9"/>
        <rFont val="Tahoma"/>
        <family val="2"/>
      </rPr>
      <t>de fecha 08 de diciembre de 2022</t>
    </r>
  </si>
  <si>
    <r>
      <rPr>
        <b/>
        <sz val="8"/>
        <rFont val="Tahoma"/>
        <family val="2"/>
      </rPr>
      <t>CONSULTA Nº 12</t>
    </r>
    <r>
      <rPr>
        <sz val="8"/>
        <rFont val="Tahoma"/>
        <family val="2"/>
      </rPr>
      <t xml:space="preserve">: “Observaciones a la Opinión Técnica del Especialista Hidráulico – ANEXO – Sobre la Alternativas Presentadas para las Modificaciones Correspondientes al ADICIONAL Nº 4”, planteado por SIMA PERÚ mediante la </t>
    </r>
    <r>
      <rPr>
        <i/>
        <sz val="8"/>
        <rFont val="Tahoma"/>
        <family val="2"/>
      </rPr>
      <t xml:space="preserve">CARTA Nº 079-2022-SIMA/CPN1 </t>
    </r>
    <r>
      <rPr>
        <sz val="8"/>
        <rFont val="Tahoma"/>
        <family val="2"/>
      </rPr>
      <t>de fecha 28 de diciembre de 2022</t>
    </r>
  </si>
  <si>
    <t>Al respecto esta SUPERVISIÓN realizó los correspondientes análisis dando como resultado la emisión de la  CARTA Nº 80-2022-CP N1/SUP/GRA de fecha 12 de diciembre de 2022 pero ésta no pudo ser entregada en físico puesto que se tuvieron bloqueos en los caminos de acceso al sitio de las obras. Finalmente se tramitó el 21 de diciembre de 2022. A la fecha esta SUPERVISIÓN no conoce sobre su absolución</t>
  </si>
  <si>
    <t>Al respecto esta SUPERVISIÓN realizó los correspondientes análisis dando como resultado la emisión de la CARTA Nº 92-2022-CP N1/SUP/GRA de fecha 29 de diciembre de 2022</t>
  </si>
  <si>
    <t>AMP. PLAZO Nº 2</t>
  </si>
  <si>
    <t>30 DIAS</t>
  </si>
  <si>
    <t>APROBADO EL 30 DE NOV. DE 2022</t>
  </si>
  <si>
    <t>Nº 010635127-003</t>
  </si>
  <si>
    <t>FECHA DE CONCLUSIÓN – AMP. PLAZO Nº 1</t>
  </si>
  <si>
    <t>SEGÚN AMP. DE PLAZO PARCIAL Nº 1 – NUEVO CRONOGRAMA APROBADO</t>
  </si>
  <si>
    <t>NUEVA FECHA DE CONCLUSIÓN – AMP. PLAZO Nº 2</t>
  </si>
  <si>
    <t>27 DE JULIO DE 2023</t>
  </si>
  <si>
    <t xml:space="preserve">SEGÚN AMP. DE PLAZO PARCIAL Nº 2 – NUEVO CRONOGRAMA PRESENTADO A LA ENTIDAD </t>
  </si>
  <si>
    <t xml:space="preserve">PROV. : LA MAR </t>
  </si>
  <si>
    <t>DEP.: AYACUCHO</t>
  </si>
  <si>
    <t>REGION: AYACUCHO</t>
  </si>
  <si>
    <t>AMPLIACION DE PLAZO Nº 2 (D.N)  :</t>
  </si>
  <si>
    <t>01 AL 30 DE JUNIO 2023</t>
  </si>
  <si>
    <t>01 AL 27 DE JULIO 2023</t>
  </si>
  <si>
    <t xml:space="preserve">ACUMULADO AL MES DE DICIEMBRE   </t>
  </si>
  <si>
    <t>TOTAL ACUMULADO AL MES DE DICIEMBRE - 2022</t>
  </si>
  <si>
    <t>ACUMULADO ANTERIOR NOVIEMBRE - 2022</t>
  </si>
  <si>
    <t>DEDUCCION DEL MES DE DICIEMBRE DEL 2022</t>
  </si>
  <si>
    <t>ACUMULADO ANTERIOR MES (NOVIEMBRE)-2022</t>
  </si>
  <si>
    <t>VAL Nº 09</t>
  </si>
  <si>
    <t>MONTO TOTAL DE LA VALORIZACIÓN N° 09</t>
  </si>
  <si>
    <t>ASIENTO EN CUADERNO DE OBRA Nº 1, Nº 2 y Nº 3</t>
  </si>
  <si>
    <t>VALORIZACION N° 09</t>
  </si>
  <si>
    <t>TOTAL REAJUSTE A DICIEMBRE 2022</t>
  </si>
  <si>
    <t>RESUMEN GENERAL DE LAS VALORIZACIONES DEL MES DE DICIEMBRE 2022</t>
  </si>
  <si>
    <t>VALORIZACION Nº 9 - OBRA PRINCIPAL</t>
  </si>
  <si>
    <t>VALORIZACIÓN Nº 3 - ADICIONAL Nº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</si>
</sst>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2">
    <numFmt numFmtId="8" formatCode="&quot;S/&quot;#,##0.00;[Red]\-&quot;S/&quot;#,##0.00"/>
    <numFmt numFmtId="43" formatCode="_-* #,##0.00_-;\-* #,##0.00_-;_-* &quot;-&quot;??_-;_-@_-"/>
    <numFmt numFmtId="164" formatCode="&quot;S/.&quot;#,##0.00;\-&quot;S/.&quot;#,##0.00"/>
    <numFmt numFmtId="165" formatCode="_(* #,##0.00_);_(* \(#,##0.00\);_(* &quot;-&quot;??_);_(@_)"/>
    <numFmt numFmtId="166" formatCode="_-* #,##0.00\ _D_M_-;\-* #,##0.00\ _D_M_-;_-* &quot;-&quot;??\ _D_M_-;_-@_-"/>
    <numFmt numFmtId="167" formatCode="#,###.00"/>
    <numFmt numFmtId="168" formatCode="0.000"/>
    <numFmt numFmtId="169" formatCode="mm/yy"/>
    <numFmt numFmtId="170" formatCode="d&quot; de &quot;mmm&quot; de &quot;yy"/>
    <numFmt numFmtId="171" formatCode="#,##0.00000"/>
    <numFmt numFmtId="172" formatCode="[&gt;0]#,##0.00;[&lt;0]\-#,##0.00;\-#"/>
    <numFmt numFmtId="173" formatCode="#,##0.00;\-#,##0.00\ "/>
    <numFmt numFmtId="174" formatCode="&quot;S/. &quot;#,##0.00"/>
    <numFmt numFmtId="175" formatCode="d/m/yy"/>
    <numFmt numFmtId="176" formatCode="[&gt;0]#,##0.000;[&lt;0]\-#,##0.000;\-#"/>
    <numFmt numFmtId="177" formatCode="0.00;\-0.00\ "/>
    <numFmt numFmtId="178" formatCode="#,##0.000"/>
    <numFmt numFmtId="179" formatCode="dd/mm/yy;@"/>
    <numFmt numFmtId="180" formatCode="0.000%"/>
    <numFmt numFmtId="181" formatCode="0.0000"/>
    <numFmt numFmtId="182" formatCode="[&gt;0]#,##0.000;[&lt;0]\-#,##0.000;\-#.0"/>
    <numFmt numFmtId="183" formatCode="&quot;S/.&quot;\ #,##0.00"/>
    <numFmt numFmtId="184" formatCode="#,##0.00_ ;\-#,##0.00\ "/>
    <numFmt numFmtId="185" formatCode="#,##0.0000"/>
    <numFmt numFmtId="186" formatCode="0.0000000000000000%"/>
    <numFmt numFmtId="187" formatCode="_ * #,##0.0000_ ;_ * \-#,##0.0000_ ;_ * &quot;-&quot;????_ ;_ @_ "/>
    <numFmt numFmtId="188" formatCode="#,##0.00000_ ;\-#,##0.00000\ "/>
    <numFmt numFmtId="189" formatCode="#,##0.000_ ;\-#,##0.000\ "/>
    <numFmt numFmtId="190" formatCode="#,##0.000000000000000000000000000000_ ;\-#,##0.000000000000000000000000000000\ "/>
    <numFmt numFmtId="191" formatCode="#,##0.000_);\(#,##0.000\)"/>
    <numFmt numFmtId="192" formatCode="#,##0.00000000"/>
    <numFmt numFmtId="193" formatCode="#,##0.00000000_ ;\-#,##0.00000000\ "/>
    <numFmt numFmtId="194" formatCode="#,##0.000000000000_ ;\-#,##0.000000000000\ "/>
    <numFmt numFmtId="195" formatCode="#,##0.000000"/>
    <numFmt numFmtId="196" formatCode="_-* #,##0.00000\ _D_M_-;\-* #,##0.00000\ _D_M_-;_-* &quot;-&quot;??\ _D_M_-;_-@_-"/>
    <numFmt numFmtId="197" formatCode="0.00000"/>
    <numFmt numFmtId="198" formatCode="00"/>
    <numFmt numFmtId="199" formatCode="_ * #,##0.00_ ;_ * \-#,##0.00_ ;_ * &quot;-&quot;??_ ;_ @_ "/>
    <numFmt numFmtId="200" formatCode="_ * #,##0.000_ ;_ * \-#,##0.000_ ;_ * &quot;-&quot;??_ ;_ @_ "/>
    <numFmt numFmtId="201" formatCode="_ * #,##0.0000_ ;_ * \-#,##0.0000_ ;_ * &quot;-&quot;??_ ;_ @_ "/>
    <numFmt numFmtId="202" formatCode="0.000000%"/>
    <numFmt numFmtId="203" formatCode="#,##0.000000_ ;\-#,##0.000000\ "/>
  </numFmts>
  <fonts count="162" x14ac:knownFonts="1">
    <font>
      <sz val="10"/>
      <name val="Arial"/>
    </font>
    <font>
      <sz val="11"/>
      <color theme="1"/>
      <name val="Calibri"/>
      <family val="2"/>
      <scheme val="minor"/>
    </font>
    <font>
      <sz val="10"/>
      <name val="Arial"/>
      <family val="2"/>
    </font>
    <font>
      <sz val="10"/>
      <color indexed="8"/>
      <name val="Arial"/>
      <family val="2"/>
    </font>
    <font>
      <b/>
      <sz val="8"/>
      <color indexed="8"/>
      <name val="Arial"/>
      <family val="2"/>
    </font>
    <font>
      <sz val="10"/>
      <color indexed="8"/>
      <name val="Arial"/>
      <family val="2"/>
    </font>
    <font>
      <sz val="8"/>
      <color indexed="8"/>
      <name val="Arial"/>
      <family val="2"/>
    </font>
    <font>
      <sz val="9"/>
      <color indexed="8"/>
      <name val="Arial"/>
      <family val="2"/>
    </font>
    <font>
      <b/>
      <sz val="10"/>
      <color indexed="8"/>
      <name val="Times New Roman"/>
      <family val="1"/>
    </font>
    <font>
      <b/>
      <sz val="10"/>
      <color indexed="8"/>
      <name val="Arial"/>
      <family val="2"/>
    </font>
    <font>
      <b/>
      <sz val="12"/>
      <color indexed="8"/>
      <name val="Times New Roman"/>
      <family val="1"/>
    </font>
    <font>
      <sz val="10"/>
      <color indexed="8"/>
      <name val="Times New Roman"/>
      <family val="1"/>
    </font>
    <font>
      <b/>
      <u/>
      <sz val="14"/>
      <color indexed="8"/>
      <name val="Times New Roman"/>
      <family val="1"/>
    </font>
    <font>
      <b/>
      <u/>
      <sz val="14"/>
      <color indexed="8"/>
      <name val="Arial"/>
      <family val="2"/>
    </font>
    <font>
      <b/>
      <sz val="10"/>
      <color indexed="8"/>
      <name val="Arial"/>
      <family val="2"/>
    </font>
    <font>
      <sz val="8.5"/>
      <color indexed="8"/>
      <name val="Arial"/>
      <family val="2"/>
    </font>
    <font>
      <b/>
      <sz val="12"/>
      <color indexed="8"/>
      <name val="Times New Roman"/>
      <family val="1"/>
    </font>
    <font>
      <b/>
      <sz val="9"/>
      <color indexed="8"/>
      <name val="Arial"/>
      <family val="2"/>
    </font>
    <font>
      <b/>
      <u/>
      <sz val="12"/>
      <color indexed="8"/>
      <name val="Times New Roman"/>
      <family val="1"/>
    </font>
    <font>
      <sz val="12"/>
      <color indexed="8"/>
      <name val="Arial"/>
      <family val="2"/>
    </font>
    <font>
      <b/>
      <sz val="12"/>
      <color indexed="8"/>
      <name val="Arial"/>
      <family val="2"/>
    </font>
    <font>
      <b/>
      <sz val="9"/>
      <color indexed="8"/>
      <name val="Arial"/>
      <family val="2"/>
    </font>
    <font>
      <sz val="11"/>
      <color indexed="8"/>
      <name val="Arial"/>
      <family val="2"/>
    </font>
    <font>
      <b/>
      <sz val="8"/>
      <color indexed="8"/>
      <name val="Times New Roman"/>
      <family val="1"/>
    </font>
    <font>
      <b/>
      <sz val="11"/>
      <color indexed="8"/>
      <name val="Arial"/>
      <family val="2"/>
    </font>
    <font>
      <sz val="9"/>
      <color indexed="8"/>
      <name val="Arial"/>
      <family val="2"/>
    </font>
    <font>
      <b/>
      <u/>
      <sz val="12"/>
      <color indexed="8"/>
      <name val="Arial"/>
      <family val="2"/>
    </font>
    <font>
      <u/>
      <sz val="10"/>
      <color indexed="8"/>
      <name val="Arial"/>
      <family val="2"/>
    </font>
    <font>
      <sz val="8"/>
      <color indexed="8"/>
      <name val="Arial"/>
      <family val="2"/>
    </font>
    <font>
      <sz val="8"/>
      <name val="Arial"/>
      <family val="2"/>
    </font>
    <font>
      <sz val="10"/>
      <color indexed="53"/>
      <name val="Arial"/>
      <family val="2"/>
    </font>
    <font>
      <b/>
      <sz val="10"/>
      <name val="Arial"/>
      <family val="2"/>
    </font>
    <font>
      <b/>
      <sz val="14"/>
      <color indexed="8"/>
      <name val="Times New Roman"/>
      <family val="1"/>
    </font>
    <font>
      <b/>
      <sz val="8"/>
      <color indexed="81"/>
      <name val="Tahoma"/>
      <family val="2"/>
    </font>
    <font>
      <sz val="9"/>
      <name val="Arial"/>
      <family val="2"/>
    </font>
    <font>
      <b/>
      <sz val="8"/>
      <color indexed="8"/>
      <name val="Times New Roman"/>
      <family val="1"/>
    </font>
    <font>
      <sz val="9"/>
      <color indexed="14"/>
      <name val="Arial"/>
      <family val="2"/>
    </font>
    <font>
      <sz val="10"/>
      <name val="Arial"/>
      <family val="2"/>
    </font>
    <font>
      <sz val="12"/>
      <name val="Arial"/>
      <family val="2"/>
    </font>
    <font>
      <sz val="9"/>
      <name val="Tahoma"/>
      <family val="2"/>
    </font>
    <font>
      <sz val="10"/>
      <color indexed="44"/>
      <name val="Arial"/>
      <family val="2"/>
    </font>
    <font>
      <sz val="9"/>
      <name val="Century Gothic"/>
      <family val="2"/>
    </font>
    <font>
      <b/>
      <u/>
      <sz val="16"/>
      <color indexed="8"/>
      <name val="Times New Roman"/>
      <family val="1"/>
    </font>
    <font>
      <b/>
      <sz val="8"/>
      <color indexed="8"/>
      <name val="Arial Narrow"/>
      <family val="2"/>
    </font>
    <font>
      <sz val="10"/>
      <color indexed="8"/>
      <name val="Arial Narrow"/>
      <family val="2"/>
    </font>
    <font>
      <sz val="10"/>
      <name val="Arial Narrow"/>
      <family val="2"/>
    </font>
    <font>
      <b/>
      <sz val="10"/>
      <color indexed="8"/>
      <name val="Arial Narrow"/>
      <family val="2"/>
    </font>
    <font>
      <b/>
      <sz val="12"/>
      <color indexed="8"/>
      <name val="Arial Narrow"/>
      <family val="2"/>
    </font>
    <font>
      <b/>
      <sz val="10"/>
      <name val="Arial Narrow"/>
      <family val="2"/>
    </font>
    <font>
      <b/>
      <sz val="9"/>
      <color indexed="8"/>
      <name val="Arial Narrow"/>
      <family val="2"/>
    </font>
    <font>
      <sz val="8"/>
      <color indexed="8"/>
      <name val="Arial Narrow"/>
      <family val="2"/>
    </font>
    <font>
      <sz val="9"/>
      <name val="Arial Narrow"/>
      <family val="2"/>
    </font>
    <font>
      <sz val="9"/>
      <color indexed="8"/>
      <name val="Arial Narrow"/>
      <family val="2"/>
    </font>
    <font>
      <b/>
      <sz val="8"/>
      <name val="Arial Narrow"/>
      <family val="2"/>
    </font>
    <font>
      <i/>
      <sz val="10"/>
      <name val="Arial Narrow"/>
      <family val="2"/>
    </font>
    <font>
      <sz val="6"/>
      <name val="Arial Narrow"/>
      <family val="2"/>
    </font>
    <font>
      <i/>
      <sz val="6"/>
      <name val="Arial Narrow"/>
      <family val="2"/>
    </font>
    <font>
      <i/>
      <sz val="8"/>
      <name val="Arial Narrow"/>
      <family val="2"/>
    </font>
    <font>
      <i/>
      <sz val="7"/>
      <name val="Arial Narrow"/>
      <family val="2"/>
    </font>
    <font>
      <b/>
      <sz val="9"/>
      <name val="Century Gothic"/>
      <family val="2"/>
    </font>
    <font>
      <sz val="9"/>
      <color indexed="81"/>
      <name val="Tahoma"/>
      <family val="2"/>
    </font>
    <font>
      <b/>
      <sz val="9"/>
      <color indexed="81"/>
      <name val="Tahoma"/>
      <family val="2"/>
    </font>
    <font>
      <sz val="7"/>
      <name val="Arial Narrow"/>
      <family val="2"/>
    </font>
    <font>
      <b/>
      <sz val="7"/>
      <name val="Arial Narrow"/>
      <family val="2"/>
    </font>
    <font>
      <b/>
      <i/>
      <sz val="7"/>
      <name val="Arial Narrow"/>
      <family val="2"/>
    </font>
    <font>
      <sz val="10"/>
      <color indexed="53"/>
      <name val="Arial"/>
      <family val="2"/>
    </font>
    <font>
      <sz val="9"/>
      <color indexed="13"/>
      <name val="Arial"/>
      <family val="2"/>
    </font>
    <font>
      <sz val="10"/>
      <color indexed="13"/>
      <name val="Arial"/>
      <family val="2"/>
    </font>
    <font>
      <sz val="9"/>
      <color indexed="8"/>
      <name val="Arial"/>
      <family val="2"/>
    </font>
    <font>
      <b/>
      <sz val="9"/>
      <name val="Arial"/>
      <family val="2"/>
    </font>
    <font>
      <b/>
      <sz val="8"/>
      <name val="Arial"/>
      <family val="2"/>
    </font>
    <font>
      <b/>
      <sz val="12"/>
      <name val="Arial"/>
      <family val="2"/>
    </font>
    <font>
      <b/>
      <sz val="6"/>
      <name val="Arial Narrow"/>
      <family val="2"/>
    </font>
    <font>
      <b/>
      <sz val="16"/>
      <color indexed="8"/>
      <name val="Times New Roman"/>
      <family val="1"/>
    </font>
    <font>
      <sz val="8"/>
      <name val="Arial Narrow"/>
      <family val="2"/>
    </font>
    <font>
      <b/>
      <u/>
      <sz val="12"/>
      <color indexed="8"/>
      <name val="Arial Narrow"/>
      <family val="2"/>
    </font>
    <font>
      <b/>
      <u/>
      <sz val="12"/>
      <name val="Arial Narrow"/>
      <family val="2"/>
    </font>
    <font>
      <b/>
      <sz val="11"/>
      <color theme="1"/>
      <name val="Calibri"/>
      <family val="2"/>
      <scheme val="minor"/>
    </font>
    <font>
      <sz val="10"/>
      <color rgb="FFFF0000"/>
      <name val="Arial Narrow"/>
      <family val="2"/>
    </font>
    <font>
      <sz val="10"/>
      <color rgb="FFFF0000"/>
      <name val="Arial"/>
      <family val="2"/>
    </font>
    <font>
      <sz val="8"/>
      <color indexed="57"/>
      <name val="Arial"/>
      <family val="2"/>
    </font>
    <font>
      <sz val="8"/>
      <color indexed="72"/>
      <name val="Arial"/>
      <family val="2"/>
    </font>
    <font>
      <sz val="8"/>
      <color indexed="48"/>
      <name val="Arial"/>
      <family val="2"/>
    </font>
    <font>
      <sz val="8"/>
      <color rgb="FFFF0000"/>
      <name val="Arial"/>
      <family val="2"/>
    </font>
    <font>
      <sz val="8"/>
      <color rgb="FFFF0000"/>
      <name val="Arial Narrow"/>
      <family val="2"/>
    </font>
    <font>
      <sz val="8"/>
      <color theme="9" tint="-0.249977111117893"/>
      <name val="Arial Narrow"/>
      <family val="2"/>
    </font>
    <font>
      <sz val="8"/>
      <color indexed="72"/>
      <name val="Arial"/>
      <family val="2"/>
    </font>
    <font>
      <sz val="8"/>
      <color theme="1"/>
      <name val="Arial Narrow"/>
      <family val="2"/>
    </font>
    <font>
      <b/>
      <sz val="8"/>
      <color theme="1"/>
      <name val="Arial Narrow"/>
      <family val="2"/>
    </font>
    <font>
      <sz val="8"/>
      <color theme="1"/>
      <name val="Arial"/>
      <family val="2"/>
    </font>
    <font>
      <b/>
      <sz val="8"/>
      <color theme="1"/>
      <name val="Arial"/>
      <family val="2"/>
    </font>
    <font>
      <b/>
      <u/>
      <sz val="11"/>
      <color indexed="8"/>
      <name val="Times New Roman"/>
      <family val="1"/>
    </font>
    <font>
      <sz val="9"/>
      <color rgb="FFFF0000"/>
      <name val="Arial"/>
      <family val="2"/>
    </font>
    <font>
      <b/>
      <sz val="8"/>
      <name val="Times New Roman"/>
      <family val="1"/>
    </font>
    <font>
      <b/>
      <sz val="10"/>
      <name val="Times New Roman"/>
      <family val="1"/>
    </font>
    <font>
      <b/>
      <u/>
      <sz val="14"/>
      <name val="Times New Roman"/>
      <family val="1"/>
    </font>
    <font>
      <sz val="11"/>
      <name val="Arial"/>
      <family val="2"/>
    </font>
    <font>
      <b/>
      <sz val="10"/>
      <color theme="0"/>
      <name val="Arial"/>
      <family val="2"/>
    </font>
    <font>
      <b/>
      <sz val="8"/>
      <color rgb="FFFF0000"/>
      <name val="Arial Narrow"/>
      <family val="2"/>
    </font>
    <font>
      <b/>
      <sz val="7"/>
      <color theme="0"/>
      <name val="Arial Narrow"/>
      <family val="2"/>
    </font>
    <font>
      <sz val="8"/>
      <color indexed="48"/>
      <name val="Arial"/>
      <family val="2"/>
    </font>
    <font>
      <b/>
      <u/>
      <sz val="14"/>
      <name val="Arial Narrow"/>
      <family val="2"/>
    </font>
    <font>
      <b/>
      <u/>
      <sz val="14"/>
      <color indexed="8"/>
      <name val="Arial Narrow"/>
      <family val="2"/>
    </font>
    <font>
      <b/>
      <u/>
      <sz val="14"/>
      <color rgb="FFFF0000"/>
      <name val="Arial Narrow"/>
      <family val="2"/>
    </font>
    <font>
      <sz val="10"/>
      <color theme="1"/>
      <name val="Calibri"/>
      <family val="2"/>
      <scheme val="minor"/>
    </font>
    <font>
      <sz val="12"/>
      <color rgb="FFFF0000"/>
      <name val="Arial"/>
      <family val="2"/>
    </font>
    <font>
      <b/>
      <sz val="9"/>
      <name val="Arial Narrow"/>
      <family val="2"/>
    </font>
    <font>
      <b/>
      <sz val="9"/>
      <name val="Tahoma"/>
      <family val="2"/>
    </font>
    <font>
      <sz val="8"/>
      <color indexed="8"/>
      <name val="Century Gothic"/>
      <family val="2"/>
    </font>
    <font>
      <sz val="9"/>
      <color rgb="FFFF0000"/>
      <name val="Arial Narrow"/>
      <family val="2"/>
    </font>
    <font>
      <sz val="8"/>
      <name val="Arial"/>
      <family val="2"/>
    </font>
    <font>
      <b/>
      <sz val="11"/>
      <name val="Trebuchet MS"/>
      <family val="2"/>
    </font>
    <font>
      <b/>
      <sz val="11"/>
      <color theme="1"/>
      <name val="Trebuchet MS"/>
      <family val="2"/>
    </font>
    <font>
      <b/>
      <sz val="11"/>
      <color theme="0"/>
      <name val="Trebuchet MS"/>
      <family val="2"/>
    </font>
    <font>
      <sz val="11"/>
      <name val="Trebuchet MS"/>
      <family val="2"/>
    </font>
    <font>
      <sz val="10"/>
      <color rgb="FF000000"/>
      <name val="Consolas"/>
      <family val="3"/>
    </font>
    <font>
      <sz val="10"/>
      <name val="Trebuchet MS"/>
      <family val="2"/>
    </font>
    <font>
      <sz val="7"/>
      <name val="Arial"/>
      <family val="2"/>
    </font>
    <font>
      <b/>
      <u/>
      <sz val="9"/>
      <name val="Arial"/>
      <family val="2"/>
    </font>
    <font>
      <b/>
      <sz val="9"/>
      <color theme="0"/>
      <name val="Arial"/>
      <family val="2"/>
    </font>
    <font>
      <sz val="9"/>
      <color theme="0"/>
      <name val="Arial"/>
      <family val="2"/>
    </font>
    <font>
      <sz val="9"/>
      <color rgb="FF002060"/>
      <name val="Arial"/>
      <family val="2"/>
    </font>
    <font>
      <b/>
      <sz val="10"/>
      <color rgb="FFFF0000"/>
      <name val="Arial"/>
      <family val="2"/>
    </font>
    <font>
      <b/>
      <sz val="11"/>
      <name val="Calibri"/>
      <family val="2"/>
      <scheme val="minor"/>
    </font>
    <font>
      <b/>
      <sz val="24"/>
      <color rgb="FFF2F2F2"/>
      <name val="Arial"/>
      <family val="2"/>
    </font>
    <font>
      <b/>
      <sz val="10"/>
      <color rgb="FF002060"/>
      <name val="Arial"/>
      <family val="2"/>
    </font>
    <font>
      <b/>
      <sz val="14"/>
      <color indexed="8"/>
      <name val="Arial"/>
      <family val="2"/>
    </font>
    <font>
      <b/>
      <sz val="8"/>
      <color rgb="FFFF0000"/>
      <name val="Arial"/>
      <family val="2"/>
    </font>
    <font>
      <sz val="11"/>
      <name val="Calibri"/>
      <family val="2"/>
    </font>
    <font>
      <b/>
      <sz val="8.5"/>
      <color rgb="FF000000"/>
      <name val="Century Gothic"/>
      <family val="2"/>
    </font>
    <font>
      <sz val="7"/>
      <name val="Century Gothic"/>
      <family val="2"/>
    </font>
    <font>
      <sz val="8"/>
      <name val="Tahoma"/>
      <family val="2"/>
    </font>
    <font>
      <sz val="7"/>
      <color rgb="FF2F5496"/>
      <name val="Century Gothic"/>
      <family val="2"/>
    </font>
    <font>
      <sz val="8.5"/>
      <name val="Century Gothic"/>
      <family val="2"/>
    </font>
    <font>
      <sz val="8.5"/>
      <color rgb="FF2F5496"/>
      <name val="Century Gothic"/>
      <family val="2"/>
    </font>
    <font>
      <b/>
      <sz val="7"/>
      <color rgb="FFFF0000"/>
      <name val="Century Gothic"/>
      <family val="2"/>
    </font>
    <font>
      <b/>
      <sz val="7"/>
      <color rgb="FF000000"/>
      <name val="Arial"/>
      <family val="2"/>
    </font>
    <font>
      <b/>
      <sz val="8"/>
      <color rgb="FF000000"/>
      <name val="Arial"/>
      <family val="2"/>
    </font>
    <font>
      <b/>
      <sz val="7"/>
      <name val="Arial"/>
      <family val="2"/>
    </font>
    <font>
      <i/>
      <sz val="8"/>
      <name val="Arial"/>
      <family val="2"/>
    </font>
    <font>
      <b/>
      <sz val="8"/>
      <color rgb="FF000000"/>
      <name val="LMRomanM"/>
    </font>
    <font>
      <b/>
      <sz val="8"/>
      <name val="LMRomanM"/>
    </font>
    <font>
      <b/>
      <sz val="7"/>
      <color rgb="FF000000"/>
      <name val="LMRomanM"/>
    </font>
    <font>
      <b/>
      <sz val="7"/>
      <name val="LMRomanM"/>
    </font>
    <font>
      <sz val="8"/>
      <name val="LMRomanM"/>
    </font>
    <font>
      <sz val="7"/>
      <name val="LMRomanM"/>
    </font>
    <font>
      <sz val="8"/>
      <color rgb="FF000000"/>
      <name val="LMRomanM"/>
    </font>
    <font>
      <b/>
      <sz val="7"/>
      <color rgb="FFFF0000"/>
      <name val="Arial"/>
      <family val="2"/>
    </font>
    <font>
      <b/>
      <sz val="10"/>
      <name val="Century Gothic"/>
      <family val="2"/>
    </font>
    <font>
      <sz val="8.5"/>
      <color rgb="FF000000"/>
      <name val="Century Gothic"/>
      <family val="2"/>
    </font>
    <font>
      <b/>
      <u/>
      <sz val="10"/>
      <name val="Tahoma"/>
      <family val="2"/>
    </font>
    <font>
      <b/>
      <sz val="10"/>
      <name val="Tahoma"/>
      <family val="2"/>
    </font>
    <font>
      <sz val="10"/>
      <name val="Tahoma"/>
      <family val="2"/>
    </font>
    <font>
      <u/>
      <sz val="10"/>
      <name val="Tahoma"/>
      <family val="2"/>
    </font>
    <font>
      <sz val="8"/>
      <name val="Century Gothic"/>
      <family val="2"/>
    </font>
    <font>
      <b/>
      <i/>
      <sz val="8"/>
      <name val="Arial"/>
      <family val="2"/>
    </font>
    <font>
      <sz val="7"/>
      <name val="Tahoma"/>
      <family val="2"/>
    </font>
    <font>
      <sz val="7"/>
      <color rgb="FF000000"/>
      <name val="Century Gothic"/>
      <family val="2"/>
    </font>
    <font>
      <b/>
      <sz val="8"/>
      <name val="Tahoma"/>
      <family val="2"/>
    </font>
    <font>
      <i/>
      <sz val="9"/>
      <name val="Tahoma"/>
      <family val="2"/>
    </font>
    <font>
      <i/>
      <sz val="8"/>
      <name val="Tahoma"/>
      <family val="2"/>
    </font>
    <font>
      <sz val="10"/>
      <name val="Times New Roman"/>
      <family val="1"/>
    </font>
  </fonts>
  <fills count="46">
    <fill>
      <patternFill patternType="none"/>
    </fill>
    <fill>
      <patternFill patternType="gray125"/>
    </fill>
    <fill>
      <patternFill patternType="solid">
        <fgColor indexed="13"/>
        <bgColor indexed="14"/>
      </patternFill>
    </fill>
    <fill>
      <patternFill patternType="solid">
        <fgColor indexed="13"/>
        <bgColor indexed="64"/>
      </patternFill>
    </fill>
    <fill>
      <patternFill patternType="solid">
        <fgColor indexed="12"/>
        <bgColor indexed="64"/>
      </patternFill>
    </fill>
    <fill>
      <patternFill patternType="solid">
        <fgColor theme="0"/>
        <bgColor indexed="14"/>
      </patternFill>
    </fill>
    <fill>
      <patternFill patternType="solid">
        <fgColor theme="0"/>
        <bgColor indexed="64"/>
      </patternFill>
    </fill>
    <fill>
      <patternFill patternType="solid">
        <fgColor rgb="FFFFFF00"/>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4" tint="0.79998168889431442"/>
        <bgColor indexed="14"/>
      </patternFill>
    </fill>
    <fill>
      <patternFill patternType="solid">
        <fgColor theme="4" tint="0.79998168889431442"/>
        <bgColor indexed="8"/>
      </patternFill>
    </fill>
    <fill>
      <patternFill patternType="solid">
        <fgColor theme="0" tint="-0.249977111117893"/>
        <bgColor indexed="64"/>
      </patternFill>
    </fill>
    <fill>
      <patternFill patternType="solid">
        <fgColor theme="3" tint="0.79998168889431442"/>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5" tint="0.79998168889431442"/>
        <bgColor indexed="14"/>
      </patternFill>
    </fill>
    <fill>
      <patternFill patternType="solid">
        <fgColor theme="3"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8" tint="0.39997558519241921"/>
        <bgColor indexed="64"/>
      </patternFill>
    </fill>
    <fill>
      <patternFill patternType="solid">
        <fgColor theme="6" tint="0.59999389629810485"/>
        <bgColor rgb="FFFFFFFF"/>
      </patternFill>
    </fill>
    <fill>
      <patternFill patternType="solid">
        <fgColor theme="6" tint="0.79998168889431442"/>
        <bgColor indexed="64"/>
      </patternFill>
    </fill>
    <fill>
      <patternFill patternType="solid">
        <fgColor theme="0" tint="-0.249977111117893"/>
        <bgColor rgb="FFFFFFFF"/>
      </patternFill>
    </fill>
    <fill>
      <patternFill patternType="solid">
        <fgColor theme="4" tint="0.79998168889431442"/>
        <bgColor rgb="FF8DB3E2"/>
      </patternFill>
    </fill>
    <fill>
      <patternFill patternType="solid">
        <fgColor theme="4" tint="0.79998168889431442"/>
        <bgColor rgb="FFFFFF00"/>
      </patternFill>
    </fill>
    <fill>
      <patternFill patternType="solid">
        <fgColor theme="4" tint="0.79998168889431442"/>
        <bgColor rgb="FF92D050"/>
      </patternFill>
    </fill>
    <fill>
      <patternFill patternType="solid">
        <fgColor theme="4" tint="0.79998168889431442"/>
        <bgColor rgb="FFFABF8F"/>
      </patternFill>
    </fill>
    <fill>
      <patternFill patternType="solid">
        <fgColor theme="4" tint="0.79998168889431442"/>
        <bgColor rgb="FF99FF99"/>
      </patternFill>
    </fill>
    <fill>
      <patternFill patternType="solid">
        <fgColor theme="4" tint="0.79998168889431442"/>
        <bgColor rgb="FFB2A1C7"/>
      </patternFill>
    </fill>
    <fill>
      <patternFill patternType="solid">
        <fgColor theme="0"/>
        <bgColor rgb="FF8DB3E2"/>
      </patternFill>
    </fill>
    <fill>
      <patternFill patternType="solid">
        <fgColor theme="0"/>
        <bgColor rgb="FFFFFFFF"/>
      </patternFill>
    </fill>
    <fill>
      <patternFill patternType="solid">
        <fgColor theme="2"/>
        <bgColor indexed="64"/>
      </patternFill>
    </fill>
    <fill>
      <patternFill patternType="solid">
        <fgColor theme="2"/>
        <bgColor rgb="FFFFFFFF"/>
      </patternFill>
    </fill>
    <fill>
      <patternFill patternType="solid">
        <fgColor theme="0" tint="-0.14999847407452621"/>
        <bgColor indexed="64"/>
      </patternFill>
    </fill>
    <fill>
      <patternFill patternType="solid">
        <fgColor theme="9" tint="0.79998168889431442"/>
        <bgColor indexed="64"/>
      </patternFill>
    </fill>
    <fill>
      <patternFill patternType="solid">
        <fgColor rgb="FF0070C0"/>
        <bgColor indexed="64"/>
      </patternFill>
    </fill>
    <fill>
      <patternFill patternType="solid">
        <fgColor rgb="FFFFFF99"/>
        <bgColor indexed="64"/>
      </patternFill>
    </fill>
    <fill>
      <patternFill patternType="solid">
        <fgColor theme="9" tint="0.59999389629810485"/>
        <bgColor indexed="64"/>
      </patternFill>
    </fill>
    <fill>
      <patternFill patternType="solid">
        <fgColor theme="9" tint="0.59999389629810485"/>
        <bgColor indexed="14"/>
      </patternFill>
    </fill>
    <fill>
      <patternFill patternType="solid">
        <fgColor rgb="FFE2EFD9"/>
        <bgColor indexed="64"/>
      </patternFill>
    </fill>
    <fill>
      <patternFill patternType="solid">
        <fgColor rgb="FFDEEAF6"/>
        <bgColor indexed="64"/>
      </patternFill>
    </fill>
    <fill>
      <patternFill patternType="solid">
        <fgColor rgb="FFDAEEF3"/>
        <bgColor indexed="64"/>
      </patternFill>
    </fill>
    <fill>
      <patternFill patternType="solid">
        <fgColor rgb="FFFDE9D9"/>
        <bgColor indexed="64"/>
      </patternFill>
    </fill>
    <fill>
      <patternFill patternType="solid">
        <fgColor rgb="FFD5DCE4"/>
        <bgColor indexed="64"/>
      </patternFill>
    </fill>
    <fill>
      <patternFill patternType="solid">
        <fgColor rgb="FFFCD5B4"/>
        <bgColor indexed="64"/>
      </patternFill>
    </fill>
  </fills>
  <borders count="335">
    <border>
      <left/>
      <right/>
      <top/>
      <bottom/>
      <diagonal/>
    </border>
    <border>
      <left style="thin">
        <color indexed="8"/>
      </left>
      <right/>
      <top/>
      <bottom style="thin">
        <color indexed="8"/>
      </bottom>
      <diagonal/>
    </border>
    <border>
      <left/>
      <right/>
      <top/>
      <bottom style="thin">
        <color indexed="8"/>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style="medium">
        <color indexed="8"/>
      </left>
      <right/>
      <top style="medium">
        <color indexed="8"/>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style="thin">
        <color indexed="8"/>
      </left>
      <right style="thin">
        <color indexed="8"/>
      </right>
      <top/>
      <bottom/>
      <diagonal/>
    </border>
    <border>
      <left style="thin">
        <color indexed="8"/>
      </left>
      <right/>
      <top/>
      <bottom/>
      <diagonal/>
    </border>
    <border>
      <left/>
      <right style="medium">
        <color indexed="8"/>
      </right>
      <top/>
      <bottom/>
      <diagonal/>
    </border>
    <border>
      <left style="thin">
        <color indexed="64"/>
      </left>
      <right style="thin">
        <color indexed="64"/>
      </right>
      <top style="thin">
        <color indexed="64"/>
      </top>
      <bottom/>
      <diagonal/>
    </border>
    <border>
      <left style="medium">
        <color indexed="8"/>
      </left>
      <right/>
      <top/>
      <bottom/>
      <diagonal/>
    </border>
    <border>
      <left style="thin">
        <color indexed="8"/>
      </left>
      <right style="medium">
        <color indexed="8"/>
      </right>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top style="thin">
        <color indexed="8"/>
      </top>
      <bottom/>
      <diagonal/>
    </border>
    <border>
      <left/>
      <right style="medium">
        <color indexed="8"/>
      </right>
      <top style="thin">
        <color indexed="8"/>
      </top>
      <bottom/>
      <diagonal/>
    </border>
    <border>
      <left/>
      <right style="thin">
        <color indexed="8"/>
      </right>
      <top/>
      <bottom/>
      <diagonal/>
    </border>
    <border>
      <left style="thin">
        <color indexed="8"/>
      </left>
      <right/>
      <top style="medium">
        <color indexed="8"/>
      </top>
      <bottom style="medium">
        <color indexed="8"/>
      </bottom>
      <diagonal/>
    </border>
    <border>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right style="medium">
        <color indexed="8"/>
      </right>
      <top style="medium">
        <color indexed="8"/>
      </top>
      <bottom style="medium">
        <color indexed="8"/>
      </bottom>
      <diagonal/>
    </border>
    <border>
      <left/>
      <right/>
      <top/>
      <bottom style="thin">
        <color indexed="64"/>
      </bottom>
      <diagonal/>
    </border>
    <border>
      <left style="thin">
        <color indexed="8"/>
      </left>
      <right style="medium">
        <color indexed="64"/>
      </right>
      <top/>
      <bottom/>
      <diagonal/>
    </border>
    <border>
      <left style="thin">
        <color indexed="8"/>
      </left>
      <right style="medium">
        <color indexed="64"/>
      </right>
      <top/>
      <bottom style="thin">
        <color indexed="8"/>
      </bottom>
      <diagonal/>
    </border>
    <border>
      <left style="thin">
        <color indexed="8"/>
      </left>
      <right style="thin">
        <color indexed="8"/>
      </right>
      <top/>
      <bottom style="thin">
        <color indexed="64"/>
      </bottom>
      <diagonal/>
    </border>
    <border>
      <left style="thin">
        <color indexed="8"/>
      </left>
      <right/>
      <top/>
      <bottom style="medium">
        <color indexed="64"/>
      </bottom>
      <diagonal/>
    </border>
    <border>
      <left style="thin">
        <color indexed="8"/>
      </left>
      <right style="thin">
        <color indexed="8"/>
      </right>
      <top/>
      <bottom style="medium">
        <color indexed="64"/>
      </bottom>
      <diagonal/>
    </border>
    <border>
      <left style="medium">
        <color indexed="64"/>
      </left>
      <right style="thin">
        <color indexed="8"/>
      </right>
      <top/>
      <bottom style="medium">
        <color indexed="64"/>
      </bottom>
      <diagonal/>
    </border>
    <border>
      <left style="thin">
        <color indexed="8"/>
      </left>
      <right style="medium">
        <color indexed="64"/>
      </right>
      <top/>
      <bottom style="medium">
        <color indexed="64"/>
      </bottom>
      <diagonal/>
    </border>
    <border>
      <left style="medium">
        <color indexed="64"/>
      </left>
      <right style="thin">
        <color indexed="8"/>
      </right>
      <top/>
      <bottom/>
      <diagonal/>
    </border>
    <border>
      <left style="thin">
        <color indexed="8"/>
      </left>
      <right style="thin">
        <color indexed="8"/>
      </right>
      <top style="medium">
        <color indexed="64"/>
      </top>
      <bottom/>
      <diagonal/>
    </border>
    <border>
      <left style="thin">
        <color indexed="8"/>
      </left>
      <right/>
      <top style="medium">
        <color indexed="64"/>
      </top>
      <bottom/>
      <diagonal/>
    </border>
    <border>
      <left/>
      <right style="medium">
        <color indexed="64"/>
      </right>
      <top style="medium">
        <color indexed="64"/>
      </top>
      <bottom/>
      <diagonal/>
    </border>
    <border>
      <left style="medium">
        <color indexed="64"/>
      </left>
      <right/>
      <top style="double">
        <color indexed="8"/>
      </top>
      <bottom/>
      <diagonal/>
    </border>
    <border>
      <left/>
      <right/>
      <top style="double">
        <color indexed="8"/>
      </top>
      <bottom/>
      <diagonal/>
    </border>
    <border>
      <left style="thin">
        <color indexed="8"/>
      </left>
      <right/>
      <top style="double">
        <color indexed="8"/>
      </top>
      <bottom/>
      <diagonal/>
    </border>
    <border>
      <left style="thin">
        <color indexed="8"/>
      </left>
      <right style="thin">
        <color indexed="8"/>
      </right>
      <top style="double">
        <color indexed="8"/>
      </top>
      <bottom/>
      <diagonal/>
    </border>
    <border>
      <left style="thin">
        <color indexed="8"/>
      </left>
      <right style="medium">
        <color indexed="64"/>
      </right>
      <top style="double">
        <color indexed="8"/>
      </top>
      <bottom/>
      <diagonal/>
    </border>
    <border>
      <left style="medium">
        <color indexed="64"/>
      </left>
      <right/>
      <top/>
      <bottom style="thin">
        <color indexed="64"/>
      </bottom>
      <diagonal/>
    </border>
    <border>
      <left style="thin">
        <color indexed="8"/>
      </left>
      <right/>
      <top/>
      <bottom style="thin">
        <color indexed="64"/>
      </bottom>
      <diagonal/>
    </border>
    <border>
      <left style="thin">
        <color indexed="8"/>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bottom/>
      <diagonal/>
    </border>
    <border>
      <left style="thin">
        <color indexed="8"/>
      </left>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8"/>
      </right>
      <top/>
      <bottom style="thin">
        <color indexed="8"/>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bottom style="thin">
        <color indexed="8"/>
      </bottom>
      <diagonal/>
    </border>
    <border>
      <left style="medium">
        <color indexed="64"/>
      </left>
      <right/>
      <top style="thin">
        <color indexed="8"/>
      </top>
      <bottom style="thin">
        <color indexed="8"/>
      </bottom>
      <diagonal/>
    </border>
    <border>
      <left/>
      <right/>
      <top style="thin">
        <color indexed="8"/>
      </top>
      <bottom style="thin">
        <color indexed="8"/>
      </bottom>
      <diagonal/>
    </border>
    <border>
      <left style="medium">
        <color indexed="64"/>
      </left>
      <right style="thin">
        <color indexed="8"/>
      </right>
      <top/>
      <bottom style="thin">
        <color indexed="8"/>
      </bottom>
      <diagonal/>
    </border>
    <border>
      <left style="medium">
        <color indexed="64"/>
      </left>
      <right/>
      <top style="thin">
        <color indexed="8"/>
      </top>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8"/>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right style="thin">
        <color indexed="64"/>
      </right>
      <top/>
      <bottom style="medium">
        <color indexed="64"/>
      </bottom>
      <diagonal/>
    </border>
    <border>
      <left/>
      <right style="thin">
        <color indexed="64"/>
      </right>
      <top style="medium">
        <color indexed="64"/>
      </top>
      <bottom/>
      <diagonal/>
    </border>
    <border>
      <left/>
      <right style="thin">
        <color indexed="8"/>
      </right>
      <top style="medium">
        <color indexed="64"/>
      </top>
      <bottom/>
      <diagonal/>
    </border>
    <border>
      <left style="thin">
        <color indexed="64"/>
      </left>
      <right style="thin">
        <color indexed="8"/>
      </right>
      <top/>
      <bottom/>
      <diagonal/>
    </border>
    <border>
      <left style="thin">
        <color indexed="8"/>
      </left>
      <right style="thin">
        <color indexed="64"/>
      </right>
      <top/>
      <bottom/>
      <diagonal/>
    </border>
    <border>
      <left/>
      <right style="thin">
        <color indexed="8"/>
      </right>
      <top/>
      <bottom style="medium">
        <color indexed="64"/>
      </bottom>
      <diagonal/>
    </border>
    <border>
      <left style="medium">
        <color indexed="64"/>
      </left>
      <right/>
      <top style="medium">
        <color indexed="64"/>
      </top>
      <bottom style="thin">
        <color indexed="8"/>
      </bottom>
      <diagonal/>
    </border>
    <border>
      <left/>
      <right/>
      <top style="medium">
        <color indexed="64"/>
      </top>
      <bottom style="thin">
        <color indexed="8"/>
      </bottom>
      <diagonal/>
    </border>
    <border>
      <left style="medium">
        <color indexed="64"/>
      </left>
      <right style="thin">
        <color indexed="8"/>
      </right>
      <top style="medium">
        <color indexed="64"/>
      </top>
      <bottom style="medium">
        <color indexed="64"/>
      </bottom>
      <diagonal/>
    </border>
    <border>
      <left style="medium">
        <color indexed="64"/>
      </left>
      <right/>
      <top style="medium">
        <color indexed="64"/>
      </top>
      <bottom style="hair">
        <color indexed="64"/>
      </bottom>
      <diagonal/>
    </border>
    <border>
      <left style="thin">
        <color indexed="8"/>
      </left>
      <right style="thin">
        <color indexed="8"/>
      </right>
      <top/>
      <bottom style="double">
        <color indexed="8"/>
      </bottom>
      <diagonal/>
    </border>
    <border>
      <left style="thin">
        <color indexed="8"/>
      </left>
      <right style="medium">
        <color indexed="64"/>
      </right>
      <top/>
      <bottom style="double">
        <color indexed="8"/>
      </bottom>
      <diagonal/>
    </border>
    <border>
      <left style="double">
        <color indexed="8"/>
      </left>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right/>
      <top style="medium">
        <color indexed="64"/>
      </top>
      <bottom style="thin">
        <color indexed="64"/>
      </bottom>
      <diagonal/>
    </border>
    <border>
      <left style="medium">
        <color indexed="64"/>
      </left>
      <right/>
      <top/>
      <bottom style="double">
        <color indexed="8"/>
      </bottom>
      <diagonal/>
    </border>
    <border>
      <left style="medium">
        <color indexed="8"/>
      </left>
      <right/>
      <top/>
      <bottom style="double">
        <color indexed="8"/>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hair">
        <color indexed="64"/>
      </right>
      <top/>
      <bottom/>
      <diagonal/>
    </border>
    <border>
      <left style="hair">
        <color indexed="64"/>
      </left>
      <right style="hair">
        <color indexed="64"/>
      </right>
      <top/>
      <bottom/>
      <diagonal/>
    </border>
    <border>
      <left style="hair">
        <color indexed="64"/>
      </left>
      <right style="medium">
        <color indexed="64"/>
      </right>
      <top/>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left/>
      <right style="double">
        <color indexed="8"/>
      </right>
      <top/>
      <bottom style="thin">
        <color indexed="8"/>
      </bottom>
      <diagonal/>
    </border>
    <border>
      <left style="medium">
        <color indexed="64"/>
      </left>
      <right style="thin">
        <color indexed="64"/>
      </right>
      <top style="thin">
        <color indexed="64"/>
      </top>
      <bottom style="thin">
        <color indexed="64"/>
      </bottom>
      <diagonal/>
    </border>
    <border>
      <left style="medium">
        <color indexed="64"/>
      </left>
      <right style="double">
        <color indexed="8"/>
      </right>
      <top/>
      <bottom style="thin">
        <color indexed="8"/>
      </bottom>
      <diagonal/>
    </border>
    <border>
      <left style="medium">
        <color indexed="64"/>
      </left>
      <right style="thin">
        <color indexed="64"/>
      </right>
      <top style="medium">
        <color indexed="64"/>
      </top>
      <bottom style="medium">
        <color indexed="64"/>
      </bottom>
      <diagonal/>
    </border>
    <border>
      <left style="medium">
        <color indexed="64"/>
      </left>
      <right style="hair">
        <color indexed="64"/>
      </right>
      <top/>
      <bottom/>
      <diagonal/>
    </border>
    <border>
      <left style="medium">
        <color indexed="64"/>
      </left>
      <right style="hair">
        <color indexed="64"/>
      </right>
      <top/>
      <bottom style="medium">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right/>
      <top style="hair">
        <color indexed="64"/>
      </top>
      <bottom style="hair">
        <color indexed="64"/>
      </bottom>
      <diagonal/>
    </border>
    <border>
      <left/>
      <right style="medium">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style="thin">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right/>
      <top style="medium">
        <color indexed="64"/>
      </top>
      <bottom style="hair">
        <color indexed="64"/>
      </bottom>
      <diagonal/>
    </border>
    <border>
      <left style="thin">
        <color auto="1"/>
      </left>
      <right style="thin">
        <color auto="1"/>
      </right>
      <top/>
      <bottom/>
      <diagonal/>
    </border>
    <border>
      <left style="thin">
        <color indexed="64"/>
      </left>
      <right/>
      <top/>
      <bottom/>
      <diagonal/>
    </border>
    <border>
      <left style="thin">
        <color indexed="8"/>
      </left>
      <right style="thin">
        <color indexed="8"/>
      </right>
      <top/>
      <bottom/>
      <diagonal/>
    </border>
    <border>
      <left style="medium">
        <color indexed="64"/>
      </left>
      <right style="medium">
        <color indexed="64"/>
      </right>
      <top style="medium">
        <color indexed="64"/>
      </top>
      <bottom style="hair">
        <color indexed="64"/>
      </bottom>
      <diagonal/>
    </border>
    <border>
      <left/>
      <right style="thin">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medium">
        <color indexed="64"/>
      </right>
      <top/>
      <bottom style="hair">
        <color indexed="64"/>
      </bottom>
      <diagonal/>
    </border>
    <border>
      <left style="thin">
        <color indexed="64"/>
      </left>
      <right style="thin">
        <color indexed="64"/>
      </right>
      <top/>
      <bottom style="hair">
        <color indexed="64"/>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indexed="64"/>
      </right>
      <top style="thin">
        <color rgb="FF000000"/>
      </top>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bottom/>
      <diagonal/>
    </border>
    <border>
      <left style="thin">
        <color indexed="64"/>
      </left>
      <right style="double">
        <color indexed="64"/>
      </right>
      <top style="thin">
        <color indexed="64"/>
      </top>
      <bottom/>
      <diagonal/>
    </border>
    <border>
      <left style="double">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bottom style="thin">
        <color indexed="64"/>
      </bottom>
      <diagonal/>
    </border>
    <border>
      <left/>
      <right style="double">
        <color indexed="64"/>
      </right>
      <top/>
      <bottom style="thin">
        <color indexed="64"/>
      </bottom>
      <diagonal/>
    </border>
    <border>
      <left style="double">
        <color indexed="64"/>
      </left>
      <right/>
      <top style="thin">
        <color indexed="64"/>
      </top>
      <bottom style="hair">
        <color indexed="64"/>
      </bottom>
      <diagonal/>
    </border>
    <border>
      <left style="thin">
        <color indexed="64"/>
      </left>
      <right style="double">
        <color indexed="64"/>
      </right>
      <top style="thin">
        <color indexed="64"/>
      </top>
      <bottom style="hair">
        <color indexed="64"/>
      </bottom>
      <diagonal/>
    </border>
    <border>
      <left style="double">
        <color indexed="64"/>
      </left>
      <right style="thin">
        <color indexed="64"/>
      </right>
      <top style="thin">
        <color indexed="64"/>
      </top>
      <bottom style="hair">
        <color indexed="64"/>
      </bottom>
      <diagonal/>
    </border>
    <border>
      <left style="double">
        <color indexed="64"/>
      </left>
      <right style="thin">
        <color indexed="64"/>
      </right>
      <top/>
      <bottom style="hair">
        <color indexed="64"/>
      </bottom>
      <diagonal/>
    </border>
    <border>
      <left style="double">
        <color indexed="64"/>
      </left>
      <right/>
      <top style="hair">
        <color indexed="64"/>
      </top>
      <bottom style="hair">
        <color indexed="64"/>
      </bottom>
      <diagonal/>
    </border>
    <border>
      <left style="thin">
        <color auto="1"/>
      </left>
      <right style="thin">
        <color auto="1"/>
      </right>
      <top style="hair">
        <color auto="1"/>
      </top>
      <bottom style="hair">
        <color auto="1"/>
      </bottom>
      <diagonal/>
    </border>
    <border>
      <left style="thin">
        <color indexed="64"/>
      </left>
      <right style="double">
        <color indexed="64"/>
      </right>
      <top style="hair">
        <color indexed="64"/>
      </top>
      <bottom style="hair">
        <color indexed="64"/>
      </bottom>
      <diagonal/>
    </border>
    <border>
      <left style="double">
        <color indexed="64"/>
      </left>
      <right style="thin">
        <color indexed="64"/>
      </right>
      <top style="hair">
        <color indexed="64"/>
      </top>
      <bottom style="hair">
        <color indexed="64"/>
      </bottom>
      <diagonal/>
    </border>
    <border>
      <left style="thin">
        <color indexed="64"/>
      </left>
      <right/>
      <top/>
      <bottom style="hair">
        <color indexed="64"/>
      </bottom>
      <diagonal/>
    </border>
    <border>
      <left style="thin">
        <color indexed="64"/>
      </left>
      <right/>
      <top style="hair">
        <color indexed="64"/>
      </top>
      <bottom/>
      <diagonal/>
    </border>
    <border>
      <left style="double">
        <color indexed="64"/>
      </left>
      <right/>
      <top style="hair">
        <color indexed="64"/>
      </top>
      <bottom/>
      <diagonal/>
    </border>
    <border>
      <left style="thin">
        <color indexed="64"/>
      </left>
      <right style="double">
        <color indexed="64"/>
      </right>
      <top style="hair">
        <color indexed="64"/>
      </top>
      <bottom/>
      <diagonal/>
    </border>
    <border>
      <left style="double">
        <color indexed="64"/>
      </left>
      <right style="thin">
        <color indexed="64"/>
      </right>
      <top style="hair">
        <color indexed="64"/>
      </top>
      <bottom/>
      <diagonal/>
    </border>
    <border>
      <left/>
      <right style="thin">
        <color indexed="64"/>
      </right>
      <top style="hair">
        <color indexed="64"/>
      </top>
      <bottom/>
      <diagonal/>
    </border>
    <border>
      <left style="double">
        <color indexed="64"/>
      </left>
      <right style="thin">
        <color indexed="64"/>
      </right>
      <top style="hair">
        <color indexed="64"/>
      </top>
      <bottom style="thin">
        <color indexed="64"/>
      </bottom>
      <diagonal/>
    </border>
    <border>
      <left style="thin">
        <color indexed="64"/>
      </left>
      <right style="double">
        <color indexed="64"/>
      </right>
      <top style="hair">
        <color indexed="64"/>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double">
        <color indexed="64"/>
      </right>
      <top style="hair">
        <color indexed="64"/>
      </top>
      <bottom style="thin">
        <color indexed="64"/>
      </bottom>
      <diagonal/>
    </border>
    <border>
      <left/>
      <right style="thin">
        <color indexed="64"/>
      </right>
      <top style="medium">
        <color indexed="64"/>
      </top>
      <bottom style="medium">
        <color indexed="64"/>
      </bottom>
      <diagonal/>
    </border>
    <border>
      <left style="thin">
        <color auto="1"/>
      </left>
      <right/>
      <top style="hair">
        <color auto="1"/>
      </top>
      <bottom style="thin">
        <color indexed="64"/>
      </bottom>
      <diagonal/>
    </border>
    <border>
      <left/>
      <right style="thin">
        <color auto="1"/>
      </right>
      <top style="hair">
        <color auto="1"/>
      </top>
      <bottom style="thin">
        <color indexed="64"/>
      </bottom>
      <diagonal/>
    </border>
    <border>
      <left style="thin">
        <color auto="1"/>
      </left>
      <right/>
      <top style="hair">
        <color auto="1"/>
      </top>
      <bottom style="hair">
        <color auto="1"/>
      </bottom>
      <diagonal/>
    </border>
    <border>
      <left/>
      <right style="thin">
        <color auto="1"/>
      </right>
      <top style="hair">
        <color auto="1"/>
      </top>
      <bottom style="hair">
        <color auto="1"/>
      </bottom>
      <diagonal/>
    </border>
    <border>
      <left style="thin">
        <color auto="1"/>
      </left>
      <right style="thin">
        <color auto="1"/>
      </right>
      <top style="hair">
        <color auto="1"/>
      </top>
      <bottom style="thin">
        <color indexed="64"/>
      </bottom>
      <diagonal/>
    </border>
    <border>
      <left style="thin">
        <color auto="1"/>
      </left>
      <right style="thin">
        <color auto="1"/>
      </right>
      <top style="hair">
        <color auto="1"/>
      </top>
      <bottom style="hair">
        <color auto="1"/>
      </bottom>
      <diagonal/>
    </border>
    <border>
      <left style="thin">
        <color indexed="8"/>
      </left>
      <right/>
      <top style="medium">
        <color indexed="8"/>
      </top>
      <bottom/>
      <diagonal/>
    </border>
    <border>
      <left/>
      <right/>
      <top style="medium">
        <color indexed="8"/>
      </top>
      <bottom/>
      <diagonal/>
    </border>
    <border>
      <left/>
      <right style="thin">
        <color indexed="64"/>
      </right>
      <top/>
      <bottom style="hair">
        <color indexed="64"/>
      </bottom>
      <diagonal/>
    </border>
    <border>
      <left style="medium">
        <color indexed="64"/>
      </left>
      <right style="thin">
        <color indexed="64"/>
      </right>
      <top/>
      <bottom style="hair">
        <color indexed="64"/>
      </bottom>
      <diagonal/>
    </border>
    <border>
      <left style="thin">
        <color indexed="64"/>
      </left>
      <right style="thin">
        <color indexed="64"/>
      </right>
      <top style="thin">
        <color indexed="8"/>
      </top>
      <bottom style="hair">
        <color indexed="64"/>
      </bottom>
      <diagonal/>
    </border>
    <border>
      <left style="medium">
        <color indexed="64"/>
      </left>
      <right style="thin">
        <color indexed="64"/>
      </right>
      <top style="thin">
        <color indexed="64"/>
      </top>
      <bottom style="hair">
        <color indexed="64"/>
      </bottom>
      <diagonal/>
    </border>
    <border>
      <left style="medium">
        <color indexed="64"/>
      </left>
      <right style="thin">
        <color indexed="64"/>
      </right>
      <top style="hair">
        <color indexed="64"/>
      </top>
      <bottom/>
      <diagonal/>
    </border>
    <border>
      <left style="thin">
        <color indexed="64"/>
      </left>
      <right style="medium">
        <color indexed="64"/>
      </right>
      <top style="hair">
        <color indexed="64"/>
      </top>
      <bottom style="thin">
        <color indexed="64"/>
      </bottom>
      <diagonal/>
    </border>
    <border>
      <left style="thin">
        <color auto="1"/>
      </left>
      <right style="thin">
        <color auto="1"/>
      </right>
      <top/>
      <bottom style="thin">
        <color indexed="64"/>
      </bottom>
      <diagonal/>
    </border>
    <border>
      <left style="thin">
        <color indexed="8"/>
      </left>
      <right style="thin">
        <color indexed="8"/>
      </right>
      <top style="thin">
        <color indexed="8"/>
      </top>
      <bottom style="hair">
        <color indexed="8"/>
      </bottom>
      <diagonal/>
    </border>
    <border>
      <left/>
      <right style="thin">
        <color indexed="8"/>
      </right>
      <top style="thin">
        <color indexed="8"/>
      </top>
      <bottom style="hair">
        <color indexed="8"/>
      </bottom>
      <diagonal/>
    </border>
    <border>
      <left/>
      <right style="medium">
        <color indexed="64"/>
      </right>
      <top style="thin">
        <color indexed="8"/>
      </top>
      <bottom style="hair">
        <color indexed="8"/>
      </bottom>
      <diagonal/>
    </border>
    <border>
      <left style="thin">
        <color indexed="8"/>
      </left>
      <right style="thin">
        <color indexed="8"/>
      </right>
      <top style="hair">
        <color indexed="8"/>
      </top>
      <bottom style="hair">
        <color indexed="8"/>
      </bottom>
      <diagonal/>
    </border>
    <border>
      <left/>
      <right/>
      <top style="hair">
        <color indexed="8"/>
      </top>
      <bottom style="hair">
        <color indexed="8"/>
      </bottom>
      <diagonal/>
    </border>
    <border>
      <left/>
      <right style="thin">
        <color indexed="8"/>
      </right>
      <top style="hair">
        <color indexed="8"/>
      </top>
      <bottom style="hair">
        <color indexed="8"/>
      </bottom>
      <diagonal/>
    </border>
    <border>
      <left/>
      <right style="medium">
        <color indexed="64"/>
      </right>
      <top style="hair">
        <color indexed="8"/>
      </top>
      <bottom style="hair">
        <color indexed="8"/>
      </bottom>
      <diagonal/>
    </border>
    <border>
      <left style="medium">
        <color indexed="64"/>
      </left>
      <right/>
      <top style="thin">
        <color indexed="8"/>
      </top>
      <bottom style="hair">
        <color indexed="64"/>
      </bottom>
      <diagonal/>
    </border>
    <border>
      <left style="thin">
        <color indexed="8"/>
      </left>
      <right style="thin">
        <color indexed="8"/>
      </right>
      <top style="thin">
        <color indexed="8"/>
      </top>
      <bottom style="hair">
        <color indexed="64"/>
      </bottom>
      <diagonal/>
    </border>
    <border>
      <left style="medium">
        <color indexed="64"/>
      </left>
      <right style="thin">
        <color indexed="8"/>
      </right>
      <top style="hair">
        <color indexed="64"/>
      </top>
      <bottom style="hair">
        <color indexed="64"/>
      </bottom>
      <diagonal/>
    </border>
    <border>
      <left/>
      <right style="thin">
        <color indexed="8"/>
      </right>
      <top style="hair">
        <color indexed="64"/>
      </top>
      <bottom style="hair">
        <color indexed="64"/>
      </bottom>
      <diagonal/>
    </border>
    <border>
      <left style="thin">
        <color indexed="8"/>
      </left>
      <right/>
      <top style="medium">
        <color indexed="64"/>
      </top>
      <bottom style="thin">
        <color indexed="8"/>
      </bottom>
      <diagonal/>
    </border>
    <border>
      <left/>
      <right style="thin">
        <color indexed="8"/>
      </right>
      <top style="medium">
        <color indexed="64"/>
      </top>
      <bottom style="thin">
        <color indexed="8"/>
      </bottom>
      <diagonal/>
    </border>
    <border>
      <left style="medium">
        <color indexed="64"/>
      </left>
      <right style="thin">
        <color indexed="8"/>
      </right>
      <top style="hair">
        <color indexed="64"/>
      </top>
      <bottom style="thin">
        <color indexed="64"/>
      </bottom>
      <diagonal/>
    </border>
    <border>
      <left/>
      <right style="thin">
        <color indexed="8"/>
      </right>
      <top style="hair">
        <color indexed="64"/>
      </top>
      <bottom style="thin">
        <color indexed="64"/>
      </bottom>
      <diagonal/>
    </border>
    <border>
      <left style="thin">
        <color indexed="8"/>
      </left>
      <right style="thin">
        <color indexed="8"/>
      </right>
      <top style="hair">
        <color indexed="8"/>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thin">
        <color auto="1"/>
      </right>
      <top style="hair">
        <color indexed="64"/>
      </top>
      <bottom style="double">
        <color indexed="64"/>
      </bottom>
      <diagonal/>
    </border>
    <border>
      <left style="medium">
        <color indexed="64"/>
      </left>
      <right/>
      <top style="hair">
        <color indexed="64"/>
      </top>
      <bottom style="double">
        <color indexed="64"/>
      </bottom>
      <diagonal/>
    </border>
    <border>
      <left/>
      <right/>
      <top style="hair">
        <color indexed="64"/>
      </top>
      <bottom style="double">
        <color indexed="64"/>
      </bottom>
      <diagonal/>
    </border>
    <border>
      <left/>
      <right style="medium">
        <color indexed="64"/>
      </right>
      <top style="hair">
        <color indexed="64"/>
      </top>
      <bottom style="double">
        <color indexed="64"/>
      </bottom>
      <diagonal/>
    </border>
    <border>
      <left style="thin">
        <color auto="1"/>
      </left>
      <right style="thin">
        <color auto="1"/>
      </right>
      <top style="hair">
        <color auto="1"/>
      </top>
      <bottom style="hair">
        <color auto="1"/>
      </bottom>
      <diagonal/>
    </border>
    <border>
      <left style="thin">
        <color indexed="8"/>
      </left>
      <right/>
      <top/>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right style="thin">
        <color indexed="8"/>
      </right>
      <top/>
      <bottom style="thin">
        <color indexed="64"/>
      </bottom>
      <diagonal/>
    </border>
    <border>
      <left/>
      <right style="thin">
        <color indexed="8"/>
      </right>
      <top style="medium">
        <color indexed="64"/>
      </top>
      <bottom style="thin">
        <color indexed="64"/>
      </bottom>
      <diagonal/>
    </border>
    <border>
      <left/>
      <right style="thin">
        <color indexed="8"/>
      </right>
      <top style="medium">
        <color indexed="64"/>
      </top>
      <bottom style="medium">
        <color indexed="64"/>
      </bottom>
      <diagonal/>
    </border>
    <border>
      <left/>
      <right style="thin">
        <color indexed="8"/>
      </right>
      <top style="thin">
        <color indexed="64"/>
      </top>
      <bottom/>
      <diagonal/>
    </border>
    <border>
      <left style="medium">
        <color indexed="64"/>
      </left>
      <right/>
      <top style="thin">
        <color indexed="64"/>
      </top>
      <bottom/>
      <diagonal/>
    </border>
    <border>
      <left style="thick">
        <color rgb="FFFFFFFF"/>
      </left>
      <right/>
      <top/>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style="thin">
        <color auto="1"/>
      </left>
      <right style="thin">
        <color auto="1"/>
      </right>
      <top/>
      <bottom style="medium">
        <color indexed="64"/>
      </bottom>
      <diagonal/>
    </border>
    <border>
      <left style="thin">
        <color indexed="8"/>
      </left>
      <right style="medium">
        <color indexed="64"/>
      </right>
      <top style="hair">
        <color indexed="8"/>
      </top>
      <bottom style="thin">
        <color indexed="64"/>
      </bottom>
      <diagonal/>
    </border>
    <border>
      <left style="thin">
        <color indexed="8"/>
      </left>
      <right style="thin">
        <color indexed="8"/>
      </right>
      <top style="hair">
        <color indexed="8"/>
      </top>
      <bottom/>
      <diagonal/>
    </border>
    <border>
      <left/>
      <right style="thin">
        <color indexed="8"/>
      </right>
      <top style="hair">
        <color indexed="8"/>
      </top>
      <bottom/>
      <diagonal/>
    </border>
    <border>
      <left/>
      <right style="medium">
        <color indexed="64"/>
      </right>
      <top style="hair">
        <color indexed="8"/>
      </top>
      <bottom/>
      <diagonal/>
    </border>
    <border>
      <left style="thin">
        <color indexed="8"/>
      </left>
      <right style="thin">
        <color indexed="8"/>
      </right>
      <top style="hair">
        <color indexed="8"/>
      </top>
      <bottom style="thin">
        <color indexed="64"/>
      </bottom>
      <diagonal/>
    </border>
    <border>
      <left style="thin">
        <color indexed="8"/>
      </left>
      <right style="thin">
        <color indexed="8"/>
      </right>
      <top style="thin">
        <color indexed="64"/>
      </top>
      <bottom/>
      <diagonal/>
    </border>
    <border>
      <left style="thin">
        <color indexed="64"/>
      </left>
      <right style="medium">
        <color indexed="64"/>
      </right>
      <top style="hair">
        <color indexed="64"/>
      </top>
      <bottom/>
      <diagonal/>
    </border>
    <border>
      <left style="thin">
        <color indexed="64"/>
      </left>
      <right style="medium">
        <color indexed="64"/>
      </right>
      <top style="hair">
        <color auto="1"/>
      </top>
      <bottom style="hair">
        <color auto="1"/>
      </bottom>
      <diagonal/>
    </border>
    <border>
      <left style="thin">
        <color indexed="64"/>
      </left>
      <right style="medium">
        <color indexed="64"/>
      </right>
      <top style="hair">
        <color indexed="64"/>
      </top>
      <bottom style="double">
        <color indexed="64"/>
      </bottom>
      <diagonal/>
    </border>
    <border>
      <left style="medium">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right/>
      <top style="hair">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thin">
        <color indexed="64"/>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medium">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medium">
        <color indexed="64"/>
      </left>
      <right style="medium">
        <color indexed="64"/>
      </right>
      <top/>
      <bottom style="medium">
        <color rgb="FF000000"/>
      </bottom>
      <diagonal/>
    </border>
    <border>
      <left style="thin">
        <color auto="1"/>
      </left>
      <right style="thin">
        <color auto="1"/>
      </right>
      <top style="hair">
        <color auto="1"/>
      </top>
      <bottom style="hair">
        <color auto="1"/>
      </bottom>
      <diagonal/>
    </border>
    <border>
      <left style="thin">
        <color auto="1"/>
      </left>
      <right style="thin">
        <color auto="1"/>
      </right>
      <top style="hair">
        <color auto="1"/>
      </top>
      <bottom style="hair">
        <color auto="1"/>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style="thin">
        <color indexed="8"/>
      </right>
      <top style="thin">
        <color indexed="8"/>
      </top>
      <bottom/>
      <diagonal/>
    </border>
    <border>
      <left style="medium">
        <color indexed="64"/>
      </left>
      <right style="thin">
        <color indexed="8"/>
      </right>
      <top/>
      <bottom style="thin">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medium">
        <color indexed="8"/>
      </left>
      <right/>
      <top style="double">
        <color indexed="8"/>
      </top>
      <bottom/>
      <diagonal/>
    </border>
    <border>
      <left style="thin">
        <color indexed="8"/>
      </left>
      <right style="medium">
        <color indexed="8"/>
      </right>
      <top style="double">
        <color indexed="8"/>
      </top>
      <bottom/>
      <diagonal/>
    </border>
    <border>
      <left style="thin">
        <color indexed="8"/>
      </left>
      <right style="medium">
        <color indexed="8"/>
      </right>
      <top/>
      <bottom style="thin">
        <color indexed="64"/>
      </bottom>
      <diagonal/>
    </border>
    <border>
      <left style="medium">
        <color indexed="8"/>
      </left>
      <right/>
      <top/>
      <bottom style="thin">
        <color indexed="64"/>
      </bottom>
      <diagonal/>
    </border>
    <border>
      <left style="thin">
        <color auto="1"/>
      </left>
      <right style="thin">
        <color auto="1"/>
      </right>
      <top style="hair">
        <color auto="1"/>
      </top>
      <bottom style="hair">
        <color auto="1"/>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top style="medium">
        <color indexed="64"/>
      </top>
      <bottom style="hair">
        <color indexed="64"/>
      </bottom>
      <diagonal/>
    </border>
    <border>
      <left style="thin">
        <color indexed="64"/>
      </left>
      <right/>
      <top style="hair">
        <color auto="1"/>
      </top>
      <bottom style="hair">
        <color auto="1"/>
      </bottom>
      <diagonal/>
    </border>
    <border>
      <left style="thin">
        <color indexed="64"/>
      </left>
      <right/>
      <top style="hair">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style="thin">
        <color indexed="64"/>
      </right>
      <top style="hair">
        <color indexed="8"/>
      </top>
      <bottom style="hair">
        <color indexed="64"/>
      </bottom>
      <diagonal/>
    </border>
    <border>
      <left style="thin">
        <color indexed="64"/>
      </left>
      <right style="medium">
        <color indexed="64"/>
      </right>
      <top style="hair">
        <color indexed="8"/>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style="thin">
        <color indexed="64"/>
      </right>
      <top style="thin">
        <color indexed="8"/>
      </top>
      <bottom style="hair">
        <color indexed="64"/>
      </bottom>
      <diagonal/>
    </border>
    <border>
      <left style="thin">
        <color indexed="64"/>
      </left>
      <right style="medium">
        <color indexed="64"/>
      </right>
      <top style="thin">
        <color indexed="8"/>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s>
  <cellStyleXfs count="14">
    <xf numFmtId="0" fontId="0" fillId="0" borderId="0"/>
    <xf numFmtId="166" fontId="2" fillId="0" borderId="0" applyFont="0" applyFill="0" applyBorder="0" applyAlignment="0" applyProtection="0"/>
    <xf numFmtId="0" fontId="37" fillId="0" borderId="0"/>
    <xf numFmtId="0" fontId="3" fillId="0" borderId="0">
      <alignment vertical="top"/>
    </xf>
    <xf numFmtId="0" fontId="37" fillId="0" borderId="0"/>
    <xf numFmtId="0" fontId="37" fillId="0" borderId="0"/>
    <xf numFmtId="0" fontId="40" fillId="0" borderId="0"/>
    <xf numFmtId="0" fontId="37" fillId="0" borderId="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165" fontId="2" fillId="0" borderId="0" applyFont="0" applyFill="0" applyBorder="0" applyAlignment="0" applyProtection="0"/>
  </cellStyleXfs>
  <cellXfs count="2394">
    <xf numFmtId="0" fontId="0" fillId="0" borderId="0" xfId="0"/>
    <xf numFmtId="0" fontId="5" fillId="0" borderId="0" xfId="0" applyFont="1"/>
    <xf numFmtId="0" fontId="0" fillId="3" borderId="0" xfId="0" applyFill="1"/>
    <xf numFmtId="0" fontId="5" fillId="0" borderId="0" xfId="0" applyFont="1" applyProtection="1">
      <protection locked="0"/>
    </xf>
    <xf numFmtId="0" fontId="5" fillId="0" borderId="3" xfId="0" applyFont="1" applyBorder="1" applyProtection="1">
      <protection locked="0"/>
    </xf>
    <xf numFmtId="0" fontId="5" fillId="0" borderId="4" xfId="0" applyFont="1" applyBorder="1" applyProtection="1">
      <protection locked="0"/>
    </xf>
    <xf numFmtId="0" fontId="11" fillId="0" borderId="0" xfId="0" applyFont="1" applyProtection="1">
      <protection locked="0"/>
    </xf>
    <xf numFmtId="0" fontId="11" fillId="0" borderId="4" xfId="0" applyFont="1" applyBorder="1" applyProtection="1">
      <protection locked="0"/>
    </xf>
    <xf numFmtId="0" fontId="11" fillId="0" borderId="3" xfId="0" applyFont="1" applyBorder="1" applyProtection="1">
      <protection locked="0"/>
    </xf>
    <xf numFmtId="0" fontId="11" fillId="0" borderId="3" xfId="0" applyFont="1" applyBorder="1" applyAlignment="1" applyProtection="1">
      <alignment horizontal="left"/>
      <protection locked="0"/>
    </xf>
    <xf numFmtId="0" fontId="11" fillId="0" borderId="0" xfId="0" applyFont="1" applyAlignment="1" applyProtection="1">
      <alignment horizontal="left"/>
      <protection locked="0"/>
    </xf>
    <xf numFmtId="0" fontId="8" fillId="0" borderId="0" xfId="0" applyFont="1" applyAlignment="1" applyProtection="1">
      <alignment horizontal="left"/>
      <protection locked="0"/>
    </xf>
    <xf numFmtId="0" fontId="8" fillId="0" borderId="0" xfId="0" applyFont="1" applyProtection="1">
      <protection locked="0"/>
    </xf>
    <xf numFmtId="0" fontId="8" fillId="0" borderId="4" xfId="0" applyFont="1" applyBorder="1" applyAlignment="1" applyProtection="1">
      <alignment horizontal="left"/>
      <protection locked="0"/>
    </xf>
    <xf numFmtId="0" fontId="8" fillId="0" borderId="0" xfId="0" applyFont="1" applyAlignment="1" applyProtection="1">
      <alignment vertical="top"/>
      <protection locked="0"/>
    </xf>
    <xf numFmtId="0" fontId="0" fillId="0" borderId="0" xfId="0" applyProtection="1">
      <protection locked="0"/>
    </xf>
    <xf numFmtId="0" fontId="11" fillId="0" borderId="5" xfId="0" applyFont="1" applyBorder="1" applyProtection="1">
      <protection locked="0"/>
    </xf>
    <xf numFmtId="0" fontId="11" fillId="0" borderId="6" xfId="0" applyFont="1" applyBorder="1" applyProtection="1">
      <protection locked="0"/>
    </xf>
    <xf numFmtId="0" fontId="5" fillId="2" borderId="0" xfId="0" applyFont="1" applyFill="1"/>
    <xf numFmtId="0" fontId="6" fillId="2" borderId="0" xfId="0" applyFont="1" applyFill="1"/>
    <xf numFmtId="0" fontId="3" fillId="2" borderId="0" xfId="0" applyFont="1" applyFill="1"/>
    <xf numFmtId="0" fontId="14" fillId="2" borderId="0" xfId="0" applyFont="1" applyFill="1"/>
    <xf numFmtId="0" fontId="15" fillId="2" borderId="0" xfId="0" applyFont="1" applyFill="1"/>
    <xf numFmtId="4" fontId="7" fillId="2" borderId="0" xfId="0" applyNumberFormat="1" applyFont="1" applyFill="1"/>
    <xf numFmtId="0" fontId="7" fillId="2" borderId="0" xfId="0" applyFont="1" applyFill="1"/>
    <xf numFmtId="10" fontId="7" fillId="2" borderId="0" xfId="0" applyNumberFormat="1" applyFont="1" applyFill="1"/>
    <xf numFmtId="0" fontId="16" fillId="3" borderId="0" xfId="0" applyFont="1" applyFill="1" applyAlignment="1">
      <alignment horizontal="center"/>
    </xf>
    <xf numFmtId="0" fontId="5" fillId="3" borderId="0" xfId="0" applyFont="1" applyFill="1"/>
    <xf numFmtId="0" fontId="31" fillId="3" borderId="0" xfId="0" applyFont="1" applyFill="1" applyAlignment="1">
      <alignment horizontal="left"/>
    </xf>
    <xf numFmtId="0" fontId="28" fillId="3" borderId="0" xfId="0" applyFont="1" applyFill="1"/>
    <xf numFmtId="0" fontId="6" fillId="3" borderId="0" xfId="0" applyFont="1" applyFill="1"/>
    <xf numFmtId="0" fontId="23" fillId="3" borderId="0" xfId="0" applyFont="1" applyFill="1" applyAlignment="1">
      <alignment horizontal="center"/>
    </xf>
    <xf numFmtId="0" fontId="3" fillId="3" borderId="10" xfId="0" applyFont="1" applyFill="1" applyBorder="1"/>
    <xf numFmtId="0" fontId="3" fillId="3" borderId="0" xfId="0" applyFont="1" applyFill="1"/>
    <xf numFmtId="0" fontId="3" fillId="3" borderId="10" xfId="0" applyFont="1" applyFill="1" applyBorder="1" applyAlignment="1">
      <alignment horizontal="left"/>
    </xf>
    <xf numFmtId="4" fontId="6" fillId="3" borderId="0" xfId="0" applyNumberFormat="1" applyFont="1" applyFill="1"/>
    <xf numFmtId="0" fontId="6" fillId="3" borderId="0" xfId="0" applyFont="1" applyFill="1" applyAlignment="1">
      <alignment horizontal="center"/>
    </xf>
    <xf numFmtId="4" fontId="3" fillId="3" borderId="0" xfId="0" applyNumberFormat="1" applyFont="1" applyFill="1"/>
    <xf numFmtId="0" fontId="7" fillId="3" borderId="0" xfId="0" applyFont="1" applyFill="1" applyAlignment="1">
      <alignment horizontal="left"/>
    </xf>
    <xf numFmtId="0" fontId="14" fillId="3" borderId="0" xfId="0" applyFont="1" applyFill="1"/>
    <xf numFmtId="0" fontId="14" fillId="3" borderId="0" xfId="0" applyFont="1" applyFill="1" applyAlignment="1">
      <alignment horizontal="left"/>
    </xf>
    <xf numFmtId="0" fontId="3" fillId="3" borderId="18" xfId="0" applyFont="1" applyFill="1" applyBorder="1"/>
    <xf numFmtId="4" fontId="3" fillId="3" borderId="15" xfId="0" applyNumberFormat="1" applyFont="1" applyFill="1" applyBorder="1" applyAlignment="1">
      <alignment horizontal="center"/>
    </xf>
    <xf numFmtId="173" fontId="3" fillId="3" borderId="15" xfId="0" applyNumberFormat="1" applyFont="1" applyFill="1" applyBorder="1" applyAlignment="1">
      <alignment horizontal="center"/>
    </xf>
    <xf numFmtId="173" fontId="3" fillId="3" borderId="19" xfId="0" applyNumberFormat="1" applyFont="1" applyFill="1" applyBorder="1" applyAlignment="1">
      <alignment horizontal="center"/>
    </xf>
    <xf numFmtId="173" fontId="3" fillId="3" borderId="1" xfId="0" applyNumberFormat="1" applyFont="1" applyFill="1" applyBorder="1" applyAlignment="1">
      <alignment horizontal="center"/>
    </xf>
    <xf numFmtId="173" fontId="3" fillId="3" borderId="9" xfId="0" applyNumberFormat="1" applyFont="1" applyFill="1" applyBorder="1" applyAlignment="1">
      <alignment horizontal="center"/>
    </xf>
    <xf numFmtId="173" fontId="14" fillId="3" borderId="14" xfId="0" applyNumberFormat="1" applyFont="1" applyFill="1" applyBorder="1" applyAlignment="1">
      <alignment horizontal="center"/>
    </xf>
    <xf numFmtId="173" fontId="14" fillId="3" borderId="19" xfId="0" applyNumberFormat="1" applyFont="1" applyFill="1" applyBorder="1" applyAlignment="1">
      <alignment horizontal="center"/>
    </xf>
    <xf numFmtId="0" fontId="14" fillId="3" borderId="18" xfId="0" applyFont="1" applyFill="1" applyBorder="1"/>
    <xf numFmtId="4" fontId="3" fillId="3" borderId="20" xfId="0" applyNumberFormat="1" applyFont="1" applyFill="1" applyBorder="1" applyAlignment="1">
      <alignment horizontal="center"/>
    </xf>
    <xf numFmtId="173" fontId="3" fillId="3" borderId="23" xfId="0" applyNumberFormat="1" applyFont="1" applyFill="1" applyBorder="1" applyAlignment="1">
      <alignment horizontal="center"/>
    </xf>
    <xf numFmtId="173" fontId="3" fillId="3" borderId="24" xfId="0" applyNumberFormat="1" applyFont="1" applyFill="1" applyBorder="1" applyAlignment="1">
      <alignment horizontal="center"/>
    </xf>
    <xf numFmtId="173" fontId="3" fillId="3" borderId="25" xfId="0" applyNumberFormat="1" applyFont="1" applyFill="1" applyBorder="1" applyAlignment="1">
      <alignment horizontal="center"/>
    </xf>
    <xf numFmtId="173" fontId="3" fillId="3" borderId="16" xfId="0" applyNumberFormat="1" applyFont="1" applyFill="1" applyBorder="1" applyAlignment="1">
      <alignment horizontal="center"/>
    </xf>
    <xf numFmtId="0" fontId="20" fillId="3" borderId="11" xfId="0" applyFont="1" applyFill="1" applyBorder="1" applyAlignment="1">
      <alignment vertical="center"/>
    </xf>
    <xf numFmtId="0" fontId="20" fillId="3" borderId="13" xfId="0" applyFont="1" applyFill="1" applyBorder="1" applyAlignment="1">
      <alignment horizontal="left" vertical="center"/>
    </xf>
    <xf numFmtId="0" fontId="20" fillId="3" borderId="13" xfId="0" applyFont="1" applyFill="1" applyBorder="1" applyAlignment="1">
      <alignment vertical="center"/>
    </xf>
    <xf numFmtId="4" fontId="20" fillId="3" borderId="26" xfId="0" applyNumberFormat="1" applyFont="1" applyFill="1" applyBorder="1" applyAlignment="1">
      <alignment horizontal="center" vertical="center"/>
    </xf>
    <xf numFmtId="173" fontId="20" fillId="3" borderId="27" xfId="0" applyNumberFormat="1" applyFont="1" applyFill="1" applyBorder="1" applyAlignment="1">
      <alignment horizontal="center" vertical="center"/>
    </xf>
    <xf numFmtId="173" fontId="20" fillId="3" borderId="28" xfId="0" applyNumberFormat="1" applyFont="1" applyFill="1" applyBorder="1" applyAlignment="1">
      <alignment horizontal="center" vertical="center"/>
    </xf>
    <xf numFmtId="173" fontId="20" fillId="3" borderId="13" xfId="0" applyNumberFormat="1" applyFont="1" applyFill="1" applyBorder="1" applyAlignment="1">
      <alignment horizontal="center" vertical="center"/>
    </xf>
    <xf numFmtId="173" fontId="20" fillId="3" borderId="29" xfId="0" applyNumberFormat="1" applyFont="1" applyFill="1" applyBorder="1" applyAlignment="1">
      <alignment horizontal="center" vertical="center"/>
    </xf>
    <xf numFmtId="0" fontId="19" fillId="3" borderId="0" xfId="0" applyFont="1" applyFill="1" applyAlignment="1">
      <alignment vertical="center"/>
    </xf>
    <xf numFmtId="0" fontId="0" fillId="3" borderId="0" xfId="0" applyFill="1" applyAlignment="1">
      <alignment horizontal="center"/>
    </xf>
    <xf numFmtId="0" fontId="35" fillId="3" borderId="0" xfId="0" applyFont="1" applyFill="1"/>
    <xf numFmtId="49" fontId="14" fillId="3" borderId="0" xfId="0" applyNumberFormat="1" applyFont="1" applyFill="1"/>
    <xf numFmtId="0" fontId="3" fillId="3" borderId="3" xfId="0" applyFont="1" applyFill="1" applyBorder="1"/>
    <xf numFmtId="0" fontId="3" fillId="3" borderId="15" xfId="0" applyFont="1" applyFill="1" applyBorder="1"/>
    <xf numFmtId="4" fontId="3" fillId="3" borderId="15" xfId="0" applyNumberFormat="1" applyFont="1" applyFill="1" applyBorder="1"/>
    <xf numFmtId="4" fontId="3" fillId="3" borderId="14" xfId="0" applyNumberFormat="1" applyFont="1" applyFill="1" applyBorder="1"/>
    <xf numFmtId="0" fontId="3" fillId="3" borderId="31" xfId="0" applyFont="1" applyFill="1" applyBorder="1"/>
    <xf numFmtId="10" fontId="3" fillId="3" borderId="15" xfId="0" applyNumberFormat="1" applyFont="1" applyFill="1" applyBorder="1" applyAlignment="1">
      <alignment horizontal="center"/>
    </xf>
    <xf numFmtId="4" fontId="3" fillId="3" borderId="31" xfId="0" applyNumberFormat="1" applyFont="1" applyFill="1" applyBorder="1" applyAlignment="1">
      <alignment horizontal="center"/>
    </xf>
    <xf numFmtId="4" fontId="3" fillId="3" borderId="9" xfId="0" applyNumberFormat="1" applyFont="1" applyFill="1" applyBorder="1" applyAlignment="1">
      <alignment horizontal="center"/>
    </xf>
    <xf numFmtId="0" fontId="3" fillId="3" borderId="0" xfId="0" applyFont="1" applyFill="1" applyAlignment="1">
      <alignment horizontal="left"/>
    </xf>
    <xf numFmtId="10" fontId="3" fillId="3" borderId="0" xfId="0" applyNumberFormat="1" applyFont="1" applyFill="1"/>
    <xf numFmtId="4" fontId="3" fillId="3" borderId="14" xfId="0" applyNumberFormat="1" applyFont="1" applyFill="1" applyBorder="1" applyAlignment="1">
      <alignment horizontal="center"/>
    </xf>
    <xf numFmtId="4" fontId="3" fillId="3" borderId="19" xfId="0" applyNumberFormat="1" applyFont="1" applyFill="1" applyBorder="1" applyAlignment="1">
      <alignment horizontal="center"/>
    </xf>
    <xf numFmtId="173" fontId="3" fillId="3" borderId="33" xfId="0" applyNumberFormat="1" applyFont="1" applyFill="1" applyBorder="1" applyAlignment="1">
      <alignment horizontal="center"/>
    </xf>
    <xf numFmtId="0" fontId="0" fillId="0" borderId="3" xfId="0" applyBorder="1"/>
    <xf numFmtId="173" fontId="27" fillId="3" borderId="19" xfId="0" applyNumberFormat="1" applyFont="1" applyFill="1" applyBorder="1" applyAlignment="1">
      <alignment horizontal="center"/>
    </xf>
    <xf numFmtId="181" fontId="5" fillId="3" borderId="0" xfId="0" applyNumberFormat="1" applyFont="1" applyFill="1"/>
    <xf numFmtId="4" fontId="31" fillId="3" borderId="14" xfId="0" applyNumberFormat="1" applyFont="1" applyFill="1" applyBorder="1" applyAlignment="1">
      <alignment horizontal="center"/>
    </xf>
    <xf numFmtId="2" fontId="5" fillId="3" borderId="0" xfId="0" applyNumberFormat="1" applyFont="1" applyFill="1"/>
    <xf numFmtId="4" fontId="0" fillId="3" borderId="0" xfId="0" applyNumberFormat="1" applyFill="1"/>
    <xf numFmtId="0" fontId="3" fillId="3" borderId="42" xfId="0" applyFont="1" applyFill="1" applyBorder="1"/>
    <xf numFmtId="0" fontId="3" fillId="3" borderId="43" xfId="0" applyFont="1" applyFill="1" applyBorder="1"/>
    <xf numFmtId="0" fontId="3" fillId="3" borderId="44" xfId="0" applyFont="1" applyFill="1" applyBorder="1"/>
    <xf numFmtId="4" fontId="3" fillId="3" borderId="44" xfId="0" applyNumberFormat="1" applyFont="1" applyFill="1" applyBorder="1"/>
    <xf numFmtId="4" fontId="3" fillId="3" borderId="45" xfId="0" applyNumberFormat="1" applyFont="1" applyFill="1" applyBorder="1"/>
    <xf numFmtId="0" fontId="3" fillId="3" borderId="46" xfId="0" applyFont="1" applyFill="1" applyBorder="1"/>
    <xf numFmtId="0" fontId="3" fillId="3" borderId="47" xfId="0" applyFont="1" applyFill="1" applyBorder="1"/>
    <xf numFmtId="0" fontId="14" fillId="3" borderId="30" xfId="0" applyFont="1" applyFill="1" applyBorder="1"/>
    <xf numFmtId="10" fontId="14" fillId="3" borderId="48" xfId="0" applyNumberFormat="1" applyFont="1" applyFill="1" applyBorder="1" applyAlignment="1">
      <alignment horizontal="center"/>
    </xf>
    <xf numFmtId="10" fontId="14" fillId="3" borderId="33" xfId="0" applyNumberFormat="1" applyFont="1" applyFill="1" applyBorder="1" applyAlignment="1">
      <alignment horizontal="center"/>
    </xf>
    <xf numFmtId="4" fontId="14" fillId="3" borderId="48" xfId="0" applyNumberFormat="1" applyFont="1" applyFill="1" applyBorder="1" applyAlignment="1">
      <alignment horizontal="center"/>
    </xf>
    <xf numFmtId="10" fontId="14" fillId="3" borderId="49" xfId="0" applyNumberFormat="1" applyFont="1" applyFill="1" applyBorder="1" applyAlignment="1">
      <alignment horizontal="center"/>
    </xf>
    <xf numFmtId="0" fontId="11" fillId="0" borderId="6" xfId="0" applyFont="1" applyBorder="1" applyAlignment="1" applyProtection="1">
      <alignment horizontal="left"/>
      <protection locked="0"/>
    </xf>
    <xf numFmtId="0" fontId="0" fillId="0" borderId="4" xfId="0" applyBorder="1"/>
    <xf numFmtId="0" fontId="3" fillId="3" borderId="22" xfId="0" applyFont="1" applyFill="1" applyBorder="1"/>
    <xf numFmtId="0" fontId="8" fillId="0" borderId="0" xfId="0" applyFont="1" applyAlignment="1" applyProtection="1">
      <alignment vertical="center" wrapText="1"/>
      <protection locked="0"/>
    </xf>
    <xf numFmtId="15" fontId="6" fillId="3" borderId="0" xfId="0" applyNumberFormat="1" applyFont="1" applyFill="1" applyAlignment="1">
      <alignment horizontal="center"/>
    </xf>
    <xf numFmtId="183" fontId="6" fillId="3" borderId="0" xfId="0" applyNumberFormat="1" applyFont="1" applyFill="1" applyAlignment="1">
      <alignment horizontal="center"/>
    </xf>
    <xf numFmtId="10" fontId="7" fillId="3" borderId="0" xfId="0" applyNumberFormat="1" applyFont="1" applyFill="1"/>
    <xf numFmtId="183" fontId="5" fillId="3" borderId="0" xfId="0" applyNumberFormat="1" applyFont="1" applyFill="1"/>
    <xf numFmtId="0" fontId="9" fillId="3" borderId="0" xfId="0" applyFont="1" applyFill="1"/>
    <xf numFmtId="49" fontId="9" fillId="3" borderId="0" xfId="0" applyNumberFormat="1" applyFont="1" applyFill="1"/>
    <xf numFmtId="0" fontId="7" fillId="3" borderId="0" xfId="0" applyFont="1" applyFill="1"/>
    <xf numFmtId="170" fontId="7" fillId="3" borderId="0" xfId="0" applyNumberFormat="1" applyFont="1" applyFill="1"/>
    <xf numFmtId="4" fontId="7" fillId="3" borderId="0" xfId="0" applyNumberFormat="1" applyFont="1" applyFill="1"/>
    <xf numFmtId="0" fontId="9" fillId="3" borderId="0" xfId="0" applyFont="1" applyFill="1" applyAlignment="1">
      <alignment horizontal="left"/>
    </xf>
    <xf numFmtId="172" fontId="7" fillId="3" borderId="0" xfId="0" applyNumberFormat="1" applyFont="1" applyFill="1"/>
    <xf numFmtId="0" fontId="19" fillId="3" borderId="0" xfId="0" applyFont="1" applyFill="1"/>
    <xf numFmtId="10" fontId="0" fillId="3" borderId="0" xfId="0" applyNumberFormat="1" applyFill="1"/>
    <xf numFmtId="0" fontId="44" fillId="3" borderId="0" xfId="0" applyFont="1" applyFill="1"/>
    <xf numFmtId="0" fontId="45" fillId="3" borderId="0" xfId="0" applyFont="1" applyFill="1"/>
    <xf numFmtId="0" fontId="48" fillId="3" borderId="0" xfId="0" applyFont="1" applyFill="1" applyAlignment="1">
      <alignment horizontal="left"/>
    </xf>
    <xf numFmtId="0" fontId="46" fillId="3" borderId="0" xfId="0" applyFont="1" applyFill="1"/>
    <xf numFmtId="49" fontId="46" fillId="3" borderId="0" xfId="0" applyNumberFormat="1" applyFont="1" applyFill="1"/>
    <xf numFmtId="0" fontId="46" fillId="3" borderId="0" xfId="0" applyFont="1" applyFill="1" applyAlignment="1">
      <alignment horizontal="left"/>
    </xf>
    <xf numFmtId="4" fontId="44" fillId="3" borderId="0" xfId="0" applyNumberFormat="1" applyFont="1" applyFill="1"/>
    <xf numFmtId="4" fontId="50" fillId="3" borderId="0" xfId="0" applyNumberFormat="1" applyFont="1" applyFill="1" applyAlignment="1">
      <alignment horizontal="center"/>
    </xf>
    <xf numFmtId="4" fontId="45" fillId="3" borderId="0" xfId="0" applyNumberFormat="1" applyFont="1" applyFill="1"/>
    <xf numFmtId="4" fontId="37" fillId="2" borderId="0" xfId="0" applyNumberFormat="1" applyFont="1" applyFill="1" applyAlignment="1">
      <alignment horizontal="center"/>
    </xf>
    <xf numFmtId="0" fontId="50" fillId="3" borderId="0" xfId="0" applyFont="1" applyFill="1"/>
    <xf numFmtId="0" fontId="54" fillId="3" borderId="0" xfId="0" applyFont="1" applyFill="1"/>
    <xf numFmtId="0" fontId="55" fillId="3" borderId="0" xfId="0" applyFont="1" applyFill="1"/>
    <xf numFmtId="0" fontId="56" fillId="3" borderId="0" xfId="0" applyFont="1" applyFill="1"/>
    <xf numFmtId="0" fontId="57" fillId="3" borderId="0" xfId="0" applyFont="1" applyFill="1"/>
    <xf numFmtId="0" fontId="58" fillId="3" borderId="0" xfId="0" applyFont="1" applyFill="1"/>
    <xf numFmtId="0" fontId="43" fillId="3" borderId="0" xfId="0" applyFont="1" applyFill="1" applyAlignment="1">
      <alignment horizontal="center" vertical="center"/>
    </xf>
    <xf numFmtId="0" fontId="46" fillId="3" borderId="0" xfId="0" applyFont="1" applyFill="1" applyAlignment="1">
      <alignment horizontal="center"/>
    </xf>
    <xf numFmtId="49" fontId="47" fillId="3" borderId="0" xfId="0" applyNumberFormat="1" applyFont="1" applyFill="1" applyAlignment="1">
      <alignment horizontal="center"/>
    </xf>
    <xf numFmtId="0" fontId="45" fillId="3" borderId="5" xfId="0" applyFont="1" applyFill="1" applyBorder="1"/>
    <xf numFmtId="0" fontId="53" fillId="3" borderId="6" xfId="0" applyFont="1" applyFill="1" applyBorder="1"/>
    <xf numFmtId="0" fontId="45" fillId="3" borderId="6" xfId="0" applyFont="1" applyFill="1" applyBorder="1"/>
    <xf numFmtId="4" fontId="45" fillId="3" borderId="56" xfId="0" applyNumberFormat="1" applyFont="1" applyFill="1" applyBorder="1" applyAlignment="1">
      <alignment horizontal="center"/>
    </xf>
    <xf numFmtId="4" fontId="45" fillId="3" borderId="0" xfId="0" applyNumberFormat="1" applyFont="1" applyFill="1" applyAlignment="1">
      <alignment horizontal="center"/>
    </xf>
    <xf numFmtId="0" fontId="50" fillId="3" borderId="0" xfId="0" applyFont="1" applyFill="1" applyAlignment="1">
      <alignment horizontal="center"/>
    </xf>
    <xf numFmtId="4" fontId="5" fillId="3" borderId="0" xfId="0" applyNumberFormat="1" applyFont="1" applyFill="1"/>
    <xf numFmtId="0" fontId="34" fillId="3" borderId="0" xfId="0" applyFont="1" applyFill="1"/>
    <xf numFmtId="0" fontId="48" fillId="3" borderId="0" xfId="0" applyFont="1" applyFill="1"/>
    <xf numFmtId="185" fontId="0" fillId="3" borderId="0" xfId="0" applyNumberFormat="1" applyFill="1"/>
    <xf numFmtId="4" fontId="3" fillId="3" borderId="0" xfId="0" applyNumberFormat="1" applyFont="1" applyFill="1" applyAlignment="1">
      <alignment horizontal="center"/>
    </xf>
    <xf numFmtId="0" fontId="65" fillId="3" borderId="0" xfId="0" applyFont="1" applyFill="1"/>
    <xf numFmtId="4" fontId="66" fillId="2" borderId="0" xfId="0" applyNumberFormat="1" applyFont="1" applyFill="1"/>
    <xf numFmtId="4" fontId="67" fillId="3" borderId="0" xfId="0" applyNumberFormat="1" applyFont="1" applyFill="1"/>
    <xf numFmtId="4" fontId="52" fillId="3" borderId="67" xfId="0" applyNumberFormat="1" applyFont="1" applyFill="1" applyBorder="1" applyAlignment="1">
      <alignment horizontal="center"/>
    </xf>
    <xf numFmtId="4" fontId="52" fillId="3" borderId="69" xfId="0" applyNumberFormat="1" applyFont="1" applyFill="1" applyBorder="1" applyAlignment="1">
      <alignment horizontal="center"/>
    </xf>
    <xf numFmtId="180" fontId="57" fillId="3" borderId="0" xfId="8" applyNumberFormat="1" applyFont="1" applyFill="1"/>
    <xf numFmtId="10" fontId="57" fillId="3" borderId="0" xfId="0" applyNumberFormat="1" applyFont="1" applyFill="1"/>
    <xf numFmtId="186" fontId="56" fillId="3" borderId="0" xfId="0" applyNumberFormat="1" applyFont="1" applyFill="1"/>
    <xf numFmtId="9" fontId="65" fillId="3" borderId="0" xfId="8" applyFont="1" applyFill="1" applyBorder="1" applyProtection="1"/>
    <xf numFmtId="173" fontId="0" fillId="3" borderId="0" xfId="0" applyNumberFormat="1" applyFill="1" applyAlignment="1">
      <alignment horizontal="center"/>
    </xf>
    <xf numFmtId="184" fontId="5" fillId="3" borderId="0" xfId="0" applyNumberFormat="1" applyFont="1" applyFill="1"/>
    <xf numFmtId="187" fontId="68" fillId="0" borderId="0" xfId="1" applyNumberFormat="1" applyFont="1" applyBorder="1" applyAlignment="1">
      <alignment vertical="center"/>
    </xf>
    <xf numFmtId="0" fontId="46" fillId="3" borderId="0" xfId="0" applyFont="1" applyFill="1" applyAlignment="1">
      <alignment horizontal="left" vertical="center"/>
    </xf>
    <xf numFmtId="0" fontId="45" fillId="3" borderId="7" xfId="0" applyFont="1" applyFill="1" applyBorder="1"/>
    <xf numFmtId="10" fontId="63" fillId="3" borderId="8" xfId="0" applyNumberFormat="1" applyFont="1" applyFill="1" applyBorder="1" applyAlignment="1">
      <alignment horizontal="center" vertical="center"/>
    </xf>
    <xf numFmtId="0" fontId="43" fillId="4" borderId="77" xfId="0" applyFont="1" applyFill="1" applyBorder="1" applyAlignment="1">
      <alignment horizontal="center"/>
    </xf>
    <xf numFmtId="4" fontId="43" fillId="4" borderId="78" xfId="0" applyNumberFormat="1" applyFont="1" applyFill="1" applyBorder="1" applyAlignment="1">
      <alignment horizontal="center"/>
    </xf>
    <xf numFmtId="4" fontId="43" fillId="4" borderId="79" xfId="0" applyNumberFormat="1" applyFont="1" applyFill="1" applyBorder="1" applyAlignment="1">
      <alignment horizontal="center"/>
    </xf>
    <xf numFmtId="0" fontId="50" fillId="3" borderId="0" xfId="0" applyFont="1" applyFill="1" applyAlignment="1">
      <alignment vertical="top"/>
    </xf>
    <xf numFmtId="4" fontId="50" fillId="3" borderId="0" xfId="0" applyNumberFormat="1" applyFont="1" applyFill="1" applyAlignment="1">
      <alignment vertical="top"/>
    </xf>
    <xf numFmtId="4" fontId="53" fillId="4" borderId="79" xfId="0" applyNumberFormat="1" applyFont="1" applyFill="1" applyBorder="1" applyAlignment="1">
      <alignment horizontal="center"/>
    </xf>
    <xf numFmtId="10" fontId="5" fillId="3" borderId="0" xfId="0" applyNumberFormat="1" applyFont="1" applyFill="1"/>
    <xf numFmtId="188" fontId="5" fillId="3" borderId="0" xfId="0" applyNumberFormat="1" applyFont="1" applyFill="1"/>
    <xf numFmtId="173" fontId="5" fillId="3" borderId="0" xfId="0" applyNumberFormat="1" applyFont="1" applyFill="1"/>
    <xf numFmtId="0" fontId="5" fillId="5" borderId="0" xfId="0" applyFont="1" applyFill="1"/>
    <xf numFmtId="0" fontId="17" fillId="5" borderId="0" xfId="0" applyFont="1" applyFill="1"/>
    <xf numFmtId="49" fontId="17" fillId="5" borderId="0" xfId="0" applyNumberFormat="1" applyFont="1" applyFill="1"/>
    <xf numFmtId="0" fontId="17" fillId="5" borderId="0" xfId="0" applyFont="1" applyFill="1" applyAlignment="1">
      <alignment horizontal="left"/>
    </xf>
    <xf numFmtId="0" fontId="7" fillId="5" borderId="0" xfId="0" applyFont="1" applyFill="1"/>
    <xf numFmtId="0" fontId="5" fillId="3" borderId="0" xfId="0" applyFont="1" applyFill="1" applyAlignment="1">
      <alignment horizontal="left"/>
    </xf>
    <xf numFmtId="0" fontId="19" fillId="5" borderId="0" xfId="0" applyFont="1" applyFill="1"/>
    <xf numFmtId="4" fontId="5" fillId="5" borderId="0" xfId="0" applyNumberFormat="1" applyFont="1" applyFill="1"/>
    <xf numFmtId="189" fontId="0" fillId="6" borderId="0" xfId="0" applyNumberFormat="1" applyFill="1"/>
    <xf numFmtId="184" fontId="0" fillId="6" borderId="0" xfId="0" applyNumberFormat="1" applyFill="1"/>
    <xf numFmtId="4" fontId="0" fillId="6" borderId="0" xfId="0" applyNumberFormat="1" applyFill="1"/>
    <xf numFmtId="4" fontId="20" fillId="7" borderId="0" xfId="0" applyNumberFormat="1" applyFont="1" applyFill="1"/>
    <xf numFmtId="4" fontId="45" fillId="3" borderId="83" xfId="0" applyNumberFormat="1" applyFont="1" applyFill="1" applyBorder="1" applyAlignment="1">
      <alignment horizontal="center"/>
    </xf>
    <xf numFmtId="4" fontId="45" fillId="3" borderId="84" xfId="0" applyNumberFormat="1" applyFont="1" applyFill="1" applyBorder="1" applyAlignment="1">
      <alignment horizontal="center"/>
    </xf>
    <xf numFmtId="0" fontId="3" fillId="3" borderId="0" xfId="0" applyFont="1" applyFill="1" applyAlignment="1">
      <alignment horizontal="center"/>
    </xf>
    <xf numFmtId="10" fontId="62" fillId="3" borderId="0" xfId="0" applyNumberFormat="1" applyFont="1" applyFill="1" applyAlignment="1">
      <alignment horizontal="center" vertical="center"/>
    </xf>
    <xf numFmtId="0" fontId="78" fillId="3" borderId="0" xfId="0" applyFont="1" applyFill="1"/>
    <xf numFmtId="4" fontId="78" fillId="3" borderId="0" xfId="0" applyNumberFormat="1" applyFont="1" applyFill="1" applyAlignment="1">
      <alignment horizontal="center"/>
    </xf>
    <xf numFmtId="0" fontId="43" fillId="4" borderId="81" xfId="0" applyFont="1" applyFill="1" applyBorder="1" applyAlignment="1">
      <alignment horizontal="center" vertical="center"/>
    </xf>
    <xf numFmtId="0" fontId="50" fillId="3" borderId="0" xfId="0" applyFont="1" applyFill="1" applyAlignment="1">
      <alignment horizontal="right" vertical="top"/>
    </xf>
    <xf numFmtId="0" fontId="10" fillId="0" borderId="3" xfId="0" applyFont="1" applyBorder="1" applyAlignment="1" applyProtection="1">
      <alignment horizontal="center"/>
      <protection locked="0"/>
    </xf>
    <xf numFmtId="0" fontId="10" fillId="0" borderId="0" xfId="0" applyFont="1" applyAlignment="1" applyProtection="1">
      <alignment horizontal="center"/>
      <protection locked="0"/>
    </xf>
    <xf numFmtId="0" fontId="10" fillId="0" borderId="4" xfId="0" applyFont="1" applyBorder="1" applyAlignment="1" applyProtection="1">
      <alignment horizontal="center"/>
      <protection locked="0"/>
    </xf>
    <xf numFmtId="0" fontId="29" fillId="3" borderId="80" xfId="0" applyFont="1" applyFill="1" applyBorder="1" applyAlignment="1">
      <alignment horizontal="center"/>
    </xf>
    <xf numFmtId="0" fontId="0" fillId="6" borderId="0" xfId="0" applyFill="1"/>
    <xf numFmtId="0" fontId="0" fillId="0" borderId="6" xfId="0" applyBorder="1" applyProtection="1">
      <protection locked="0"/>
    </xf>
    <xf numFmtId="0" fontId="0" fillId="0" borderId="7" xfId="0" applyBorder="1" applyProtection="1">
      <protection locked="0"/>
    </xf>
    <xf numFmtId="0" fontId="4" fillId="3" borderId="0" xfId="0" applyFont="1" applyFill="1" applyAlignment="1">
      <alignment horizontal="left"/>
    </xf>
    <xf numFmtId="0" fontId="74" fillId="3" borderId="0" xfId="0" applyFont="1" applyFill="1"/>
    <xf numFmtId="0" fontId="74" fillId="3" borderId="0" xfId="0" applyFont="1" applyFill="1" applyAlignment="1">
      <alignment horizontal="center"/>
    </xf>
    <xf numFmtId="0" fontId="43" fillId="3" borderId="0" xfId="0" applyFont="1" applyFill="1"/>
    <xf numFmtId="0" fontId="53" fillId="3" borderId="0" xfId="0" applyFont="1" applyFill="1" applyAlignment="1">
      <alignment horizontal="left"/>
    </xf>
    <xf numFmtId="49" fontId="74" fillId="3" borderId="0" xfId="0" applyNumberFormat="1" applyFont="1" applyFill="1" applyAlignment="1">
      <alignment horizontal="left"/>
    </xf>
    <xf numFmtId="4" fontId="74" fillId="3" borderId="0" xfId="0" applyNumberFormat="1" applyFont="1" applyFill="1" applyAlignment="1">
      <alignment horizontal="center"/>
    </xf>
    <xf numFmtId="0" fontId="50" fillId="3" borderId="0" xfId="0" applyFont="1" applyFill="1" applyAlignment="1">
      <alignment horizontal="left"/>
    </xf>
    <xf numFmtId="4" fontId="74" fillId="3" borderId="0" xfId="0" applyNumberFormat="1" applyFont="1" applyFill="1"/>
    <xf numFmtId="0" fontId="74" fillId="3" borderId="0" xfId="0" applyFont="1" applyFill="1" applyAlignment="1">
      <alignment horizontal="left"/>
    </xf>
    <xf numFmtId="0" fontId="50" fillId="2" borderId="0" xfId="0" applyFont="1" applyFill="1" applyAlignment="1">
      <alignment horizontal="center"/>
    </xf>
    <xf numFmtId="0" fontId="43" fillId="3" borderId="0" xfId="0" applyFont="1" applyFill="1" applyAlignment="1">
      <alignment horizontal="center" vertical="center" wrapText="1"/>
    </xf>
    <xf numFmtId="4" fontId="51" fillId="3" borderId="0" xfId="0" applyNumberFormat="1" applyFont="1" applyFill="1" applyAlignment="1">
      <alignment horizontal="center"/>
    </xf>
    <xf numFmtId="4" fontId="52" fillId="3" borderId="0" xfId="0" applyNumberFormat="1" applyFont="1" applyFill="1" applyAlignment="1">
      <alignment horizontal="center"/>
    </xf>
    <xf numFmtId="49" fontId="75" fillId="3" borderId="0" xfId="0" applyNumberFormat="1" applyFont="1" applyFill="1" applyAlignment="1">
      <alignment horizontal="center"/>
    </xf>
    <xf numFmtId="178" fontId="74" fillId="6" borderId="0" xfId="0" applyNumberFormat="1" applyFont="1" applyFill="1"/>
    <xf numFmtId="10" fontId="50" fillId="3" borderId="0" xfId="8" applyNumberFormat="1" applyFont="1" applyFill="1" applyBorder="1" applyAlignment="1">
      <alignment horizontal="center"/>
    </xf>
    <xf numFmtId="0" fontId="43" fillId="8" borderId="54" xfId="0" applyFont="1" applyFill="1" applyBorder="1" applyAlignment="1">
      <alignment horizontal="center" vertical="center"/>
    </xf>
    <xf numFmtId="4" fontId="5" fillId="2" borderId="0" xfId="0" applyNumberFormat="1" applyFont="1" applyFill="1"/>
    <xf numFmtId="4" fontId="6" fillId="2" borderId="0" xfId="0" applyNumberFormat="1" applyFont="1" applyFill="1"/>
    <xf numFmtId="4" fontId="3" fillId="2" borderId="0" xfId="0" applyNumberFormat="1" applyFont="1" applyFill="1"/>
    <xf numFmtId="4" fontId="14" fillId="2" borderId="0" xfId="0" applyNumberFormat="1" applyFont="1" applyFill="1"/>
    <xf numFmtId="4" fontId="68" fillId="0" borderId="0" xfId="1" applyNumberFormat="1" applyFont="1" applyBorder="1" applyAlignment="1">
      <alignment vertical="center"/>
    </xf>
    <xf numFmtId="4" fontId="41" fillId="3" borderId="72" xfId="0" applyNumberFormat="1" applyFont="1" applyFill="1" applyBorder="1" applyAlignment="1">
      <alignment horizontal="left"/>
    </xf>
    <xf numFmtId="10" fontId="7" fillId="3" borderId="72" xfId="0" applyNumberFormat="1" applyFont="1" applyFill="1" applyBorder="1" applyAlignment="1">
      <alignment horizontal="center"/>
    </xf>
    <xf numFmtId="0" fontId="7" fillId="3" borderId="90" xfId="0" applyFont="1" applyFill="1" applyBorder="1"/>
    <xf numFmtId="4" fontId="54" fillId="3" borderId="0" xfId="0" applyNumberFormat="1" applyFont="1" applyFill="1"/>
    <xf numFmtId="10" fontId="54" fillId="3" borderId="0" xfId="8" applyNumberFormat="1" applyFont="1" applyFill="1"/>
    <xf numFmtId="10" fontId="0" fillId="3" borderId="0" xfId="8" applyNumberFormat="1" applyFont="1" applyFill="1"/>
    <xf numFmtId="0" fontId="17" fillId="0" borderId="0" xfId="0" applyFont="1" applyAlignment="1">
      <alignment horizontal="left"/>
    </xf>
    <xf numFmtId="0" fontId="17" fillId="0" borderId="0" xfId="0" applyFont="1"/>
    <xf numFmtId="0" fontId="7" fillId="0" borderId="0" xfId="0" applyFont="1" applyAlignment="1">
      <alignment horizontal="center"/>
    </xf>
    <xf numFmtId="0" fontId="7" fillId="0" borderId="0" xfId="0" applyFont="1"/>
    <xf numFmtId="0" fontId="3" fillId="0" borderId="75" xfId="0" applyFont="1" applyBorder="1"/>
    <xf numFmtId="0" fontId="3" fillId="0" borderId="0" xfId="0" applyFont="1"/>
    <xf numFmtId="0" fontId="3" fillId="0" borderId="73" xfId="0" applyFont="1" applyBorder="1"/>
    <xf numFmtId="0" fontId="3" fillId="0" borderId="0" xfId="0" applyFont="1" applyAlignment="1">
      <alignment horizontal="center"/>
    </xf>
    <xf numFmtId="0" fontId="3" fillId="0" borderId="52" xfId="0" applyFont="1" applyBorder="1" applyAlignment="1">
      <alignment horizontal="center"/>
    </xf>
    <xf numFmtId="2" fontId="3" fillId="0" borderId="52" xfId="0" applyNumberFormat="1" applyFont="1" applyBorder="1" applyAlignment="1">
      <alignment horizontal="center"/>
    </xf>
    <xf numFmtId="0" fontId="3" fillId="0" borderId="30" xfId="0" applyFont="1" applyBorder="1" applyAlignment="1">
      <alignment horizontal="center"/>
    </xf>
    <xf numFmtId="10" fontId="3" fillId="0" borderId="8" xfId="0" applyNumberFormat="1" applyFont="1" applyBorder="1" applyAlignment="1">
      <alignment horizontal="center"/>
    </xf>
    <xf numFmtId="2" fontId="3" fillId="0" borderId="8" xfId="0" applyNumberFormat="1" applyFont="1" applyBorder="1" applyAlignment="1">
      <alignment horizontal="center"/>
    </xf>
    <xf numFmtId="0" fontId="3" fillId="0" borderId="74" xfId="0" applyFont="1" applyBorder="1"/>
    <xf numFmtId="0" fontId="3" fillId="0" borderId="102" xfId="0" applyFont="1" applyBorder="1"/>
    <xf numFmtId="0" fontId="3" fillId="0" borderId="98" xfId="0" applyFont="1" applyBorder="1"/>
    <xf numFmtId="49" fontId="3" fillId="0" borderId="0" xfId="0" applyNumberFormat="1" applyFont="1" applyAlignment="1">
      <alignment horizontal="center"/>
    </xf>
    <xf numFmtId="10" fontId="3" fillId="0" borderId="17" xfId="0" applyNumberFormat="1" applyFont="1" applyBorder="1" applyAlignment="1">
      <alignment horizontal="center"/>
    </xf>
    <xf numFmtId="2" fontId="3" fillId="0" borderId="17" xfId="0" applyNumberFormat="1" applyFont="1" applyBorder="1" applyAlignment="1">
      <alignment horizontal="center"/>
    </xf>
    <xf numFmtId="0" fontId="37" fillId="0" borderId="73" xfId="7" quotePrefix="1" applyBorder="1" applyAlignment="1">
      <alignment horizontal="center"/>
    </xf>
    <xf numFmtId="0" fontId="37" fillId="0" borderId="76" xfId="0" applyFont="1" applyBorder="1"/>
    <xf numFmtId="0" fontId="37" fillId="0" borderId="30" xfId="0" applyFont="1" applyBorder="1"/>
    <xf numFmtId="0" fontId="37" fillId="0" borderId="99" xfId="0" applyFont="1" applyBorder="1"/>
    <xf numFmtId="10" fontId="3" fillId="0" borderId="52" xfId="0" applyNumberFormat="1" applyFont="1" applyBorder="1" applyAlignment="1">
      <alignment horizontal="center"/>
    </xf>
    <xf numFmtId="0" fontId="37" fillId="0" borderId="75" xfId="0" applyFont="1" applyBorder="1"/>
    <xf numFmtId="0" fontId="37" fillId="0" borderId="0" xfId="0" applyFont="1"/>
    <xf numFmtId="0" fontId="37" fillId="0" borderId="73" xfId="0" applyFont="1" applyBorder="1"/>
    <xf numFmtId="0" fontId="37" fillId="0" borderId="102" xfId="0" applyFont="1" applyBorder="1" applyAlignment="1">
      <alignment horizontal="center"/>
    </xf>
    <xf numFmtId="0" fontId="37" fillId="0" borderId="52" xfId="0" applyFont="1" applyBorder="1" applyAlignment="1">
      <alignment horizontal="center"/>
    </xf>
    <xf numFmtId="2" fontId="37" fillId="0" borderId="52" xfId="0" applyNumberFormat="1" applyFont="1" applyBorder="1" applyAlignment="1">
      <alignment horizontal="center"/>
    </xf>
    <xf numFmtId="0" fontId="3" fillId="0" borderId="102" xfId="0" applyFont="1" applyBorder="1" applyAlignment="1">
      <alignment horizontal="center"/>
    </xf>
    <xf numFmtId="0" fontId="3" fillId="0" borderId="76" xfId="0" applyFont="1" applyBorder="1"/>
    <xf numFmtId="0" fontId="3" fillId="0" borderId="30" xfId="0" applyFont="1" applyBorder="1"/>
    <xf numFmtId="0" fontId="3" fillId="0" borderId="99" xfId="0" applyFont="1" applyBorder="1"/>
    <xf numFmtId="0" fontId="37" fillId="0" borderId="73" xfId="7" applyBorder="1" applyAlignment="1">
      <alignment horizontal="center"/>
    </xf>
    <xf numFmtId="0" fontId="37" fillId="0" borderId="74" xfId="0" applyFont="1" applyBorder="1"/>
    <xf numFmtId="0" fontId="37" fillId="0" borderId="102" xfId="0" applyFont="1" applyBorder="1"/>
    <xf numFmtId="0" fontId="37" fillId="0" borderId="98" xfId="0" applyFont="1" applyBorder="1"/>
    <xf numFmtId="0" fontId="37" fillId="0" borderId="17" xfId="0" applyFont="1" applyBorder="1" applyAlignment="1">
      <alignment horizontal="center"/>
    </xf>
    <xf numFmtId="2" fontId="37" fillId="0" borderId="17" xfId="0" applyNumberFormat="1" applyFont="1" applyBorder="1" applyAlignment="1">
      <alignment horizontal="center"/>
    </xf>
    <xf numFmtId="0" fontId="21" fillId="0" borderId="3" xfId="0" applyFont="1" applyBorder="1"/>
    <xf numFmtId="0" fontId="21" fillId="0" borderId="0" xfId="0" applyFont="1"/>
    <xf numFmtId="0" fontId="20" fillId="0" borderId="75" xfId="0" applyFont="1" applyBorder="1" applyAlignment="1">
      <alignment horizontal="center"/>
    </xf>
    <xf numFmtId="168" fontId="20" fillId="0" borderId="52" xfId="0" applyNumberFormat="1" applyFont="1" applyBorder="1" applyAlignment="1">
      <alignment horizontal="center"/>
    </xf>
    <xf numFmtId="10" fontId="21" fillId="0" borderId="52" xfId="0" applyNumberFormat="1" applyFont="1" applyBorder="1" applyAlignment="1">
      <alignment horizontal="center"/>
    </xf>
    <xf numFmtId="2" fontId="20" fillId="0" borderId="52" xfId="0" applyNumberFormat="1" applyFont="1" applyBorder="1" applyAlignment="1">
      <alignment horizontal="center"/>
    </xf>
    <xf numFmtId="168" fontId="20" fillId="0" borderId="68" xfId="0" applyNumberFormat="1" applyFont="1" applyBorder="1" applyAlignment="1">
      <alignment horizontal="center"/>
    </xf>
    <xf numFmtId="0" fontId="14" fillId="0" borderId="0" xfId="0" applyFont="1"/>
    <xf numFmtId="0" fontId="20" fillId="0" borderId="5" xfId="0" applyFont="1" applyBorder="1" applyAlignment="1">
      <alignment horizontal="left"/>
    </xf>
    <xf numFmtId="0" fontId="21" fillId="0" borderId="6" xfId="0" applyFont="1" applyBorder="1"/>
    <xf numFmtId="0" fontId="20" fillId="0" borderId="89" xfId="0" applyFont="1" applyBorder="1" applyAlignment="1">
      <alignment horizontal="center"/>
    </xf>
    <xf numFmtId="168" fontId="20" fillId="0" borderId="87" xfId="0" applyNumberFormat="1" applyFont="1" applyBorder="1" applyAlignment="1">
      <alignment horizontal="center"/>
    </xf>
    <xf numFmtId="10" fontId="14" fillId="0" borderId="87" xfId="0" applyNumberFormat="1" applyFont="1" applyBorder="1" applyAlignment="1">
      <alignment horizontal="center"/>
    </xf>
    <xf numFmtId="0" fontId="0" fillId="0" borderId="0" xfId="0" applyAlignment="1">
      <alignment horizontal="center"/>
    </xf>
    <xf numFmtId="0" fontId="0" fillId="0" borderId="72" xfId="0" applyBorder="1" applyAlignment="1">
      <alignment horizontal="center"/>
    </xf>
    <xf numFmtId="0" fontId="37" fillId="0" borderId="72" xfId="7" applyBorder="1" applyAlignment="1">
      <alignment horizontal="center"/>
    </xf>
    <xf numFmtId="2" fontId="37" fillId="0" borderId="72" xfId="7" applyNumberFormat="1" applyBorder="1" applyAlignment="1">
      <alignment horizontal="center"/>
    </xf>
    <xf numFmtId="0" fontId="17" fillId="8" borderId="88" xfId="0" applyFont="1" applyFill="1" applyBorder="1"/>
    <xf numFmtId="0" fontId="17" fillId="8" borderId="51" xfId="0" applyFont="1" applyFill="1" applyBorder="1"/>
    <xf numFmtId="0" fontId="17" fillId="8" borderId="106" xfId="0" applyFont="1" applyFill="1" applyBorder="1"/>
    <xf numFmtId="0" fontId="17" fillId="8" borderId="39" xfId="0" applyFont="1" applyFill="1" applyBorder="1" applyAlignment="1">
      <alignment horizontal="center"/>
    </xf>
    <xf numFmtId="0" fontId="17" fillId="8" borderId="3" xfId="0" applyFont="1" applyFill="1" applyBorder="1" applyAlignment="1">
      <alignment horizontal="center"/>
    </xf>
    <xf numFmtId="0" fontId="17" fillId="8" borderId="5" xfId="0" applyFont="1" applyFill="1" applyBorder="1" applyAlignment="1">
      <alignment horizontal="center"/>
    </xf>
    <xf numFmtId="0" fontId="17" fillId="8" borderId="89" xfId="0" applyFont="1" applyFill="1" applyBorder="1"/>
    <xf numFmtId="0" fontId="17" fillId="8" borderId="6" xfId="0" applyFont="1" applyFill="1" applyBorder="1"/>
    <xf numFmtId="0" fontId="17" fillId="8" borderId="105" xfId="0" applyFont="1" applyFill="1" applyBorder="1"/>
    <xf numFmtId="0" fontId="17" fillId="8" borderId="6" xfId="0" applyFont="1" applyFill="1" applyBorder="1" applyAlignment="1">
      <alignment horizontal="center"/>
    </xf>
    <xf numFmtId="0" fontId="17" fillId="8" borderId="35" xfId="0" applyFont="1" applyFill="1" applyBorder="1" applyAlignment="1">
      <alignment horizontal="center"/>
    </xf>
    <xf numFmtId="0" fontId="17" fillId="8" borderId="105" xfId="0" applyFont="1" applyFill="1" applyBorder="1" applyAlignment="1">
      <alignment horizontal="center"/>
    </xf>
    <xf numFmtId="0" fontId="17" fillId="8" borderId="70" xfId="0" applyFont="1" applyFill="1" applyBorder="1" applyAlignment="1">
      <alignment horizontal="center"/>
    </xf>
    <xf numFmtId="0" fontId="21" fillId="5" borderId="0" xfId="0" applyFont="1" applyFill="1" applyAlignment="1">
      <alignment horizontal="center"/>
    </xf>
    <xf numFmtId="0" fontId="17" fillId="5" borderId="111" xfId="0" applyFont="1" applyFill="1" applyBorder="1" applyAlignment="1">
      <alignment horizontal="left"/>
    </xf>
    <xf numFmtId="0" fontId="7" fillId="5" borderId="112" xfId="0" applyFont="1" applyFill="1" applyBorder="1"/>
    <xf numFmtId="0" fontId="7" fillId="5" borderId="51" xfId="0" applyFont="1" applyFill="1" applyBorder="1"/>
    <xf numFmtId="0" fontId="36" fillId="5" borderId="112" xfId="0" applyFont="1" applyFill="1" applyBorder="1"/>
    <xf numFmtId="172" fontId="19" fillId="5" borderId="0" xfId="0" applyNumberFormat="1" applyFont="1" applyFill="1" applyAlignment="1">
      <alignment horizontal="center"/>
    </xf>
    <xf numFmtId="178" fontId="5" fillId="5" borderId="0" xfId="0" applyNumberFormat="1" applyFont="1" applyFill="1"/>
    <xf numFmtId="4" fontId="2" fillId="5" borderId="0" xfId="0" applyNumberFormat="1" applyFont="1" applyFill="1"/>
    <xf numFmtId="0" fontId="19" fillId="5" borderId="0" xfId="0" applyFont="1" applyFill="1" applyAlignment="1">
      <alignment horizontal="center"/>
    </xf>
    <xf numFmtId="0" fontId="7" fillId="5" borderId="3" xfId="0" applyFont="1" applyFill="1" applyBorder="1"/>
    <xf numFmtId="0" fontId="14" fillId="5" borderId="113" xfId="0" applyFont="1" applyFill="1" applyBorder="1"/>
    <xf numFmtId="0" fontId="14" fillId="5" borderId="53" xfId="0" applyFont="1" applyFill="1" applyBorder="1"/>
    <xf numFmtId="173" fontId="20" fillId="5" borderId="55" xfId="0" applyNumberFormat="1" applyFont="1" applyFill="1" applyBorder="1"/>
    <xf numFmtId="0" fontId="14" fillId="5" borderId="55" xfId="0" applyFont="1" applyFill="1" applyBorder="1"/>
    <xf numFmtId="2" fontId="5" fillId="5" borderId="0" xfId="0" applyNumberFormat="1" applyFont="1" applyFill="1"/>
    <xf numFmtId="0" fontId="4" fillId="10" borderId="50" xfId="0" applyFont="1" applyFill="1" applyBorder="1"/>
    <xf numFmtId="0" fontId="4" fillId="10" borderId="39" xfId="0" applyFont="1" applyFill="1" applyBorder="1"/>
    <xf numFmtId="0" fontId="4" fillId="10" borderId="39" xfId="0" applyFont="1" applyFill="1" applyBorder="1" applyAlignment="1">
      <alignment horizontal="center"/>
    </xf>
    <xf numFmtId="0" fontId="4" fillId="10" borderId="82" xfId="0" applyFont="1" applyFill="1" applyBorder="1" applyAlignment="1">
      <alignment horizontal="center"/>
    </xf>
    <xf numFmtId="0" fontId="4" fillId="10" borderId="3" xfId="0" applyFont="1" applyFill="1" applyBorder="1" applyAlignment="1">
      <alignment horizontal="center"/>
    </xf>
    <xf numFmtId="0" fontId="4" fillId="10" borderId="14" xfId="0" applyFont="1" applyFill="1" applyBorder="1" applyAlignment="1">
      <alignment horizontal="center"/>
    </xf>
    <xf numFmtId="0" fontId="4" fillId="10" borderId="0" xfId="0" applyFont="1" applyFill="1" applyAlignment="1">
      <alignment horizontal="center"/>
    </xf>
    <xf numFmtId="0" fontId="4" fillId="10" borderId="15" xfId="0" applyFont="1" applyFill="1" applyBorder="1" applyAlignment="1">
      <alignment horizontal="center"/>
    </xf>
    <xf numFmtId="0" fontId="4" fillId="10" borderId="31" xfId="0" applyFont="1" applyFill="1" applyBorder="1" applyAlignment="1">
      <alignment horizontal="center"/>
    </xf>
    <xf numFmtId="0" fontId="4" fillId="10" borderId="5" xfId="0" applyFont="1" applyFill="1" applyBorder="1"/>
    <xf numFmtId="0" fontId="4" fillId="10" borderId="35" xfId="0" applyFont="1" applyFill="1" applyBorder="1"/>
    <xf numFmtId="0" fontId="4" fillId="10" borderId="6" xfId="0" applyFont="1" applyFill="1" applyBorder="1" applyAlignment="1">
      <alignment horizontal="center"/>
    </xf>
    <xf numFmtId="0" fontId="4" fillId="10" borderId="34" xfId="0" applyFont="1" applyFill="1" applyBorder="1" applyAlignment="1">
      <alignment horizontal="center"/>
    </xf>
    <xf numFmtId="0" fontId="4" fillId="10" borderId="35" xfId="0" applyFont="1" applyFill="1" applyBorder="1" applyAlignment="1">
      <alignment horizontal="center"/>
    </xf>
    <xf numFmtId="0" fontId="4" fillId="10" borderId="37" xfId="0" applyFont="1" applyFill="1" applyBorder="1" applyAlignment="1">
      <alignment horizontal="center"/>
    </xf>
    <xf numFmtId="4" fontId="19" fillId="5" borderId="0" xfId="0" applyNumberFormat="1" applyFont="1" applyFill="1" applyAlignment="1">
      <alignment horizontal="center"/>
    </xf>
    <xf numFmtId="172" fontId="0" fillId="6" borderId="0" xfId="0" applyNumberFormat="1" applyFill="1"/>
    <xf numFmtId="192" fontId="0" fillId="6" borderId="0" xfId="0" applyNumberFormat="1" applyFill="1"/>
    <xf numFmtId="178" fontId="0" fillId="6" borderId="0" xfId="0" applyNumberFormat="1" applyFill="1"/>
    <xf numFmtId="0" fontId="6" fillId="9" borderId="50" xfId="0" applyFont="1" applyFill="1" applyBorder="1"/>
    <xf numFmtId="0" fontId="6" fillId="9" borderId="51" xfId="0" applyFont="1" applyFill="1" applyBorder="1"/>
    <xf numFmtId="0" fontId="4" fillId="9" borderId="39" xfId="0" applyFont="1" applyFill="1" applyBorder="1" applyAlignment="1">
      <alignment horizontal="center"/>
    </xf>
    <xf numFmtId="0" fontId="6" fillId="9" borderId="39" xfId="0" applyFont="1" applyFill="1" applyBorder="1" applyAlignment="1">
      <alignment horizontal="center"/>
    </xf>
    <xf numFmtId="0" fontId="4" fillId="9" borderId="82" xfId="0" applyFont="1" applyFill="1" applyBorder="1" applyAlignment="1">
      <alignment horizontal="center"/>
    </xf>
    <xf numFmtId="0" fontId="4" fillId="9" borderId="14" xfId="0" applyFont="1" applyFill="1" applyBorder="1" applyAlignment="1">
      <alignment horizontal="center"/>
    </xf>
    <xf numFmtId="0" fontId="4" fillId="9" borderId="31" xfId="0" applyFont="1" applyFill="1" applyBorder="1" applyAlignment="1">
      <alignment horizontal="center"/>
    </xf>
    <xf numFmtId="0" fontId="4" fillId="9" borderId="115" xfId="0" applyFont="1" applyFill="1" applyBorder="1" applyAlignment="1">
      <alignment horizontal="center"/>
    </xf>
    <xf numFmtId="0" fontId="4" fillId="9" borderId="116" xfId="0" applyFont="1" applyFill="1" applyBorder="1" applyAlignment="1">
      <alignment horizontal="center"/>
    </xf>
    <xf numFmtId="178" fontId="74" fillId="0" borderId="0" xfId="0" applyNumberFormat="1" applyFont="1"/>
    <xf numFmtId="4" fontId="74" fillId="0" borderId="0" xfId="0" applyNumberFormat="1" applyFont="1"/>
    <xf numFmtId="2" fontId="0" fillId="6" borderId="0" xfId="0" applyNumberFormat="1" applyFill="1"/>
    <xf numFmtId="2" fontId="45" fillId="3" borderId="0" xfId="0" applyNumberFormat="1" applyFont="1" applyFill="1"/>
    <xf numFmtId="193" fontId="5" fillId="3" borderId="0" xfId="0" applyNumberFormat="1" applyFont="1" applyFill="1"/>
    <xf numFmtId="173" fontId="0" fillId="6" borderId="0" xfId="0" applyNumberFormat="1" applyFill="1"/>
    <xf numFmtId="10" fontId="31" fillId="7" borderId="0" xfId="8" applyNumberFormat="1" applyFont="1" applyFill="1" applyAlignment="1" applyProtection="1">
      <alignment horizontal="center"/>
    </xf>
    <xf numFmtId="173" fontId="0" fillId="3" borderId="0" xfId="0" applyNumberFormat="1" applyFill="1"/>
    <xf numFmtId="168" fontId="20" fillId="0" borderId="89" xfId="0" applyNumberFormat="1" applyFont="1" applyBorder="1" applyAlignment="1">
      <alignment horizontal="center"/>
    </xf>
    <xf numFmtId="168" fontId="20" fillId="0" borderId="70" xfId="0" applyNumberFormat="1" applyFont="1" applyBorder="1" applyAlignment="1">
      <alignment horizontal="center"/>
    </xf>
    <xf numFmtId="10" fontId="55" fillId="3" borderId="0" xfId="0" applyNumberFormat="1" applyFont="1" applyFill="1"/>
    <xf numFmtId="0" fontId="5" fillId="0" borderId="51" xfId="0" applyFont="1" applyBorder="1"/>
    <xf numFmtId="0" fontId="5" fillId="0" borderId="41" xfId="0" applyFont="1" applyBorder="1"/>
    <xf numFmtId="0" fontId="5" fillId="0" borderId="0" xfId="0" applyFont="1" applyAlignment="1">
      <alignment horizontal="center"/>
    </xf>
    <xf numFmtId="0" fontId="5" fillId="0" borderId="4" xfId="0" applyFont="1" applyBorder="1"/>
    <xf numFmtId="0" fontId="8" fillId="0" borderId="0" xfId="0" applyFont="1" applyAlignment="1">
      <alignment horizontal="center"/>
    </xf>
    <xf numFmtId="49" fontId="21" fillId="0" borderId="0" xfId="0" applyNumberFormat="1" applyFont="1"/>
    <xf numFmtId="0" fontId="2" fillId="0" borderId="72" xfId="0" applyFont="1" applyBorder="1" applyAlignment="1">
      <alignment horizontal="center"/>
    </xf>
    <xf numFmtId="0" fontId="7" fillId="2" borderId="0" xfId="0" applyFont="1" applyFill="1" applyAlignment="1">
      <alignment horizontal="right"/>
    </xf>
    <xf numFmtId="0" fontId="30" fillId="2" borderId="0" xfId="0" applyFont="1" applyFill="1"/>
    <xf numFmtId="166" fontId="5" fillId="3" borderId="0" xfId="1" applyFont="1" applyFill="1" applyProtection="1"/>
    <xf numFmtId="166" fontId="0" fillId="3" borderId="0" xfId="1" applyFont="1" applyFill="1" applyProtection="1"/>
    <xf numFmtId="194" fontId="5" fillId="3" borderId="0" xfId="0" applyNumberFormat="1" applyFont="1" applyFill="1"/>
    <xf numFmtId="195" fontId="74" fillId="3" borderId="0" xfId="0" applyNumberFormat="1" applyFont="1" applyFill="1" applyAlignment="1">
      <alignment horizontal="center"/>
    </xf>
    <xf numFmtId="0" fontId="6" fillId="6" borderId="85" xfId="0" applyFont="1" applyFill="1" applyBorder="1" applyAlignment="1">
      <alignment vertical="center"/>
    </xf>
    <xf numFmtId="4" fontId="29" fillId="6" borderId="51" xfId="0" applyNumberFormat="1" applyFont="1" applyFill="1" applyBorder="1" applyAlignment="1">
      <alignment horizontal="center"/>
    </xf>
    <xf numFmtId="4" fontId="29" fillId="6" borderId="50" xfId="0" applyNumberFormat="1" applyFont="1" applyFill="1" applyBorder="1" applyAlignment="1">
      <alignment horizontal="center"/>
    </xf>
    <xf numFmtId="4" fontId="29" fillId="6" borderId="41" xfId="0" applyNumberFormat="1" applyFont="1" applyFill="1" applyBorder="1" applyAlignment="1">
      <alignment horizontal="center"/>
    </xf>
    <xf numFmtId="4" fontId="29" fillId="6" borderId="0" xfId="0" applyNumberFormat="1" applyFont="1" applyFill="1" applyAlignment="1">
      <alignment horizontal="center"/>
    </xf>
    <xf numFmtId="4" fontId="29" fillId="6" borderId="3" xfId="0" applyNumberFormat="1" applyFont="1" applyFill="1" applyBorder="1" applyAlignment="1">
      <alignment horizontal="center"/>
    </xf>
    <xf numFmtId="4" fontId="29" fillId="6" borderId="4" xfId="0" applyNumberFormat="1" applyFont="1" applyFill="1" applyBorder="1" applyAlignment="1">
      <alignment horizontal="center"/>
    </xf>
    <xf numFmtId="4" fontId="29" fillId="5" borderId="4" xfId="0" applyNumberFormat="1" applyFont="1" applyFill="1" applyBorder="1" applyAlignment="1">
      <alignment horizontal="center"/>
    </xf>
    <xf numFmtId="4" fontId="29" fillId="5" borderId="3" xfId="0" applyNumberFormat="1" applyFont="1" applyFill="1" applyBorder="1" applyAlignment="1">
      <alignment horizontal="center"/>
    </xf>
    <xf numFmtId="4" fontId="29" fillId="6" borderId="6" xfId="0" applyNumberFormat="1" applyFont="1" applyFill="1" applyBorder="1" applyAlignment="1">
      <alignment horizontal="center"/>
    </xf>
    <xf numFmtId="0" fontId="53" fillId="4" borderId="122" xfId="0" applyFont="1" applyFill="1" applyBorder="1" applyAlignment="1">
      <alignment horizontal="center"/>
    </xf>
    <xf numFmtId="0" fontId="43" fillId="4" borderId="70" xfId="0" applyFont="1" applyFill="1" applyBorder="1" applyAlignment="1">
      <alignment vertical="center"/>
    </xf>
    <xf numFmtId="0" fontId="43" fillId="4" borderId="123" xfId="0" applyFont="1" applyFill="1" applyBorder="1" applyAlignment="1">
      <alignment horizontal="center"/>
    </xf>
    <xf numFmtId="173" fontId="20" fillId="3" borderId="0" xfId="0" applyNumberFormat="1" applyFont="1" applyFill="1" applyAlignment="1">
      <alignment horizontal="center" vertical="center"/>
    </xf>
    <xf numFmtId="10" fontId="5" fillId="3" borderId="0" xfId="8" applyNumberFormat="1" applyFont="1" applyFill="1" applyProtection="1"/>
    <xf numFmtId="0" fontId="6" fillId="2" borderId="0" xfId="0" applyFont="1" applyFill="1" applyAlignment="1">
      <alignment horizontal="center"/>
    </xf>
    <xf numFmtId="0" fontId="49" fillId="3" borderId="0" xfId="0" applyFont="1" applyFill="1" applyAlignment="1">
      <alignment horizontal="center"/>
    </xf>
    <xf numFmtId="0" fontId="84" fillId="3" borderId="0" xfId="0" applyFont="1" applyFill="1"/>
    <xf numFmtId="4" fontId="85" fillId="0" borderId="0" xfId="0" applyNumberFormat="1" applyFont="1"/>
    <xf numFmtId="178" fontId="85" fillId="0" borderId="0" xfId="0" applyNumberFormat="1" applyFont="1"/>
    <xf numFmtId="0" fontId="85" fillId="3" borderId="0" xfId="0" applyFont="1" applyFill="1"/>
    <xf numFmtId="4" fontId="29" fillId="6" borderId="86" xfId="0" applyNumberFormat="1" applyFont="1" applyFill="1" applyBorder="1" applyAlignment="1">
      <alignment horizontal="center"/>
    </xf>
    <xf numFmtId="0" fontId="6" fillId="6" borderId="85" xfId="0" applyFont="1" applyFill="1" applyBorder="1" applyAlignment="1">
      <alignment horizontal="left" vertical="center"/>
    </xf>
    <xf numFmtId="0" fontId="43" fillId="3" borderId="0" xfId="0" applyFont="1" applyFill="1" applyAlignment="1">
      <alignment horizontal="left"/>
    </xf>
    <xf numFmtId="4" fontId="74" fillId="6" borderId="0" xfId="0" applyNumberFormat="1" applyFont="1" applyFill="1"/>
    <xf numFmtId="0" fontId="84" fillId="6" borderId="0" xfId="0" applyFont="1" applyFill="1"/>
    <xf numFmtId="4" fontId="84" fillId="6" borderId="0" xfId="0" applyNumberFormat="1" applyFont="1" applyFill="1"/>
    <xf numFmtId="166" fontId="74" fillId="0" borderId="0" xfId="1" applyFont="1" applyFill="1" applyBorder="1" applyAlignment="1">
      <alignment horizontal="center"/>
    </xf>
    <xf numFmtId="166" fontId="74" fillId="0" borderId="0" xfId="1" applyFont="1" applyFill="1" applyAlignment="1">
      <alignment horizontal="center"/>
    </xf>
    <xf numFmtId="10" fontId="50" fillId="3" borderId="0" xfId="8" applyNumberFormat="1" applyFont="1" applyFill="1" applyBorder="1" applyAlignment="1"/>
    <xf numFmtId="0" fontId="87" fillId="3" borderId="0" xfId="0" applyFont="1" applyFill="1" applyAlignment="1">
      <alignment horizontal="center"/>
    </xf>
    <xf numFmtId="49" fontId="87" fillId="3" borderId="0" xfId="0" applyNumberFormat="1" applyFont="1" applyFill="1" applyAlignment="1">
      <alignment horizontal="left"/>
    </xf>
    <xf numFmtId="4" fontId="87" fillId="3" borderId="0" xfId="0" applyNumberFormat="1" applyFont="1" applyFill="1" applyAlignment="1">
      <alignment horizontal="left"/>
    </xf>
    <xf numFmtId="0" fontId="88" fillId="4" borderId="77" xfId="0" applyFont="1" applyFill="1" applyBorder="1" applyAlignment="1">
      <alignment horizontal="center"/>
    </xf>
    <xf numFmtId="0" fontId="89" fillId="6" borderId="86" xfId="0" applyFont="1" applyFill="1" applyBorder="1" applyAlignment="1">
      <alignment horizontal="center"/>
    </xf>
    <xf numFmtId="4" fontId="89" fillId="6" borderId="51" xfId="0" applyNumberFormat="1" applyFont="1" applyFill="1" applyBorder="1" applyAlignment="1">
      <alignment horizontal="center"/>
    </xf>
    <xf numFmtId="4" fontId="89" fillId="6" borderId="0" xfId="0" applyNumberFormat="1" applyFont="1" applyFill="1" applyAlignment="1">
      <alignment horizontal="center"/>
    </xf>
    <xf numFmtId="4" fontId="89" fillId="6" borderId="6" xfId="0" applyNumberFormat="1" applyFont="1" applyFill="1" applyBorder="1" applyAlignment="1">
      <alignment horizontal="center"/>
    </xf>
    <xf numFmtId="166" fontId="87" fillId="0" borderId="0" xfId="1" applyFont="1" applyFill="1" applyBorder="1" applyAlignment="1">
      <alignment horizontal="center"/>
    </xf>
    <xf numFmtId="166" fontId="89" fillId="0" borderId="81" xfId="1" applyFont="1" applyFill="1" applyBorder="1" applyAlignment="1">
      <alignment horizontal="center"/>
    </xf>
    <xf numFmtId="166" fontId="87" fillId="0" borderId="0" xfId="1" applyFont="1" applyFill="1" applyAlignment="1">
      <alignment horizontal="center"/>
    </xf>
    <xf numFmtId="0" fontId="5" fillId="6" borderId="0" xfId="0" applyFont="1" applyFill="1"/>
    <xf numFmtId="4" fontId="5" fillId="6" borderId="0" xfId="0" applyNumberFormat="1" applyFont="1" applyFill="1"/>
    <xf numFmtId="0" fontId="3" fillId="6" borderId="0" xfId="0" applyFont="1" applyFill="1"/>
    <xf numFmtId="0" fontId="2" fillId="0" borderId="75" xfId="7" applyFont="1" applyBorder="1"/>
    <xf numFmtId="39" fontId="2" fillId="0" borderId="75" xfId="0" applyNumberFormat="1" applyFont="1" applyBorder="1"/>
    <xf numFmtId="39" fontId="2" fillId="0" borderId="75" xfId="0" applyNumberFormat="1" applyFont="1" applyBorder="1" applyAlignment="1">
      <alignment horizontal="left"/>
    </xf>
    <xf numFmtId="0" fontId="2" fillId="0" borderId="75" xfId="0" applyFont="1" applyBorder="1" applyAlignment="1">
      <alignment horizontal="left"/>
    </xf>
    <xf numFmtId="0" fontId="2" fillId="0" borderId="0" xfId="0" applyFont="1" applyAlignment="1">
      <alignment horizontal="left"/>
    </xf>
    <xf numFmtId="180" fontId="37" fillId="0" borderId="52" xfId="8" applyNumberFormat="1" applyFont="1" applyFill="1" applyBorder="1" applyAlignment="1">
      <alignment horizontal="center"/>
    </xf>
    <xf numFmtId="2" fontId="37" fillId="0" borderId="52" xfId="8" applyNumberFormat="1" applyFont="1" applyFill="1" applyBorder="1" applyAlignment="1">
      <alignment horizontal="center"/>
    </xf>
    <xf numFmtId="0" fontId="79" fillId="7" borderId="0" xfId="0" applyFont="1" applyFill="1" applyAlignment="1">
      <alignment horizontal="center"/>
    </xf>
    <xf numFmtId="4" fontId="39" fillId="3" borderId="66" xfId="6" applyNumberFormat="1" applyFont="1" applyFill="1" applyBorder="1" applyAlignment="1">
      <alignment horizontal="center" vertical="center"/>
    </xf>
    <xf numFmtId="4" fontId="14" fillId="2" borderId="0" xfId="0" applyNumberFormat="1" applyFont="1" applyFill="1" applyAlignment="1">
      <alignment horizontal="center"/>
    </xf>
    <xf numFmtId="4" fontId="3" fillId="2" borderId="0" xfId="0" applyNumberFormat="1" applyFont="1" applyFill="1" applyAlignment="1">
      <alignment horizontal="center"/>
    </xf>
    <xf numFmtId="4" fontId="31" fillId="2" borderId="0" xfId="0" applyNumberFormat="1" applyFont="1" applyFill="1" applyAlignment="1">
      <alignment horizontal="center"/>
    </xf>
    <xf numFmtId="4" fontId="41" fillId="3" borderId="72" xfId="0" applyNumberFormat="1" applyFont="1" applyFill="1" applyBorder="1" applyAlignment="1">
      <alignment horizontal="center"/>
    </xf>
    <xf numFmtId="0" fontId="29" fillId="0" borderId="0" xfId="0" applyFont="1"/>
    <xf numFmtId="4" fontId="6" fillId="2" borderId="0" xfId="0" applyNumberFormat="1" applyFont="1" applyFill="1" applyAlignment="1">
      <alignment horizontal="left"/>
    </xf>
    <xf numFmtId="0" fontId="32" fillId="3" borderId="0" xfId="0" applyFont="1" applyFill="1" applyAlignment="1">
      <alignment horizontal="center"/>
    </xf>
    <xf numFmtId="0" fontId="70" fillId="6" borderId="0" xfId="0" applyFont="1" applyFill="1"/>
    <xf numFmtId="0" fontId="70" fillId="6" borderId="6" xfId="0" applyFont="1" applyFill="1" applyBorder="1"/>
    <xf numFmtId="49" fontId="29" fillId="6" borderId="85" xfId="0" applyNumberFormat="1" applyFont="1" applyFill="1" applyBorder="1" applyAlignment="1">
      <alignment horizontal="right"/>
    </xf>
    <xf numFmtId="0" fontId="29" fillId="6" borderId="83" xfId="0" applyFont="1" applyFill="1" applyBorder="1"/>
    <xf numFmtId="0" fontId="29" fillId="6" borderId="84" xfId="0" applyFont="1" applyFill="1" applyBorder="1"/>
    <xf numFmtId="4" fontId="29" fillId="6" borderId="51" xfId="0" applyNumberFormat="1" applyFont="1" applyFill="1" applyBorder="1"/>
    <xf numFmtId="0" fontId="29" fillId="6" borderId="3" xfId="0" applyFont="1" applyFill="1" applyBorder="1" applyAlignment="1">
      <alignment horizontal="center"/>
    </xf>
    <xf numFmtId="4" fontId="70" fillId="6" borderId="4" xfId="0" applyNumberFormat="1" applyFont="1" applyFill="1" applyBorder="1" applyAlignment="1">
      <alignment horizontal="center"/>
    </xf>
    <xf numFmtId="4" fontId="70" fillId="6" borderId="0" xfId="0" applyNumberFormat="1" applyFont="1" applyFill="1" applyAlignment="1">
      <alignment horizontal="center"/>
    </xf>
    <xf numFmtId="0" fontId="29" fillId="6" borderId="5" xfId="0" applyFont="1" applyFill="1" applyBorder="1" applyAlignment="1">
      <alignment horizontal="center"/>
    </xf>
    <xf numFmtId="4" fontId="29" fillId="6" borderId="4" xfId="1" applyNumberFormat="1" applyFont="1" applyFill="1" applyBorder="1" applyAlignment="1">
      <alignment horizontal="center"/>
    </xf>
    <xf numFmtId="166" fontId="89" fillId="6" borderId="41" xfId="1" applyFont="1" applyFill="1" applyBorder="1" applyAlignment="1">
      <alignment horizontal="center"/>
    </xf>
    <xf numFmtId="4" fontId="90" fillId="6" borderId="4" xfId="0" applyNumberFormat="1" applyFont="1" applyFill="1" applyBorder="1" applyAlignment="1">
      <alignment horizontal="center"/>
    </xf>
    <xf numFmtId="166" fontId="89" fillId="6" borderId="4" xfId="1" applyFont="1" applyFill="1" applyBorder="1" applyAlignment="1">
      <alignment horizontal="center"/>
    </xf>
    <xf numFmtId="196" fontId="89" fillId="6" borderId="4" xfId="1" applyNumberFormat="1" applyFont="1" applyFill="1" applyBorder="1" applyAlignment="1">
      <alignment horizontal="center"/>
    </xf>
    <xf numFmtId="166" fontId="90" fillId="6" borderId="4" xfId="1" applyFont="1" applyFill="1" applyBorder="1" applyAlignment="1">
      <alignment horizontal="center"/>
    </xf>
    <xf numFmtId="166" fontId="90" fillId="6" borderId="7" xfId="1" applyFont="1" applyFill="1" applyBorder="1" applyAlignment="1">
      <alignment horizontal="center"/>
    </xf>
    <xf numFmtId="0" fontId="90" fillId="6" borderId="73" xfId="0" applyFont="1" applyFill="1" applyBorder="1" applyAlignment="1">
      <alignment horizontal="center"/>
    </xf>
    <xf numFmtId="4" fontId="90" fillId="6" borderId="68" xfId="0" applyNumberFormat="1" applyFont="1" applyFill="1" applyBorder="1" applyAlignment="1">
      <alignment horizontal="center"/>
    </xf>
    <xf numFmtId="0" fontId="90" fillId="6" borderId="67" xfId="0" applyFont="1" applyFill="1" applyBorder="1" applyAlignment="1">
      <alignment horizontal="center"/>
    </xf>
    <xf numFmtId="4" fontId="90" fillId="6" borderId="52" xfId="0" applyNumberFormat="1" applyFont="1" applyFill="1" applyBorder="1" applyAlignment="1">
      <alignment horizontal="center"/>
    </xf>
    <xf numFmtId="4" fontId="89" fillId="6" borderId="67" xfId="0" applyNumberFormat="1" applyFont="1" applyFill="1" applyBorder="1" applyAlignment="1">
      <alignment horizontal="center"/>
    </xf>
    <xf numFmtId="4" fontId="89" fillId="6" borderId="73" xfId="0" applyNumberFormat="1" applyFont="1" applyFill="1" applyBorder="1" applyAlignment="1">
      <alignment horizontal="center"/>
    </xf>
    <xf numFmtId="4" fontId="89" fillId="6" borderId="68" xfId="0" applyNumberFormat="1" applyFont="1" applyFill="1" applyBorder="1" applyAlignment="1">
      <alignment horizontal="center"/>
    </xf>
    <xf numFmtId="4" fontId="89" fillId="6" borderId="52" xfId="0" applyNumberFormat="1" applyFont="1" applyFill="1" applyBorder="1" applyAlignment="1">
      <alignment horizontal="center"/>
    </xf>
    <xf numFmtId="4" fontId="89" fillId="6" borderId="126" xfId="0" applyNumberFormat="1" applyFont="1" applyFill="1" applyBorder="1" applyAlignment="1" applyProtection="1">
      <alignment horizontal="center" vertical="center"/>
      <protection locked="0"/>
    </xf>
    <xf numFmtId="0" fontId="80" fillId="6" borderId="83" xfId="0" applyFont="1" applyFill="1" applyBorder="1" applyAlignment="1" applyProtection="1">
      <alignment vertical="center"/>
      <protection locked="0"/>
    </xf>
    <xf numFmtId="4" fontId="29" fillId="6" borderId="73" xfId="0" applyNumberFormat="1" applyFont="1" applyFill="1" applyBorder="1" applyAlignment="1">
      <alignment horizontal="center"/>
    </xf>
    <xf numFmtId="0" fontId="81" fillId="6" borderId="83" xfId="0" applyFont="1" applyFill="1" applyBorder="1" applyAlignment="1" applyProtection="1">
      <alignment vertical="center"/>
      <protection locked="0"/>
    </xf>
    <xf numFmtId="4" fontId="86" fillId="6" borderId="126" xfId="0" applyNumberFormat="1" applyFont="1" applyFill="1" applyBorder="1" applyAlignment="1" applyProtection="1">
      <alignment horizontal="center" vertical="center"/>
      <protection locked="0"/>
    </xf>
    <xf numFmtId="4" fontId="89" fillId="6" borderId="127" xfId="0" applyNumberFormat="1" applyFont="1" applyFill="1" applyBorder="1" applyAlignment="1" applyProtection="1">
      <alignment horizontal="center" vertical="center"/>
      <protection locked="0"/>
    </xf>
    <xf numFmtId="0" fontId="83" fillId="6" borderId="83" xfId="0" applyFont="1" applyFill="1" applyBorder="1" applyAlignment="1" applyProtection="1">
      <alignment vertical="center"/>
      <protection locked="0"/>
    </xf>
    <xf numFmtId="0" fontId="29" fillId="6" borderId="83" xfId="0" applyFont="1" applyFill="1" applyBorder="1" applyAlignment="1" applyProtection="1">
      <alignment vertical="center"/>
      <protection locked="0"/>
    </xf>
    <xf numFmtId="4" fontId="89" fillId="6" borderId="128" xfId="0" applyNumberFormat="1" applyFont="1" applyFill="1" applyBorder="1" applyAlignment="1" applyProtection="1">
      <alignment horizontal="center" vertical="center"/>
      <protection locked="0"/>
    </xf>
    <xf numFmtId="4" fontId="86" fillId="6" borderId="128" xfId="0" applyNumberFormat="1" applyFont="1" applyFill="1" applyBorder="1" applyAlignment="1" applyProtection="1">
      <alignment horizontal="center" vertical="center"/>
      <protection locked="0"/>
    </xf>
    <xf numFmtId="4" fontId="89" fillId="6" borderId="129" xfId="0" applyNumberFormat="1" applyFont="1" applyFill="1" applyBorder="1" applyAlignment="1" applyProtection="1">
      <alignment horizontal="center" vertical="center"/>
      <protection locked="0"/>
    </xf>
    <xf numFmtId="166" fontId="88" fillId="12" borderId="78" xfId="1" applyFont="1" applyFill="1" applyBorder="1" applyAlignment="1">
      <alignment horizontal="center"/>
    </xf>
    <xf numFmtId="4" fontId="29" fillId="6" borderId="68" xfId="0" applyNumberFormat="1" applyFont="1" applyFill="1" applyBorder="1" applyAlignment="1">
      <alignment horizontal="center"/>
    </xf>
    <xf numFmtId="0" fontId="4" fillId="6" borderId="106" xfId="0" applyFont="1" applyFill="1" applyBorder="1" applyAlignment="1">
      <alignment horizontal="center"/>
    </xf>
    <xf numFmtId="4" fontId="4" fillId="6" borderId="81" xfId="0" applyNumberFormat="1" applyFont="1" applyFill="1" applyBorder="1" applyAlignment="1">
      <alignment horizontal="center"/>
    </xf>
    <xf numFmtId="0" fontId="4" fillId="6" borderId="80" xfId="0" applyFont="1" applyFill="1" applyBorder="1" applyAlignment="1">
      <alignment horizontal="center"/>
    </xf>
    <xf numFmtId="4" fontId="4" fillId="6" borderId="86" xfId="0" applyNumberFormat="1" applyFont="1" applyFill="1" applyBorder="1" applyAlignment="1">
      <alignment horizontal="center"/>
    </xf>
    <xf numFmtId="4" fontId="70" fillId="6" borderId="3" xfId="0" applyNumberFormat="1" applyFont="1" applyFill="1" applyBorder="1" applyAlignment="1">
      <alignment horizontal="center"/>
    </xf>
    <xf numFmtId="4" fontId="70" fillId="6" borderId="4" xfId="1" applyNumberFormat="1" applyFont="1" applyFill="1" applyBorder="1" applyAlignment="1">
      <alignment horizontal="center"/>
    </xf>
    <xf numFmtId="166" fontId="70" fillId="6" borderId="0" xfId="1" applyFont="1" applyFill="1" applyBorder="1" applyAlignment="1">
      <alignment horizontal="center"/>
    </xf>
    <xf numFmtId="4" fontId="70" fillId="6" borderId="5" xfId="0" applyNumberFormat="1" applyFont="1" applyFill="1" applyBorder="1" applyAlignment="1">
      <alignment horizontal="center"/>
    </xf>
    <xf numFmtId="4" fontId="70" fillId="5" borderId="7" xfId="0" applyNumberFormat="1" applyFont="1" applyFill="1" applyBorder="1" applyAlignment="1">
      <alignment horizontal="center"/>
    </xf>
    <xf numFmtId="4" fontId="70" fillId="5" borderId="5" xfId="0" applyNumberFormat="1" applyFont="1" applyFill="1" applyBorder="1" applyAlignment="1">
      <alignment horizontal="center"/>
    </xf>
    <xf numFmtId="4" fontId="29" fillId="6" borderId="67" xfId="0" applyNumberFormat="1" applyFont="1" applyFill="1" applyBorder="1" applyAlignment="1">
      <alignment horizontal="center"/>
    </xf>
    <xf numFmtId="4" fontId="29" fillId="6" borderId="52" xfId="0" applyNumberFormat="1" applyFont="1" applyFill="1" applyBorder="1" applyAlignment="1">
      <alignment horizontal="center"/>
    </xf>
    <xf numFmtId="0" fontId="29" fillId="6" borderId="80" xfId="0" applyFont="1" applyFill="1" applyBorder="1" applyAlignment="1">
      <alignment horizontal="center"/>
    </xf>
    <xf numFmtId="166" fontId="89" fillId="6" borderId="81" xfId="1" applyFont="1" applyFill="1" applyBorder="1" applyAlignment="1">
      <alignment horizontal="center"/>
    </xf>
    <xf numFmtId="4" fontId="29" fillId="6" borderId="0" xfId="1" applyNumberFormat="1" applyFont="1" applyFill="1" applyBorder="1" applyAlignment="1">
      <alignment horizontal="center"/>
    </xf>
    <xf numFmtId="4" fontId="70" fillId="6" borderId="0" xfId="1" applyNumberFormat="1" applyFont="1" applyFill="1" applyBorder="1" applyAlignment="1">
      <alignment horizontal="center"/>
    </xf>
    <xf numFmtId="4" fontId="70" fillId="6" borderId="6" xfId="1" applyNumberFormat="1" applyFont="1" applyFill="1" applyBorder="1" applyAlignment="1">
      <alignment horizontal="center"/>
    </xf>
    <xf numFmtId="4" fontId="89" fillId="6" borderId="41" xfId="1" applyNumberFormat="1" applyFont="1" applyFill="1" applyBorder="1" applyAlignment="1">
      <alignment horizontal="center"/>
    </xf>
    <xf numFmtId="0" fontId="89" fillId="7" borderId="72" xfId="0" applyFont="1" applyFill="1" applyBorder="1" applyAlignment="1">
      <alignment horizontal="center"/>
    </xf>
    <xf numFmtId="0" fontId="7" fillId="5" borderId="0" xfId="0" applyFont="1" applyFill="1" applyAlignment="1">
      <alignment horizontal="left"/>
    </xf>
    <xf numFmtId="4" fontId="7" fillId="5" borderId="0" xfId="0" applyNumberFormat="1" applyFont="1" applyFill="1"/>
    <xf numFmtId="4" fontId="70" fillId="6" borderId="7" xfId="1" applyNumberFormat="1" applyFont="1" applyFill="1" applyBorder="1" applyAlignment="1">
      <alignment horizontal="center"/>
    </xf>
    <xf numFmtId="0" fontId="13" fillId="2" borderId="0" xfId="0" applyFont="1" applyFill="1"/>
    <xf numFmtId="10" fontId="7" fillId="3" borderId="95" xfId="0" applyNumberFormat="1" applyFont="1" applyFill="1" applyBorder="1" applyAlignment="1">
      <alignment horizontal="center"/>
    </xf>
    <xf numFmtId="0" fontId="17" fillId="8" borderId="0" xfId="0" applyFont="1" applyFill="1" applyAlignment="1">
      <alignment horizontal="center"/>
    </xf>
    <xf numFmtId="0" fontId="17" fillId="8" borderId="75" xfId="0" applyFont="1" applyFill="1" applyBorder="1" applyAlignment="1">
      <alignment horizontal="center"/>
    </xf>
    <xf numFmtId="4" fontId="87" fillId="3" borderId="0" xfId="0" applyNumberFormat="1" applyFont="1" applyFill="1" applyAlignment="1">
      <alignment horizontal="center"/>
    </xf>
    <xf numFmtId="4" fontId="53" fillId="4" borderId="78" xfId="0" applyNumberFormat="1" applyFont="1" applyFill="1" applyBorder="1" applyAlignment="1">
      <alignment horizontal="center"/>
    </xf>
    <xf numFmtId="0" fontId="43" fillId="8" borderId="85" xfId="0" applyFont="1" applyFill="1" applyBorder="1" applyAlignment="1">
      <alignment horizontal="center" vertical="center" wrapText="1"/>
    </xf>
    <xf numFmtId="17" fontId="17" fillId="8" borderId="89" xfId="0" applyNumberFormat="1" applyFont="1" applyFill="1" applyBorder="1" applyAlignment="1">
      <alignment horizontal="center"/>
    </xf>
    <xf numFmtId="173" fontId="20" fillId="5" borderId="55" xfId="0" applyNumberFormat="1" applyFont="1" applyFill="1" applyBorder="1" applyAlignment="1">
      <alignment horizontal="center"/>
    </xf>
    <xf numFmtId="0" fontId="53" fillId="3" borderId="0" xfId="0" applyFont="1" applyFill="1"/>
    <xf numFmtId="0" fontId="5" fillId="5" borderId="0" xfId="0" applyFont="1" applyFill="1" applyAlignment="1">
      <alignment horizontal="center"/>
    </xf>
    <xf numFmtId="17" fontId="7" fillId="6" borderId="25" xfId="0" applyNumberFormat="1" applyFont="1" applyFill="1" applyBorder="1" applyAlignment="1">
      <alignment horizontal="center"/>
    </xf>
    <xf numFmtId="191" fontId="77" fillId="0" borderId="8" xfId="0" applyNumberFormat="1" applyFont="1" applyBorder="1" applyAlignment="1">
      <alignment vertical="center"/>
    </xf>
    <xf numFmtId="172" fontId="2" fillId="6" borderId="14" xfId="0" applyNumberFormat="1" applyFont="1" applyFill="1" applyBorder="1" applyAlignment="1">
      <alignment horizontal="center"/>
    </xf>
    <xf numFmtId="2" fontId="2" fillId="6" borderId="14" xfId="0" applyNumberFormat="1" applyFont="1" applyFill="1" applyBorder="1" applyAlignment="1">
      <alignment horizontal="center"/>
    </xf>
    <xf numFmtId="0" fontId="92" fillId="0" borderId="0" xfId="0" applyFont="1"/>
    <xf numFmtId="0" fontId="37" fillId="0" borderId="0" xfId="7" quotePrefix="1" applyAlignment="1">
      <alignment horizontal="center"/>
    </xf>
    <xf numFmtId="180" fontId="37" fillId="0" borderId="73" xfId="8" applyNumberFormat="1" applyFont="1" applyFill="1" applyBorder="1" applyAlignment="1">
      <alignment horizontal="center"/>
    </xf>
    <xf numFmtId="10" fontId="3" fillId="0" borderId="98" xfId="0" applyNumberFormat="1" applyFont="1" applyBorder="1" applyAlignment="1">
      <alignment horizontal="center"/>
    </xf>
    <xf numFmtId="0" fontId="2" fillId="6" borderId="0" xfId="0" applyFont="1" applyFill="1"/>
    <xf numFmtId="0" fontId="69" fillId="6" borderId="0" xfId="0" applyFont="1" applyFill="1"/>
    <xf numFmtId="49" fontId="69" fillId="6" borderId="0" xfId="0" applyNumberFormat="1" applyFont="1" applyFill="1"/>
    <xf numFmtId="0" fontId="34" fillId="6" borderId="0" xfId="0" applyFont="1" applyFill="1"/>
    <xf numFmtId="0" fontId="69" fillId="6" borderId="0" xfId="0" applyFont="1" applyFill="1" applyAlignment="1">
      <alignment horizontal="left"/>
    </xf>
    <xf numFmtId="197" fontId="2" fillId="6" borderId="0" xfId="0" applyNumberFormat="1" applyFont="1" applyFill="1"/>
    <xf numFmtId="0" fontId="70" fillId="6" borderId="39" xfId="0" applyFont="1" applyFill="1" applyBorder="1" applyAlignment="1">
      <alignment horizontal="center"/>
    </xf>
    <xf numFmtId="0" fontId="70" fillId="6" borderId="3" xfId="0" applyFont="1" applyFill="1" applyBorder="1" applyAlignment="1">
      <alignment horizontal="center"/>
    </xf>
    <xf numFmtId="0" fontId="70" fillId="6" borderId="15" xfId="0" applyFont="1" applyFill="1" applyBorder="1" applyAlignment="1">
      <alignment horizontal="center"/>
    </xf>
    <xf numFmtId="0" fontId="70" fillId="6" borderId="14" xfId="0" applyFont="1" applyFill="1" applyBorder="1" applyAlignment="1">
      <alignment horizontal="center"/>
    </xf>
    <xf numFmtId="0" fontId="70" fillId="6" borderId="15" xfId="0" applyFont="1" applyFill="1" applyBorder="1"/>
    <xf numFmtId="0" fontId="70" fillId="6" borderId="5" xfId="0" applyFont="1" applyFill="1" applyBorder="1" applyAlignment="1">
      <alignment horizontal="center"/>
    </xf>
    <xf numFmtId="0" fontId="70" fillId="6" borderId="34" xfId="0" applyFont="1" applyFill="1" applyBorder="1" applyAlignment="1">
      <alignment horizontal="center"/>
    </xf>
    <xf numFmtId="0" fontId="70" fillId="6" borderId="35" xfId="0" applyFont="1" applyFill="1" applyBorder="1" applyAlignment="1">
      <alignment horizontal="center"/>
    </xf>
    <xf numFmtId="0" fontId="70" fillId="6" borderId="19" xfId="0" applyFont="1" applyFill="1" applyBorder="1" applyAlignment="1">
      <alignment horizontal="center"/>
    </xf>
    <xf numFmtId="39" fontId="96" fillId="6" borderId="60" xfId="0" applyNumberFormat="1" applyFont="1" applyFill="1" applyBorder="1"/>
    <xf numFmtId="0" fontId="34" fillId="6" borderId="2" xfId="0" applyFont="1" applyFill="1" applyBorder="1"/>
    <xf numFmtId="0" fontId="34" fillId="6" borderId="2" xfId="0" applyFont="1" applyFill="1" applyBorder="1" applyAlignment="1">
      <alignment horizontal="center"/>
    </xf>
    <xf numFmtId="0" fontId="34" fillId="6" borderId="57" xfId="0" applyFont="1" applyFill="1" applyBorder="1" applyAlignment="1">
      <alignment horizontal="center"/>
    </xf>
    <xf numFmtId="0" fontId="34" fillId="6" borderId="25" xfId="0" applyFont="1" applyFill="1" applyBorder="1" applyAlignment="1">
      <alignment horizontal="center"/>
    </xf>
    <xf numFmtId="10" fontId="34" fillId="6" borderId="25" xfId="0" applyNumberFormat="1" applyFont="1" applyFill="1" applyBorder="1" applyAlignment="1">
      <alignment horizontal="center"/>
    </xf>
    <xf numFmtId="17" fontId="34" fillId="6" borderId="25" xfId="0" applyNumberFormat="1" applyFont="1" applyFill="1" applyBorder="1" applyAlignment="1">
      <alignment horizontal="center"/>
    </xf>
    <xf numFmtId="0" fontId="34" fillId="6" borderId="74" xfId="0" applyFont="1" applyFill="1" applyBorder="1"/>
    <xf numFmtId="0" fontId="34" fillId="6" borderId="17" xfId="0" applyFont="1" applyFill="1" applyBorder="1"/>
    <xf numFmtId="0" fontId="34" fillId="6" borderId="102" xfId="0" applyFont="1" applyFill="1" applyBorder="1"/>
    <xf numFmtId="0" fontId="96" fillId="6" borderId="3" xfId="0" applyFont="1" applyFill="1" applyBorder="1" applyAlignment="1">
      <alignment horizontal="center"/>
    </xf>
    <xf numFmtId="169" fontId="96" fillId="6" borderId="22" xfId="0" applyNumberFormat="1" applyFont="1" applyFill="1" applyBorder="1" applyAlignment="1">
      <alignment horizontal="center"/>
    </xf>
    <xf numFmtId="4" fontId="34" fillId="6" borderId="22" xfId="0" applyNumberFormat="1" applyFont="1" applyFill="1" applyBorder="1" applyAlignment="1">
      <alignment horizontal="center"/>
    </xf>
    <xf numFmtId="0" fontId="34" fillId="6" borderId="22" xfId="0" applyFont="1" applyFill="1" applyBorder="1" applyAlignment="1">
      <alignment horizontal="center"/>
    </xf>
    <xf numFmtId="0" fontId="34" fillId="6" borderId="0" xfId="0" applyFont="1" applyFill="1" applyAlignment="1">
      <alignment horizontal="center"/>
    </xf>
    <xf numFmtId="0" fontId="34" fillId="6" borderId="75" xfId="0" applyFont="1" applyFill="1" applyBorder="1" applyAlignment="1">
      <alignment horizontal="center"/>
    </xf>
    <xf numFmtId="0" fontId="34" fillId="6" borderId="52" xfId="0" applyFont="1" applyFill="1" applyBorder="1" applyAlignment="1">
      <alignment horizontal="center"/>
    </xf>
    <xf numFmtId="0" fontId="96" fillId="6" borderId="38" xfId="0" applyFont="1" applyFill="1" applyBorder="1" applyAlignment="1">
      <alignment horizontal="center"/>
    </xf>
    <xf numFmtId="14" fontId="96" fillId="6" borderId="25" xfId="0" applyNumberFormat="1" applyFont="1" applyFill="1" applyBorder="1" applyAlignment="1">
      <alignment horizontal="center"/>
    </xf>
    <xf numFmtId="4" fontId="2" fillId="6" borderId="14" xfId="0" applyNumberFormat="1" applyFont="1" applyFill="1" applyBorder="1" applyAlignment="1">
      <alignment horizontal="center"/>
    </xf>
    <xf numFmtId="14" fontId="2" fillId="6" borderId="0" xfId="0" applyNumberFormat="1" applyFont="1" applyFill="1" applyAlignment="1">
      <alignment horizontal="center"/>
    </xf>
    <xf numFmtId="182" fontId="2" fillId="6" borderId="14" xfId="0" applyNumberFormat="1" applyFont="1" applyFill="1" applyBorder="1" applyAlignment="1">
      <alignment horizontal="center"/>
    </xf>
    <xf numFmtId="180" fontId="2" fillId="6" borderId="14" xfId="8" applyNumberFormat="1" applyFont="1" applyFill="1" applyBorder="1" applyAlignment="1">
      <alignment horizontal="center"/>
    </xf>
    <xf numFmtId="172" fontId="2" fillId="6" borderId="75" xfId="0" applyNumberFormat="1" applyFont="1" applyFill="1" applyBorder="1"/>
    <xf numFmtId="172" fontId="2" fillId="6" borderId="52" xfId="0" applyNumberFormat="1" applyFont="1" applyFill="1" applyBorder="1"/>
    <xf numFmtId="172" fontId="2" fillId="6" borderId="0" xfId="0" applyNumberFormat="1" applyFont="1" applyFill="1"/>
    <xf numFmtId="176" fontId="2" fillId="6" borderId="25" xfId="0" applyNumberFormat="1" applyFont="1" applyFill="1" applyBorder="1" applyAlignment="1">
      <alignment horizontal="center"/>
    </xf>
    <xf numFmtId="10" fontId="2" fillId="6" borderId="25" xfId="0" applyNumberFormat="1" applyFont="1" applyFill="1" applyBorder="1" applyAlignment="1">
      <alignment horizontal="center"/>
    </xf>
    <xf numFmtId="0" fontId="96" fillId="6" borderId="63" xfId="0" applyFont="1" applyFill="1" applyBorder="1" applyAlignment="1">
      <alignment horizontal="center"/>
    </xf>
    <xf numFmtId="169" fontId="96" fillId="6" borderId="57" xfId="0" applyNumberFormat="1" applyFont="1" applyFill="1" applyBorder="1" applyAlignment="1">
      <alignment horizontal="center"/>
    </xf>
    <xf numFmtId="4" fontId="2" fillId="6" borderId="9" xfId="0" applyNumberFormat="1" applyFont="1" applyFill="1" applyBorder="1" applyAlignment="1">
      <alignment horizontal="center"/>
    </xf>
    <xf numFmtId="175" fontId="2" fillId="6" borderId="57" xfId="0" applyNumberFormat="1" applyFont="1" applyFill="1" applyBorder="1" applyAlignment="1">
      <alignment horizontal="center"/>
    </xf>
    <xf numFmtId="172" fontId="2" fillId="6" borderId="9" xfId="0" applyNumberFormat="1" applyFont="1" applyFill="1" applyBorder="1" applyAlignment="1">
      <alignment horizontal="center"/>
    </xf>
    <xf numFmtId="168" fontId="2" fillId="6" borderId="9" xfId="0" applyNumberFormat="1" applyFont="1" applyFill="1" applyBorder="1" applyAlignment="1">
      <alignment horizontal="center"/>
    </xf>
    <xf numFmtId="10" fontId="2" fillId="6" borderId="57" xfId="0" applyNumberFormat="1" applyFont="1" applyFill="1" applyBorder="1" applyAlignment="1">
      <alignment horizontal="center"/>
    </xf>
    <xf numFmtId="172" fontId="2" fillId="6" borderId="1" xfId="0" applyNumberFormat="1" applyFont="1" applyFill="1" applyBorder="1" applyAlignment="1">
      <alignment horizontal="center"/>
    </xf>
    <xf numFmtId="0" fontId="2" fillId="6" borderId="75" xfId="0" applyFont="1" applyFill="1" applyBorder="1"/>
    <xf numFmtId="0" fontId="2" fillId="6" borderId="52" xfId="0" applyFont="1" applyFill="1" applyBorder="1"/>
    <xf numFmtId="0" fontId="96" fillId="6" borderId="61" xfId="0" applyFont="1" applyFill="1" applyBorder="1" applyAlignment="1">
      <alignment horizontal="center"/>
    </xf>
    <xf numFmtId="169" fontId="96" fillId="6" borderId="62" xfId="0" applyNumberFormat="1" applyFont="1" applyFill="1" applyBorder="1" applyAlignment="1">
      <alignment horizontal="center"/>
    </xf>
    <xf numFmtId="4" fontId="2" fillId="6" borderId="62" xfId="0" applyNumberFormat="1" applyFont="1" applyFill="1" applyBorder="1" applyAlignment="1">
      <alignment horizontal="center"/>
    </xf>
    <xf numFmtId="175" fontId="2" fillId="6" borderId="62" xfId="0" applyNumberFormat="1" applyFont="1" applyFill="1" applyBorder="1" applyAlignment="1">
      <alignment horizontal="center"/>
    </xf>
    <xf numFmtId="172" fontId="2" fillId="6" borderId="62" xfId="0" applyNumberFormat="1" applyFont="1" applyFill="1" applyBorder="1" applyAlignment="1">
      <alignment horizontal="center"/>
    </xf>
    <xf numFmtId="168" fontId="2" fillId="6" borderId="62" xfId="0" applyNumberFormat="1" applyFont="1" applyFill="1" applyBorder="1" applyAlignment="1">
      <alignment horizontal="center"/>
    </xf>
    <xf numFmtId="10" fontId="2" fillId="6" borderId="62" xfId="0" applyNumberFormat="1" applyFont="1" applyFill="1" applyBorder="1" applyAlignment="1">
      <alignment horizontal="center"/>
    </xf>
    <xf numFmtId="0" fontId="2" fillId="6" borderId="90" xfId="0" applyFont="1" applyFill="1" applyBorder="1"/>
    <xf numFmtId="172" fontId="2" fillId="6" borderId="72" xfId="0" applyNumberFormat="1" applyFont="1" applyFill="1" applyBorder="1"/>
    <xf numFmtId="2" fontId="2" fillId="6" borderId="72" xfId="0" applyNumberFormat="1" applyFont="1" applyFill="1" applyBorder="1"/>
    <xf numFmtId="39" fontId="96" fillId="6" borderId="60" xfId="0" applyNumberFormat="1" applyFont="1" applyFill="1" applyBorder="1" applyAlignment="1">
      <alignment horizontal="left"/>
    </xf>
    <xf numFmtId="0" fontId="34" fillId="6" borderId="59" xfId="0" applyFont="1" applyFill="1" applyBorder="1"/>
    <xf numFmtId="4" fontId="2" fillId="6" borderId="59" xfId="0" applyNumberFormat="1" applyFont="1" applyFill="1" applyBorder="1" applyAlignment="1">
      <alignment horizontal="center"/>
    </xf>
    <xf numFmtId="0" fontId="2" fillId="6" borderId="59" xfId="0" applyFont="1" applyFill="1" applyBorder="1" applyAlignment="1">
      <alignment horizontal="center"/>
    </xf>
    <xf numFmtId="0" fontId="2" fillId="6" borderId="66" xfId="0" applyFont="1" applyFill="1" applyBorder="1" applyAlignment="1">
      <alignment horizontal="center"/>
    </xf>
    <xf numFmtId="0" fontId="2" fillId="6" borderId="25" xfId="0" applyFont="1" applyFill="1" applyBorder="1" applyAlignment="1">
      <alignment horizontal="center"/>
    </xf>
    <xf numFmtId="0" fontId="2" fillId="6" borderId="0" xfId="0" applyFont="1" applyFill="1" applyAlignment="1">
      <alignment horizontal="center"/>
    </xf>
    <xf numFmtId="0" fontId="2" fillId="6" borderId="74" xfId="0" applyFont="1" applyFill="1" applyBorder="1"/>
    <xf numFmtId="0" fontId="2" fillId="6" borderId="17" xfId="0" applyFont="1" applyFill="1" applyBorder="1"/>
    <xf numFmtId="0" fontId="2" fillId="6" borderId="102" xfId="0" applyFont="1" applyFill="1" applyBorder="1"/>
    <xf numFmtId="169" fontId="96" fillId="6" borderId="14" xfId="0" applyNumberFormat="1" applyFont="1" applyFill="1" applyBorder="1" applyAlignment="1">
      <alignment horizontal="center"/>
    </xf>
    <xf numFmtId="0" fontId="2" fillId="6" borderId="14" xfId="0" applyFont="1" applyFill="1" applyBorder="1" applyAlignment="1">
      <alignment horizontal="center"/>
    </xf>
    <xf numFmtId="0" fontId="2" fillId="6" borderId="76" xfId="0" applyFont="1" applyFill="1" applyBorder="1"/>
    <xf numFmtId="0" fontId="2" fillId="6" borderId="8" xfId="0" applyFont="1" applyFill="1" applyBorder="1"/>
    <xf numFmtId="0" fontId="2" fillId="6" borderId="30" xfId="0" applyFont="1" applyFill="1" applyBorder="1"/>
    <xf numFmtId="0" fontId="96" fillId="6" borderId="64" xfId="0" applyFont="1" applyFill="1" applyBorder="1" applyAlignment="1">
      <alignment horizontal="center"/>
    </xf>
    <xf numFmtId="169" fontId="96" fillId="6" borderId="23" xfId="0" applyNumberFormat="1" applyFont="1" applyFill="1" applyBorder="1" applyAlignment="1">
      <alignment horizontal="center"/>
    </xf>
    <xf numFmtId="4" fontId="2" fillId="6" borderId="23" xfId="0" applyNumberFormat="1" applyFont="1" applyFill="1" applyBorder="1"/>
    <xf numFmtId="175" fontId="2" fillId="6" borderId="23" xfId="0" applyNumberFormat="1" applyFont="1" applyFill="1" applyBorder="1"/>
    <xf numFmtId="172" fontId="2" fillId="6" borderId="23" xfId="0" applyNumberFormat="1" applyFont="1" applyFill="1" applyBorder="1" applyAlignment="1">
      <alignment horizontal="center"/>
    </xf>
    <xf numFmtId="168" fontId="2" fillId="6" borderId="23" xfId="0" applyNumberFormat="1" applyFont="1" applyFill="1" applyBorder="1" applyAlignment="1">
      <alignment horizontal="center"/>
    </xf>
    <xf numFmtId="10" fontId="2" fillId="6" borderId="23" xfId="0" applyNumberFormat="1" applyFont="1" applyFill="1" applyBorder="1" applyAlignment="1">
      <alignment horizontal="center"/>
    </xf>
    <xf numFmtId="0" fontId="71" fillId="6" borderId="54" xfId="0" applyFont="1" applyFill="1" applyBorder="1"/>
    <xf numFmtId="0" fontId="38" fillId="6" borderId="55" xfId="0" applyFont="1" applyFill="1" applyBorder="1"/>
    <xf numFmtId="172" fontId="71" fillId="6" borderId="55" xfId="0" applyNumberFormat="1" applyFont="1" applyFill="1" applyBorder="1"/>
    <xf numFmtId="0" fontId="2" fillId="6" borderId="55" xfId="0" applyFont="1" applyFill="1" applyBorder="1"/>
    <xf numFmtId="0" fontId="2" fillId="6" borderId="65" xfId="0" applyFont="1" applyFill="1" applyBorder="1"/>
    <xf numFmtId="4" fontId="2" fillId="6" borderId="0" xfId="0" applyNumberFormat="1" applyFont="1" applyFill="1"/>
    <xf numFmtId="0" fontId="2" fillId="6" borderId="50" xfId="0" applyFont="1" applyFill="1" applyBorder="1"/>
    <xf numFmtId="0" fontId="2" fillId="6" borderId="51" xfId="0" applyFont="1" applyFill="1" applyBorder="1"/>
    <xf numFmtId="172" fontId="2" fillId="6" borderId="41" xfId="0" applyNumberFormat="1" applyFont="1" applyFill="1" applyBorder="1"/>
    <xf numFmtId="0" fontId="2" fillId="6" borderId="3" xfId="0" applyFont="1" applyFill="1" applyBorder="1"/>
    <xf numFmtId="172" fontId="2" fillId="6" borderId="4" xfId="0" applyNumberFormat="1" applyFont="1" applyFill="1" applyBorder="1"/>
    <xf numFmtId="4" fontId="2" fillId="6" borderId="0" xfId="0" applyNumberFormat="1" applyFont="1" applyFill="1" applyAlignment="1">
      <alignment horizontal="center"/>
    </xf>
    <xf numFmtId="0" fontId="31" fillId="6" borderId="5" xfId="0" applyFont="1" applyFill="1" applyBorder="1"/>
    <xf numFmtId="0" fontId="31" fillId="6" borderId="6" xfId="0" applyFont="1" applyFill="1" applyBorder="1"/>
    <xf numFmtId="184" fontId="2" fillId="6" borderId="0" xfId="0" applyNumberFormat="1" applyFont="1" applyFill="1"/>
    <xf numFmtId="0" fontId="7" fillId="5" borderId="0" xfId="0" applyFont="1" applyFill="1" applyAlignment="1">
      <alignment horizontal="right"/>
    </xf>
    <xf numFmtId="0" fontId="21" fillId="5" borderId="0" xfId="0" applyFont="1" applyFill="1" applyAlignment="1">
      <alignment horizontal="left"/>
    </xf>
    <xf numFmtId="0" fontId="21" fillId="5" borderId="0" xfId="0" applyFont="1" applyFill="1"/>
    <xf numFmtId="0" fontId="17" fillId="5" borderId="0" xfId="0" applyFont="1" applyFill="1" applyAlignment="1">
      <alignment horizontal="right"/>
    </xf>
    <xf numFmtId="0" fontId="7" fillId="5" borderId="25" xfId="0" applyFont="1" applyFill="1" applyBorder="1"/>
    <xf numFmtId="10" fontId="7" fillId="5" borderId="25" xfId="0" applyNumberFormat="1" applyFont="1" applyFill="1" applyBorder="1"/>
    <xf numFmtId="0" fontId="7" fillId="5" borderId="4" xfId="0" applyFont="1" applyFill="1" applyBorder="1"/>
    <xf numFmtId="177" fontId="3" fillId="5" borderId="23" xfId="0" applyNumberFormat="1" applyFont="1" applyFill="1" applyBorder="1" applyAlignment="1">
      <alignment horizontal="center"/>
    </xf>
    <xf numFmtId="172" fontId="3" fillId="5" borderId="23" xfId="0" applyNumberFormat="1" applyFont="1" applyFill="1" applyBorder="1" applyAlignment="1">
      <alignment horizontal="center"/>
    </xf>
    <xf numFmtId="0" fontId="22" fillId="5" borderId="64" xfId="0" applyFont="1" applyFill="1" applyBorder="1" applyAlignment="1">
      <alignment horizontal="center"/>
    </xf>
    <xf numFmtId="169" fontId="22" fillId="5" borderId="23" xfId="0" applyNumberFormat="1" applyFont="1" applyFill="1" applyBorder="1" applyAlignment="1">
      <alignment horizontal="center"/>
    </xf>
    <xf numFmtId="175" fontId="3" fillId="5" borderId="23" xfId="0" applyNumberFormat="1" applyFont="1" applyFill="1" applyBorder="1" applyAlignment="1">
      <alignment horizontal="center"/>
    </xf>
    <xf numFmtId="0" fontId="20" fillId="5" borderId="54" xfId="0" applyFont="1" applyFill="1" applyBorder="1"/>
    <xf numFmtId="0" fontId="19" fillId="5" borderId="55" xfId="0" applyFont="1" applyFill="1" applyBorder="1"/>
    <xf numFmtId="0" fontId="3" fillId="5" borderId="55" xfId="0" applyFont="1" applyFill="1" applyBorder="1"/>
    <xf numFmtId="172" fontId="14" fillId="5" borderId="55" xfId="0" applyNumberFormat="1" applyFont="1" applyFill="1" applyBorder="1"/>
    <xf numFmtId="177" fontId="14" fillId="5" borderId="0" xfId="0" applyNumberFormat="1" applyFont="1" applyFill="1"/>
    <xf numFmtId="0" fontId="17" fillId="5" borderId="0" xfId="0" applyFont="1" applyFill="1" applyAlignment="1">
      <alignment horizontal="center"/>
    </xf>
    <xf numFmtId="0" fontId="25" fillId="5" borderId="0" xfId="0" applyFont="1" applyFill="1" applyAlignment="1">
      <alignment horizontal="center"/>
    </xf>
    <xf numFmtId="0" fontId="7" fillId="5" borderId="0" xfId="0" applyFont="1" applyFill="1" applyAlignment="1">
      <alignment horizontal="center"/>
    </xf>
    <xf numFmtId="0" fontId="3" fillId="5" borderId="55" xfId="0" applyFont="1" applyFill="1" applyBorder="1" applyAlignment="1">
      <alignment horizontal="center"/>
    </xf>
    <xf numFmtId="0" fontId="0" fillId="6" borderId="0" xfId="0" applyFill="1" applyAlignment="1">
      <alignment horizontal="center"/>
    </xf>
    <xf numFmtId="49" fontId="17" fillId="5" borderId="0" xfId="0" applyNumberFormat="1" applyFont="1" applyFill="1" applyAlignment="1">
      <alignment horizontal="center"/>
    </xf>
    <xf numFmtId="172" fontId="20" fillId="5" borderId="55" xfId="0" applyNumberFormat="1" applyFont="1" applyFill="1" applyBorder="1" applyAlignment="1">
      <alignment horizontal="center"/>
    </xf>
    <xf numFmtId="49" fontId="17" fillId="5" borderId="0" xfId="0" applyNumberFormat="1" applyFont="1" applyFill="1" applyAlignment="1">
      <alignment horizontal="left"/>
    </xf>
    <xf numFmtId="4" fontId="2" fillId="5" borderId="14" xfId="0" applyNumberFormat="1" applyFont="1" applyFill="1" applyBorder="1" applyAlignment="1">
      <alignment horizontal="center"/>
    </xf>
    <xf numFmtId="0" fontId="23" fillId="6" borderId="0" xfId="0" applyFont="1" applyFill="1"/>
    <xf numFmtId="0" fontId="3" fillId="5" borderId="0" xfId="0" applyFont="1" applyFill="1"/>
    <xf numFmtId="4" fontId="3" fillId="5" borderId="0" xfId="0" applyNumberFormat="1" applyFont="1" applyFill="1"/>
    <xf numFmtId="0" fontId="74" fillId="6" borderId="0" xfId="0" applyFont="1" applyFill="1"/>
    <xf numFmtId="0" fontId="50" fillId="6" borderId="0" xfId="0" applyFont="1" applyFill="1"/>
    <xf numFmtId="0" fontId="44" fillId="6" borderId="0" xfId="0" applyFont="1" applyFill="1"/>
    <xf numFmtId="0" fontId="43" fillId="6" borderId="0" xfId="0" applyFont="1" applyFill="1" applyAlignment="1">
      <alignment horizontal="left"/>
    </xf>
    <xf numFmtId="0" fontId="43" fillId="6" borderId="0" xfId="0" applyFont="1" applyFill="1"/>
    <xf numFmtId="49" fontId="43" fillId="6" borderId="0" xfId="0" applyNumberFormat="1" applyFont="1" applyFill="1"/>
    <xf numFmtId="0" fontId="54" fillId="6" borderId="0" xfId="0" applyFont="1" applyFill="1"/>
    <xf numFmtId="0" fontId="45" fillId="6" borderId="0" xfId="0" applyFont="1" applyFill="1"/>
    <xf numFmtId="0" fontId="55" fillId="6" borderId="0" xfId="0" applyFont="1" applyFill="1" applyAlignment="1">
      <alignment vertical="center"/>
    </xf>
    <xf numFmtId="0" fontId="56" fillId="6" borderId="0" xfId="0" applyFont="1" applyFill="1" applyAlignment="1">
      <alignment vertical="center"/>
    </xf>
    <xf numFmtId="0" fontId="64" fillId="6" borderId="102" xfId="0" applyFont="1" applyFill="1" applyBorder="1" applyAlignment="1">
      <alignment vertical="center"/>
    </xf>
    <xf numFmtId="0" fontId="64" fillId="6" borderId="74" xfId="0" applyFont="1" applyFill="1" applyBorder="1" applyAlignment="1">
      <alignment vertical="center"/>
    </xf>
    <xf numFmtId="179" fontId="72" fillId="6" borderId="72" xfId="0" applyNumberFormat="1" applyFont="1" applyFill="1" applyBorder="1" applyAlignment="1">
      <alignment horizontal="center" vertical="center" wrapText="1"/>
    </xf>
    <xf numFmtId="0" fontId="64" fillId="6" borderId="0" xfId="0" applyFont="1" applyFill="1" applyAlignment="1">
      <alignment vertical="center"/>
    </xf>
    <xf numFmtId="0" fontId="64" fillId="6" borderId="75" xfId="0" applyFont="1" applyFill="1" applyBorder="1" applyAlignment="1">
      <alignment vertical="center"/>
    </xf>
    <xf numFmtId="3" fontId="63" fillId="6" borderId="72" xfId="0" applyNumberFormat="1" applyFont="1" applyFill="1" applyBorder="1" applyAlignment="1">
      <alignment horizontal="center" vertical="center"/>
    </xf>
    <xf numFmtId="0" fontId="64" fillId="6" borderId="17" xfId="0" applyFont="1" applyFill="1" applyBorder="1" applyAlignment="1">
      <alignment vertical="center"/>
    </xf>
    <xf numFmtId="0" fontId="62" fillId="6" borderId="17" xfId="0" applyFont="1" applyFill="1" applyBorder="1" applyAlignment="1">
      <alignment horizontal="center" vertical="center"/>
    </xf>
    <xf numFmtId="0" fontId="62" fillId="6" borderId="72" xfId="0" applyFont="1" applyFill="1" applyBorder="1" applyAlignment="1">
      <alignment horizontal="center" vertical="center"/>
    </xf>
    <xf numFmtId="0" fontId="63" fillId="6" borderId="75" xfId="0" applyFont="1" applyFill="1" applyBorder="1" applyAlignment="1">
      <alignment horizontal="center" vertical="center"/>
    </xf>
    <xf numFmtId="4" fontId="62" fillId="6" borderId="72" xfId="0" applyNumberFormat="1" applyFont="1" applyFill="1" applyBorder="1" applyAlignment="1">
      <alignment horizontal="center" vertical="center"/>
    </xf>
    <xf numFmtId="10" fontId="62" fillId="6" borderId="17" xfId="0" applyNumberFormat="1" applyFont="1" applyFill="1" applyBorder="1" applyAlignment="1">
      <alignment horizontal="center" vertical="center"/>
    </xf>
    <xf numFmtId="4" fontId="62" fillId="6" borderId="52" xfId="0" applyNumberFormat="1" applyFont="1" applyFill="1" applyBorder="1" applyAlignment="1">
      <alignment horizontal="center" vertical="center"/>
    </xf>
    <xf numFmtId="0" fontId="63" fillId="6" borderId="8" xfId="0" applyFont="1" applyFill="1" applyBorder="1" applyAlignment="1">
      <alignment vertical="center"/>
    </xf>
    <xf numFmtId="0" fontId="63" fillId="6" borderId="76" xfId="0" applyFont="1" applyFill="1" applyBorder="1" applyAlignment="1">
      <alignment horizontal="center" vertical="center"/>
    </xf>
    <xf numFmtId="10" fontId="62" fillId="6" borderId="52" xfId="0" applyNumberFormat="1" applyFont="1" applyFill="1" applyBorder="1" applyAlignment="1">
      <alignment horizontal="center" vertical="center"/>
    </xf>
    <xf numFmtId="0" fontId="63" fillId="6" borderId="30" xfId="0" applyFont="1" applyFill="1" applyBorder="1" applyAlignment="1">
      <alignment horizontal="center" vertical="center"/>
    </xf>
    <xf numFmtId="0" fontId="63" fillId="6" borderId="98" xfId="0" applyFont="1" applyFill="1" applyBorder="1" applyAlignment="1">
      <alignment vertical="center"/>
    </xf>
    <xf numFmtId="0" fontId="63" fillId="6" borderId="52" xfId="0" applyFont="1" applyFill="1" applyBorder="1" applyAlignment="1">
      <alignment horizontal="left" vertical="center" wrapText="1"/>
    </xf>
    <xf numFmtId="0" fontId="63" fillId="6" borderId="73" xfId="0" applyFont="1" applyFill="1" applyBorder="1" applyAlignment="1">
      <alignment vertical="center"/>
    </xf>
    <xf numFmtId="0" fontId="63" fillId="6" borderId="99" xfId="0" applyFont="1" applyFill="1" applyBorder="1" applyAlignment="1">
      <alignment vertical="center"/>
    </xf>
    <xf numFmtId="2" fontId="62" fillId="6" borderId="72" xfId="0" applyNumberFormat="1" applyFont="1" applyFill="1" applyBorder="1" applyAlignment="1">
      <alignment horizontal="center" vertical="center"/>
    </xf>
    <xf numFmtId="10" fontId="63" fillId="6" borderId="52" xfId="0" applyNumberFormat="1" applyFont="1" applyFill="1" applyBorder="1" applyAlignment="1">
      <alignment horizontal="center" vertical="center"/>
    </xf>
    <xf numFmtId="0" fontId="62" fillId="6" borderId="52" xfId="0" applyFont="1" applyFill="1" applyBorder="1" applyAlignment="1">
      <alignment horizontal="center" vertical="center"/>
    </xf>
    <xf numFmtId="10" fontId="63" fillId="6" borderId="8" xfId="0" applyNumberFormat="1" applyFont="1" applyFill="1" applyBorder="1" applyAlignment="1">
      <alignment horizontal="center" vertical="center"/>
    </xf>
    <xf numFmtId="0" fontId="62" fillId="6" borderId="8" xfId="0" applyFont="1" applyFill="1" applyBorder="1" applyAlignment="1">
      <alignment horizontal="center" vertical="center"/>
    </xf>
    <xf numFmtId="10" fontId="56" fillId="3" borderId="0" xfId="8" applyNumberFormat="1" applyFont="1" applyFill="1"/>
    <xf numFmtId="0" fontId="17" fillId="8" borderId="69" xfId="0" applyFont="1" applyFill="1" applyBorder="1" applyAlignment="1">
      <alignment horizontal="center"/>
    </xf>
    <xf numFmtId="0" fontId="17" fillId="8" borderId="36" xfId="0" applyFont="1" applyFill="1" applyBorder="1" applyAlignment="1">
      <alignment horizontal="center"/>
    </xf>
    <xf numFmtId="0" fontId="17" fillId="8" borderId="7" xfId="0" applyFont="1" applyFill="1" applyBorder="1" applyAlignment="1">
      <alignment horizontal="center"/>
    </xf>
    <xf numFmtId="172" fontId="97" fillId="6" borderId="7" xfId="0" applyNumberFormat="1" applyFont="1" applyFill="1" applyBorder="1"/>
    <xf numFmtId="17" fontId="79" fillId="0" borderId="0" xfId="0" applyNumberFormat="1" applyFont="1" applyAlignment="1">
      <alignment horizontal="center"/>
    </xf>
    <xf numFmtId="2" fontId="84" fillId="3" borderId="0" xfId="0" applyNumberFormat="1" applyFont="1" applyFill="1" applyAlignment="1">
      <alignment horizontal="center"/>
    </xf>
    <xf numFmtId="166" fontId="74" fillId="3" borderId="0" xfId="0" applyNumberFormat="1" applyFont="1" applyFill="1"/>
    <xf numFmtId="4" fontId="38" fillId="6" borderId="55" xfId="0" applyNumberFormat="1" applyFont="1" applyFill="1" applyBorder="1" applyAlignment="1">
      <alignment horizontal="center"/>
    </xf>
    <xf numFmtId="0" fontId="23" fillId="6" borderId="0" xfId="0" applyFont="1" applyFill="1" applyAlignment="1">
      <alignment horizontal="left"/>
    </xf>
    <xf numFmtId="0" fontId="29" fillId="6" borderId="125" xfId="0" applyFont="1" applyFill="1" applyBorder="1" applyAlignment="1" applyProtection="1">
      <alignment horizontal="center" vertical="center"/>
      <protection locked="0"/>
    </xf>
    <xf numFmtId="4" fontId="29" fillId="6" borderId="126" xfId="0" applyNumberFormat="1" applyFont="1" applyFill="1" applyBorder="1" applyAlignment="1" applyProtection="1">
      <alignment horizontal="center" vertical="center"/>
      <protection locked="0"/>
    </xf>
    <xf numFmtId="4" fontId="29" fillId="6" borderId="127" xfId="0" applyNumberFormat="1" applyFont="1" applyFill="1" applyBorder="1" applyAlignment="1" applyProtection="1">
      <alignment horizontal="center" vertical="center"/>
      <protection locked="0"/>
    </xf>
    <xf numFmtId="10" fontId="0" fillId="3" borderId="0" xfId="8" applyNumberFormat="1" applyFont="1" applyFill="1" applyBorder="1"/>
    <xf numFmtId="4" fontId="3" fillId="6" borderId="0" xfId="0" applyNumberFormat="1" applyFont="1" applyFill="1" applyAlignment="1">
      <alignment horizontal="center"/>
    </xf>
    <xf numFmtId="184" fontId="0" fillId="3" borderId="0" xfId="0" applyNumberFormat="1" applyFill="1"/>
    <xf numFmtId="4" fontId="29" fillId="3" borderId="0" xfId="0" applyNumberFormat="1" applyFont="1" applyFill="1"/>
    <xf numFmtId="173" fontId="3" fillId="3" borderId="14" xfId="0" applyNumberFormat="1" applyFont="1" applyFill="1" applyBorder="1" applyAlignment="1">
      <alignment horizontal="center"/>
    </xf>
    <xf numFmtId="168" fontId="20" fillId="0" borderId="69" xfId="0" applyNumberFormat="1" applyFont="1" applyBorder="1" applyAlignment="1">
      <alignment horizontal="center"/>
    </xf>
    <xf numFmtId="0" fontId="3" fillId="0" borderId="67" xfId="0" applyFont="1" applyBorder="1" applyAlignment="1">
      <alignment horizontal="center"/>
    </xf>
    <xf numFmtId="2" fontId="3" fillId="0" borderId="67" xfId="0" applyNumberFormat="1" applyFont="1" applyBorder="1" applyAlignment="1">
      <alignment horizontal="center"/>
    </xf>
    <xf numFmtId="2" fontId="3" fillId="0" borderId="104" xfId="0" applyNumberFormat="1" applyFont="1" applyBorder="1" applyAlignment="1">
      <alignment horizontal="center"/>
    </xf>
    <xf numFmtId="2" fontId="3" fillId="0" borderId="101" xfId="0" applyNumberFormat="1" applyFont="1" applyBorder="1" applyAlignment="1">
      <alignment horizontal="center"/>
    </xf>
    <xf numFmtId="2" fontId="37" fillId="0" borderId="67" xfId="0" applyNumberFormat="1" applyFont="1" applyBorder="1" applyAlignment="1">
      <alignment horizontal="center"/>
    </xf>
    <xf numFmtId="2" fontId="37" fillId="0" borderId="101" xfId="0" applyNumberFormat="1" applyFont="1" applyBorder="1" applyAlignment="1">
      <alignment horizontal="center"/>
    </xf>
    <xf numFmtId="168" fontId="20" fillId="0" borderId="103" xfId="0" applyNumberFormat="1" applyFont="1" applyBorder="1" applyAlignment="1">
      <alignment horizontal="center"/>
    </xf>
    <xf numFmtId="0" fontId="20" fillId="0" borderId="67" xfId="0" applyFont="1" applyBorder="1" applyAlignment="1">
      <alignment horizontal="center"/>
    </xf>
    <xf numFmtId="0" fontId="3" fillId="0" borderId="75" xfId="0" applyFont="1" applyBorder="1" applyAlignment="1">
      <alignment horizontal="center"/>
    </xf>
    <xf numFmtId="2" fontId="37" fillId="0" borderId="75" xfId="8" applyNumberFormat="1" applyFont="1" applyFill="1" applyBorder="1" applyAlignment="1">
      <alignment horizontal="center"/>
    </xf>
    <xf numFmtId="2" fontId="3" fillId="0" borderId="76" xfId="0" applyNumberFormat="1" applyFont="1" applyBorder="1" applyAlignment="1">
      <alignment horizontal="center"/>
    </xf>
    <xf numFmtId="2" fontId="3" fillId="0" borderId="74" xfId="0" applyNumberFormat="1" applyFont="1" applyBorder="1" applyAlignment="1">
      <alignment horizontal="center"/>
    </xf>
    <xf numFmtId="2" fontId="37" fillId="0" borderId="74" xfId="0" applyNumberFormat="1" applyFont="1" applyBorder="1" applyAlignment="1">
      <alignment horizontal="center"/>
    </xf>
    <xf numFmtId="2" fontId="20" fillId="0" borderId="75" xfId="0" applyNumberFormat="1" applyFont="1" applyBorder="1" applyAlignment="1">
      <alignment horizontal="center"/>
    </xf>
    <xf numFmtId="4" fontId="74" fillId="7" borderId="0" xfId="0" applyNumberFormat="1" applyFont="1" applyFill="1"/>
    <xf numFmtId="178" fontId="74" fillId="7" borderId="0" xfId="0" applyNumberFormat="1" applyFont="1" applyFill="1"/>
    <xf numFmtId="4" fontId="84" fillId="7" borderId="0" xfId="0" applyNumberFormat="1" applyFont="1" applyFill="1"/>
    <xf numFmtId="0" fontId="74" fillId="7" borderId="0" xfId="0" applyFont="1" applyFill="1"/>
    <xf numFmtId="10" fontId="99" fillId="3" borderId="0" xfId="0" applyNumberFormat="1" applyFont="1" applyFill="1" applyAlignment="1">
      <alignment horizontal="center" vertical="center"/>
    </xf>
    <xf numFmtId="0" fontId="74" fillId="6" borderId="0" xfId="0" applyFont="1" applyFill="1" applyAlignment="1">
      <alignment horizontal="center"/>
    </xf>
    <xf numFmtId="4" fontId="74" fillId="6" borderId="0" xfId="0" applyNumberFormat="1" applyFont="1" applyFill="1" applyAlignment="1">
      <alignment horizontal="center"/>
    </xf>
    <xf numFmtId="0" fontId="29" fillId="6" borderId="67" xfId="0" applyFont="1" applyFill="1" applyBorder="1" applyAlignment="1">
      <alignment horizontal="center"/>
    </xf>
    <xf numFmtId="4" fontId="29" fillId="6" borderId="5" xfId="0" applyNumberFormat="1" applyFont="1" applyFill="1" applyBorder="1" applyAlignment="1">
      <alignment horizontal="center"/>
    </xf>
    <xf numFmtId="0" fontId="74" fillId="6" borderId="0" xfId="0" applyFont="1" applyFill="1" applyAlignment="1">
      <alignment vertical="top"/>
    </xf>
    <xf numFmtId="166" fontId="74" fillId="6" borderId="0" xfId="0" applyNumberFormat="1" applyFont="1" applyFill="1" applyAlignment="1">
      <alignment horizontal="center"/>
    </xf>
    <xf numFmtId="4" fontId="44" fillId="3" borderId="0" xfId="0" applyNumberFormat="1" applyFont="1" applyFill="1" applyAlignment="1">
      <alignment horizontal="left"/>
    </xf>
    <xf numFmtId="0" fontId="29" fillId="6" borderId="0" xfId="0" applyFont="1" applyFill="1" applyAlignment="1">
      <alignment horizontal="center"/>
    </xf>
    <xf numFmtId="0" fontId="29" fillId="6" borderId="6" xfId="0" applyFont="1" applyFill="1" applyBorder="1" applyAlignment="1">
      <alignment horizontal="center"/>
    </xf>
    <xf numFmtId="0" fontId="70" fillId="6" borderId="83" xfId="0" applyFont="1" applyFill="1" applyBorder="1"/>
    <xf numFmtId="0" fontId="70" fillId="6" borderId="84" xfId="0" applyFont="1" applyFill="1" applyBorder="1"/>
    <xf numFmtId="4" fontId="29" fillId="5" borderId="0" xfId="0" applyNumberFormat="1" applyFont="1" applyFill="1" applyAlignment="1">
      <alignment horizontal="center"/>
    </xf>
    <xf numFmtId="4" fontId="70" fillId="5" borderId="6" xfId="0" applyNumberFormat="1" applyFont="1" applyFill="1" applyBorder="1" applyAlignment="1">
      <alignment horizontal="center"/>
    </xf>
    <xf numFmtId="0" fontId="100" fillId="0" borderId="83" xfId="0" applyFont="1" applyBorder="1" applyAlignment="1" applyProtection="1">
      <alignment vertical="center"/>
      <protection locked="0"/>
    </xf>
    <xf numFmtId="4" fontId="51" fillId="3" borderId="67" xfId="0" applyNumberFormat="1" applyFont="1" applyFill="1" applyBorder="1" applyAlignment="1">
      <alignment horizontal="center"/>
    </xf>
    <xf numFmtId="4" fontId="51" fillId="3" borderId="101" xfId="0" applyNumberFormat="1" applyFont="1" applyFill="1" applyBorder="1" applyAlignment="1">
      <alignment horizontal="center"/>
    </xf>
    <xf numFmtId="4" fontId="51" fillId="3" borderId="103" xfId="0" applyNumberFormat="1" applyFont="1" applyFill="1" applyBorder="1" applyAlignment="1">
      <alignment horizontal="center"/>
    </xf>
    <xf numFmtId="4" fontId="51" fillId="3" borderId="68" xfId="0" applyNumberFormat="1" applyFont="1" applyFill="1" applyBorder="1" applyAlignment="1">
      <alignment horizontal="center"/>
    </xf>
    <xf numFmtId="4" fontId="51" fillId="3" borderId="104" xfId="0" applyNumberFormat="1" applyFont="1" applyFill="1" applyBorder="1" applyAlignment="1">
      <alignment horizontal="center"/>
    </xf>
    <xf numFmtId="4" fontId="51" fillId="3" borderId="100" xfId="0" applyNumberFormat="1" applyFont="1" applyFill="1" applyBorder="1" applyAlignment="1">
      <alignment horizontal="center"/>
    </xf>
    <xf numFmtId="4" fontId="52" fillId="3" borderId="68" xfId="0" applyNumberFormat="1" applyFont="1" applyFill="1" applyBorder="1" applyAlignment="1">
      <alignment horizontal="center"/>
    </xf>
    <xf numFmtId="4" fontId="52" fillId="3" borderId="70" xfId="0" applyNumberFormat="1" applyFont="1" applyFill="1" applyBorder="1" applyAlignment="1">
      <alignment horizontal="center"/>
    </xf>
    <xf numFmtId="0" fontId="48" fillId="3" borderId="6" xfId="0" applyFont="1" applyFill="1" applyBorder="1"/>
    <xf numFmtId="0" fontId="6" fillId="6" borderId="50" xfId="0" applyFont="1" applyFill="1" applyBorder="1" applyAlignment="1">
      <alignment vertical="center"/>
    </xf>
    <xf numFmtId="0" fontId="86" fillId="6" borderId="134" xfId="0" applyFont="1" applyFill="1" applyBorder="1" applyAlignment="1" applyProtection="1">
      <alignment horizontal="center" vertical="center"/>
      <protection locked="0"/>
    </xf>
    <xf numFmtId="0" fontId="86" fillId="6" borderId="135" xfId="0" applyFont="1" applyFill="1" applyBorder="1" applyAlignment="1" applyProtection="1">
      <alignment horizontal="center" vertical="center"/>
      <protection locked="0"/>
    </xf>
    <xf numFmtId="0" fontId="80" fillId="6" borderId="83" xfId="0" applyFont="1" applyFill="1" applyBorder="1" applyAlignment="1" applyProtection="1">
      <alignment horizontal="left" vertical="center"/>
      <protection locked="0"/>
    </xf>
    <xf numFmtId="0" fontId="29" fillId="6" borderId="83" xfId="0" applyFont="1" applyFill="1" applyBorder="1" applyAlignment="1" applyProtection="1">
      <alignment horizontal="left" vertical="center"/>
      <protection locked="0"/>
    </xf>
    <xf numFmtId="0" fontId="3" fillId="0" borderId="114" xfId="0" applyFont="1" applyBorder="1"/>
    <xf numFmtId="0" fontId="14" fillId="2" borderId="51" xfId="0" applyFont="1" applyFill="1" applyBorder="1" applyAlignment="1">
      <alignment horizontal="left"/>
    </xf>
    <xf numFmtId="0" fontId="14" fillId="2" borderId="136" xfId="0" applyFont="1" applyFill="1" applyBorder="1" applyAlignment="1">
      <alignment horizontal="left"/>
    </xf>
    <xf numFmtId="4" fontId="92" fillId="2" borderId="0" xfId="0" applyNumberFormat="1" applyFont="1" applyFill="1"/>
    <xf numFmtId="0" fontId="79" fillId="3" borderId="0" xfId="0" applyFont="1" applyFill="1"/>
    <xf numFmtId="4" fontId="79" fillId="3" borderId="0" xfId="0" applyNumberFormat="1" applyFont="1" applyFill="1"/>
    <xf numFmtId="9" fontId="79" fillId="3" borderId="0" xfId="8" applyFont="1" applyFill="1" applyBorder="1" applyProtection="1"/>
    <xf numFmtId="0" fontId="7" fillId="3" borderId="72" xfId="0" applyFont="1" applyFill="1" applyBorder="1"/>
    <xf numFmtId="4" fontId="39" fillId="3" borderId="72" xfId="6" applyNumberFormat="1" applyFont="1" applyFill="1" applyBorder="1" applyAlignment="1">
      <alignment horizontal="left"/>
    </xf>
    <xf numFmtId="4" fontId="39" fillId="3" borderId="72" xfId="6" applyNumberFormat="1" applyFont="1" applyFill="1" applyBorder="1" applyAlignment="1">
      <alignment horizontal="center"/>
    </xf>
    <xf numFmtId="0" fontId="12" fillId="0" borderId="0" xfId="0" applyFont="1" applyAlignment="1">
      <alignment horizontal="center"/>
    </xf>
    <xf numFmtId="0" fontId="20" fillId="0" borderId="101" xfId="0" applyFont="1" applyBorder="1" applyAlignment="1">
      <alignment horizontal="center"/>
    </xf>
    <xf numFmtId="0" fontId="2" fillId="0" borderId="0" xfId="0" applyFont="1" applyAlignment="1">
      <alignment horizontal="center"/>
    </xf>
    <xf numFmtId="17" fontId="2" fillId="0" borderId="0" xfId="0" applyNumberFormat="1" applyFont="1" applyAlignment="1">
      <alignment horizontal="center"/>
    </xf>
    <xf numFmtId="2" fontId="2" fillId="0" borderId="0" xfId="0" applyNumberFormat="1" applyFont="1" applyAlignment="1">
      <alignment horizontal="center"/>
    </xf>
    <xf numFmtId="0" fontId="17" fillId="8" borderId="85" xfId="0" applyFont="1" applyFill="1" applyBorder="1" applyAlignment="1">
      <alignment horizontal="center"/>
    </xf>
    <xf numFmtId="0" fontId="17" fillId="8" borderId="83" xfId="0" applyFont="1" applyFill="1" applyBorder="1" applyAlignment="1">
      <alignment horizontal="center"/>
    </xf>
    <xf numFmtId="0" fontId="17" fillId="8" borderId="84" xfId="0" applyFont="1" applyFill="1" applyBorder="1" applyAlignment="1">
      <alignment horizontal="center"/>
    </xf>
    <xf numFmtId="2" fontId="3" fillId="0" borderId="73" xfId="0" applyNumberFormat="1" applyFont="1" applyBorder="1" applyAlignment="1">
      <alignment horizontal="center"/>
    </xf>
    <xf numFmtId="2" fontId="3" fillId="0" borderId="99" xfId="0" applyNumberFormat="1" applyFont="1" applyBorder="1" applyAlignment="1">
      <alignment horizontal="center"/>
    </xf>
    <xf numFmtId="2" fontId="37" fillId="0" borderId="98" xfId="0" applyNumberFormat="1" applyFont="1" applyBorder="1" applyAlignment="1">
      <alignment horizontal="center"/>
    </xf>
    <xf numFmtId="0" fontId="0" fillId="0" borderId="52" xfId="0" applyBorder="1" applyAlignment="1">
      <alignment horizontal="center"/>
    </xf>
    <xf numFmtId="0" fontId="17" fillId="8" borderId="110" xfId="0" applyFont="1" applyFill="1" applyBorder="1" applyAlignment="1">
      <alignment horizontal="center"/>
    </xf>
    <xf numFmtId="2" fontId="37" fillId="0" borderId="73" xfId="0" applyNumberFormat="1" applyFont="1" applyBorder="1" applyAlignment="1">
      <alignment horizontal="center"/>
    </xf>
    <xf numFmtId="10" fontId="3" fillId="0" borderId="99" xfId="0" applyNumberFormat="1" applyFont="1" applyBorder="1" applyAlignment="1">
      <alignment horizontal="center"/>
    </xf>
    <xf numFmtId="191" fontId="104" fillId="0" borderId="52" xfId="0" applyNumberFormat="1" applyFont="1" applyBorder="1" applyAlignment="1">
      <alignment horizontal="center" vertical="center"/>
    </xf>
    <xf numFmtId="0" fontId="7" fillId="6" borderId="0" xfId="0" applyFont="1" applyFill="1"/>
    <xf numFmtId="0" fontId="17" fillId="3" borderId="58" xfId="0" applyFont="1" applyFill="1" applyBorder="1"/>
    <xf numFmtId="0" fontId="17" fillId="3" borderId="142" xfId="0" applyFont="1" applyFill="1" applyBorder="1"/>
    <xf numFmtId="0" fontId="20" fillId="0" borderId="98" xfId="0" applyFont="1" applyBorder="1" applyAlignment="1">
      <alignment horizontal="center"/>
    </xf>
    <xf numFmtId="4" fontId="3" fillId="3" borderId="15" xfId="0" applyNumberFormat="1" applyFont="1" applyFill="1" applyBorder="1" applyAlignment="1">
      <alignment horizontal="right"/>
    </xf>
    <xf numFmtId="4" fontId="3" fillId="3" borderId="48" xfId="0" applyNumberFormat="1" applyFont="1" applyFill="1" applyBorder="1" applyAlignment="1">
      <alignment horizontal="center"/>
    </xf>
    <xf numFmtId="2" fontId="3" fillId="2" borderId="0" xfId="0" applyNumberFormat="1" applyFont="1" applyFill="1"/>
    <xf numFmtId="0" fontId="106" fillId="13" borderId="72" xfId="0" applyFont="1" applyFill="1" applyBorder="1" applyAlignment="1">
      <alignment horizontal="center"/>
    </xf>
    <xf numFmtId="0" fontId="3" fillId="0" borderId="72" xfId="0" applyFont="1" applyBorder="1" applyAlignment="1">
      <alignment horizontal="center"/>
    </xf>
    <xf numFmtId="0" fontId="3" fillId="6" borderId="72" xfId="0" applyFont="1" applyFill="1" applyBorder="1" applyAlignment="1">
      <alignment horizontal="left"/>
    </xf>
    <xf numFmtId="15" fontId="6" fillId="6" borderId="72" xfId="0" applyNumberFormat="1" applyFont="1" applyFill="1" applyBorder="1" applyAlignment="1">
      <alignment horizontal="center"/>
    </xf>
    <xf numFmtId="0" fontId="3" fillId="0" borderId="72" xfId="0" applyFont="1" applyBorder="1" applyAlignment="1">
      <alignment horizontal="left"/>
    </xf>
    <xf numFmtId="15" fontId="6" fillId="0" borderId="72" xfId="0" applyNumberFormat="1" applyFont="1" applyBorder="1" applyAlignment="1">
      <alignment horizontal="center"/>
    </xf>
    <xf numFmtId="168" fontId="6" fillId="0" borderId="72" xfId="0" applyNumberFormat="1" applyFont="1" applyBorder="1" applyAlignment="1">
      <alignment horizontal="center"/>
    </xf>
    <xf numFmtId="167" fontId="6" fillId="6" borderId="72" xfId="0" applyNumberFormat="1" applyFont="1" applyFill="1" applyBorder="1" applyAlignment="1">
      <alignment horizontal="center"/>
    </xf>
    <xf numFmtId="168" fontId="6" fillId="6" borderId="72" xfId="0" applyNumberFormat="1" applyFont="1" applyFill="1" applyBorder="1" applyAlignment="1">
      <alignment horizontal="center"/>
    </xf>
    <xf numFmtId="167" fontId="6" fillId="0" borderId="72" xfId="0" applyNumberFormat="1" applyFont="1" applyBorder="1" applyAlignment="1">
      <alignment horizontal="center"/>
    </xf>
    <xf numFmtId="0" fontId="3" fillId="3" borderId="72" xfId="0" applyFont="1" applyFill="1" applyBorder="1" applyAlignment="1">
      <alignment horizontal="center"/>
    </xf>
    <xf numFmtId="167" fontId="6" fillId="3" borderId="72" xfId="0" applyNumberFormat="1" applyFont="1" applyFill="1" applyBorder="1" applyAlignment="1">
      <alignment horizontal="center"/>
    </xf>
    <xf numFmtId="0" fontId="6" fillId="3" borderId="72" xfId="0" applyFont="1" applyFill="1" applyBorder="1"/>
    <xf numFmtId="0" fontId="29" fillId="6" borderId="56" xfId="0" applyFont="1" applyFill="1" applyBorder="1"/>
    <xf numFmtId="0" fontId="70" fillId="6" borderId="55" xfId="0" applyFont="1" applyFill="1" applyBorder="1"/>
    <xf numFmtId="0" fontId="29" fillId="6" borderId="54" xfId="0" applyFont="1" applyFill="1" applyBorder="1" applyAlignment="1">
      <alignment horizontal="center"/>
    </xf>
    <xf numFmtId="4" fontId="89" fillId="6" borderId="55" xfId="0" applyNumberFormat="1" applyFont="1" applyFill="1" applyBorder="1" applyAlignment="1">
      <alignment horizontal="center"/>
    </xf>
    <xf numFmtId="4" fontId="29" fillId="6" borderId="55" xfId="0" applyNumberFormat="1" applyFont="1" applyFill="1" applyBorder="1" applyAlignment="1">
      <alignment horizontal="center"/>
    </xf>
    <xf numFmtId="4" fontId="90" fillId="6" borderId="65" xfId="1" applyNumberFormat="1" applyFont="1" applyFill="1" applyBorder="1" applyAlignment="1">
      <alignment horizontal="center"/>
    </xf>
    <xf numFmtId="4" fontId="70" fillId="6" borderId="54" xfId="0" applyNumberFormat="1" applyFont="1" applyFill="1" applyBorder="1" applyAlignment="1">
      <alignment horizontal="center"/>
    </xf>
    <xf numFmtId="4" fontId="70" fillId="6" borderId="65" xfId="1" applyNumberFormat="1" applyFont="1" applyFill="1" applyBorder="1" applyAlignment="1">
      <alignment horizontal="center"/>
    </xf>
    <xf numFmtId="4" fontId="29" fillId="6" borderId="54" xfId="0" applyNumberFormat="1" applyFont="1" applyFill="1" applyBorder="1" applyAlignment="1">
      <alignment horizontal="center"/>
    </xf>
    <xf numFmtId="4" fontId="70" fillId="6" borderId="55" xfId="1" applyNumberFormat="1" applyFont="1" applyFill="1" applyBorder="1" applyAlignment="1">
      <alignment horizontal="center"/>
    </xf>
    <xf numFmtId="4" fontId="70" fillId="5" borderId="65" xfId="0" applyNumberFormat="1" applyFont="1" applyFill="1" applyBorder="1" applyAlignment="1">
      <alignment horizontal="center"/>
    </xf>
    <xf numFmtId="4" fontId="70" fillId="5" borderId="54" xfId="0" applyNumberFormat="1" applyFont="1" applyFill="1" applyBorder="1" applyAlignment="1">
      <alignment horizontal="center"/>
    </xf>
    <xf numFmtId="166" fontId="70" fillId="6" borderId="65" xfId="1" applyFont="1" applyFill="1" applyBorder="1" applyAlignment="1">
      <alignment vertical="center"/>
    </xf>
    <xf numFmtId="4" fontId="39" fillId="3" borderId="73" xfId="6" applyNumberFormat="1" applyFont="1" applyFill="1" applyBorder="1" applyAlignment="1">
      <alignment horizontal="center" vertical="center"/>
    </xf>
    <xf numFmtId="0" fontId="17" fillId="6" borderId="0" xfId="0" applyFont="1" applyFill="1" applyAlignment="1">
      <alignment horizontal="center" vertical="center" wrapText="1"/>
    </xf>
    <xf numFmtId="4" fontId="39" fillId="6" borderId="0" xfId="6" applyNumberFormat="1" applyFont="1" applyFill="1" applyAlignment="1">
      <alignment horizontal="center" vertical="center"/>
    </xf>
    <xf numFmtId="10" fontId="7" fillId="6" borderId="0" xfId="0" applyNumberFormat="1" applyFont="1" applyFill="1" applyAlignment="1">
      <alignment horizontal="center"/>
    </xf>
    <xf numFmtId="4" fontId="107" fillId="3" borderId="73" xfId="6" applyNumberFormat="1" applyFont="1" applyFill="1" applyBorder="1" applyAlignment="1">
      <alignment horizontal="center" vertical="center"/>
    </xf>
    <xf numFmtId="0" fontId="17" fillId="3" borderId="141" xfId="0" applyFont="1" applyFill="1" applyBorder="1"/>
    <xf numFmtId="172" fontId="7" fillId="3" borderId="96" xfId="0" applyNumberFormat="1" applyFont="1" applyFill="1" applyBorder="1" applyAlignment="1">
      <alignment horizontal="center"/>
    </xf>
    <xf numFmtId="0" fontId="7" fillId="3" borderId="66" xfId="0" applyFont="1" applyFill="1" applyBorder="1"/>
    <xf numFmtId="0" fontId="17" fillId="3" borderId="75" xfId="0" applyFont="1" applyFill="1" applyBorder="1"/>
    <xf numFmtId="0" fontId="34" fillId="3" borderId="73" xfId="0" applyFont="1" applyFill="1" applyBorder="1"/>
    <xf numFmtId="0" fontId="7" fillId="3" borderId="76" xfId="0" applyFont="1" applyFill="1" applyBorder="1"/>
    <xf numFmtId="0" fontId="7" fillId="3" borderId="99" xfId="0" applyFont="1" applyFill="1" applyBorder="1"/>
    <xf numFmtId="4" fontId="7" fillId="3" borderId="99" xfId="0" applyNumberFormat="1" applyFont="1" applyFill="1" applyBorder="1"/>
    <xf numFmtId="4" fontId="7" fillId="3" borderId="8" xfId="0" applyNumberFormat="1" applyFont="1" applyFill="1" applyBorder="1" applyAlignment="1">
      <alignment horizontal="center"/>
    </xf>
    <xf numFmtId="4" fontId="7" fillId="3" borderId="76" xfId="0" applyNumberFormat="1" applyFont="1" applyFill="1" applyBorder="1"/>
    <xf numFmtId="4" fontId="7" fillId="3" borderId="100" xfId="0" applyNumberFormat="1" applyFont="1" applyFill="1" applyBorder="1" applyAlignment="1">
      <alignment horizontal="center"/>
    </xf>
    <xf numFmtId="3" fontId="7" fillId="9" borderId="72" xfId="0" applyNumberFormat="1" applyFont="1" applyFill="1" applyBorder="1" applyAlignment="1">
      <alignment horizontal="center"/>
    </xf>
    <xf numFmtId="3" fontId="7" fillId="9" borderId="95" xfId="0" applyNumberFormat="1" applyFont="1" applyFill="1" applyBorder="1" applyAlignment="1">
      <alignment horizontal="center"/>
    </xf>
    <xf numFmtId="0" fontId="7" fillId="0" borderId="89" xfId="0" applyFont="1" applyBorder="1"/>
    <xf numFmtId="0" fontId="7" fillId="0" borderId="105" xfId="0" applyFont="1" applyBorder="1"/>
    <xf numFmtId="4" fontId="39" fillId="0" borderId="105" xfId="6" applyNumberFormat="1" applyFont="1" applyBorder="1" applyAlignment="1">
      <alignment horizontal="center" vertical="center"/>
    </xf>
    <xf numFmtId="0" fontId="17" fillId="3" borderId="119" xfId="0" applyFont="1" applyFill="1" applyBorder="1"/>
    <xf numFmtId="0" fontId="17" fillId="3" borderId="59" xfId="0" applyFont="1" applyFill="1" applyBorder="1"/>
    <xf numFmtId="0" fontId="17" fillId="3" borderId="122" xfId="0" applyFont="1" applyFill="1" applyBorder="1"/>
    <xf numFmtId="172" fontId="17" fillId="3" borderId="72" xfId="0" applyNumberFormat="1" applyFont="1" applyFill="1" applyBorder="1" applyAlignment="1">
      <alignment horizontal="center"/>
    </xf>
    <xf numFmtId="172" fontId="17" fillId="3" borderId="93" xfId="0" applyNumberFormat="1" applyFont="1" applyFill="1" applyBorder="1" applyAlignment="1">
      <alignment horizontal="center"/>
    </xf>
    <xf numFmtId="172" fontId="7" fillId="3" borderId="79" xfId="0" applyNumberFormat="1" applyFont="1" applyFill="1" applyBorder="1" applyAlignment="1">
      <alignment horizontal="center"/>
    </xf>
    <xf numFmtId="4" fontId="3" fillId="0" borderId="0" xfId="0" applyNumberFormat="1" applyFont="1" applyAlignment="1">
      <alignment horizontal="center"/>
    </xf>
    <xf numFmtId="2" fontId="3" fillId="0" borderId="0" xfId="0" applyNumberFormat="1" applyFont="1"/>
    <xf numFmtId="4" fontId="14" fillId="0" borderId="0" xfId="0" applyNumberFormat="1" applyFont="1"/>
    <xf numFmtId="0" fontId="14" fillId="0" borderId="0" xfId="0" applyFont="1" applyAlignment="1">
      <alignment horizontal="left"/>
    </xf>
    <xf numFmtId="0" fontId="14" fillId="2" borderId="0" xfId="0" applyFont="1" applyFill="1" applyAlignment="1">
      <alignment horizontal="left"/>
    </xf>
    <xf numFmtId="0" fontId="0" fillId="3" borderId="0" xfId="0" applyFill="1" applyAlignment="1">
      <alignment horizontal="center" vertical="center" wrapText="1"/>
    </xf>
    <xf numFmtId="0" fontId="9" fillId="0" borderId="0" xfId="0" applyFont="1"/>
    <xf numFmtId="4" fontId="3" fillId="2" borderId="146" xfId="0" applyNumberFormat="1" applyFont="1" applyFill="1" applyBorder="1" applyAlignment="1">
      <alignment horizontal="center"/>
    </xf>
    <xf numFmtId="4" fontId="3" fillId="2" borderId="147" xfId="0" applyNumberFormat="1" applyFont="1" applyFill="1" applyBorder="1" applyAlignment="1">
      <alignment horizontal="center"/>
    </xf>
    <xf numFmtId="4" fontId="3" fillId="2" borderId="148" xfId="0" applyNumberFormat="1" applyFont="1" applyFill="1" applyBorder="1" applyAlignment="1">
      <alignment horizontal="center"/>
    </xf>
    <xf numFmtId="0" fontId="9" fillId="15" borderId="137" xfId="0" applyFont="1" applyFill="1" applyBorder="1"/>
    <xf numFmtId="0" fontId="14" fillId="16" borderId="143" xfId="0" applyFont="1" applyFill="1" applyBorder="1" applyAlignment="1">
      <alignment horizontal="left"/>
    </xf>
    <xf numFmtId="4" fontId="3" fillId="16" borderId="69" xfId="0" applyNumberFormat="1" applyFont="1" applyFill="1" applyBorder="1" applyAlignment="1">
      <alignment horizontal="center"/>
    </xf>
    <xf numFmtId="4" fontId="3" fillId="16" borderId="144" xfId="0" applyNumberFormat="1" applyFont="1" applyFill="1" applyBorder="1" applyAlignment="1">
      <alignment horizontal="center"/>
    </xf>
    <xf numFmtId="4" fontId="3" fillId="16" borderId="145" xfId="0" applyNumberFormat="1" applyFont="1" applyFill="1" applyBorder="1" applyAlignment="1">
      <alignment horizontal="center"/>
    </xf>
    <xf numFmtId="0" fontId="3" fillId="16" borderId="138" xfId="0" applyFont="1" applyFill="1" applyBorder="1" applyAlignment="1">
      <alignment horizontal="left"/>
    </xf>
    <xf numFmtId="10" fontId="7" fillId="15" borderId="79" xfId="0" applyNumberFormat="1" applyFont="1" applyFill="1" applyBorder="1" applyAlignment="1">
      <alignment horizontal="center"/>
    </xf>
    <xf numFmtId="10" fontId="7" fillId="15" borderId="78" xfId="0" applyNumberFormat="1" applyFont="1" applyFill="1" applyBorder="1" applyAlignment="1">
      <alignment horizontal="center"/>
    </xf>
    <xf numFmtId="10" fontId="17" fillId="15" borderId="79" xfId="0" applyNumberFormat="1" applyFont="1" applyFill="1" applyBorder="1" applyAlignment="1">
      <alignment horizontal="center"/>
    </xf>
    <xf numFmtId="10" fontId="17" fillId="15" borderId="124" xfId="0" applyNumberFormat="1" applyFont="1" applyFill="1" applyBorder="1" applyAlignment="1">
      <alignment horizontal="center"/>
    </xf>
    <xf numFmtId="10" fontId="17" fillId="15" borderId="78" xfId="0" applyNumberFormat="1" applyFont="1" applyFill="1" applyBorder="1" applyAlignment="1">
      <alignment horizontal="center"/>
    </xf>
    <xf numFmtId="4" fontId="31" fillId="16" borderId="133" xfId="0" applyNumberFormat="1" applyFont="1" applyFill="1" applyBorder="1" applyAlignment="1">
      <alignment horizontal="center"/>
    </xf>
    <xf numFmtId="4" fontId="31" fillId="16" borderId="56" xfId="0" applyNumberFormat="1" applyFont="1" applyFill="1" applyBorder="1" applyAlignment="1">
      <alignment horizontal="center"/>
    </xf>
    <xf numFmtId="4" fontId="83" fillId="3" borderId="0" xfId="0" applyNumberFormat="1" applyFont="1" applyFill="1"/>
    <xf numFmtId="0" fontId="43" fillId="8" borderId="72" xfId="0" applyFont="1" applyFill="1" applyBorder="1" applyAlignment="1">
      <alignment horizontal="center" vertical="center" wrapText="1"/>
    </xf>
    <xf numFmtId="0" fontId="43" fillId="8" borderId="72" xfId="0" applyFont="1" applyFill="1" applyBorder="1" applyAlignment="1">
      <alignment horizontal="center" vertical="center"/>
    </xf>
    <xf numFmtId="0" fontId="46" fillId="3" borderId="90" xfId="0" applyFont="1" applyFill="1" applyBorder="1" applyAlignment="1">
      <alignment horizontal="left" vertical="center"/>
    </xf>
    <xf numFmtId="0" fontId="43" fillId="3" borderId="59" xfId="0" applyFont="1" applyFill="1" applyBorder="1" applyAlignment="1">
      <alignment horizontal="center" vertical="center"/>
    </xf>
    <xf numFmtId="0" fontId="43" fillId="3" borderId="66" xfId="0" applyFont="1" applyFill="1" applyBorder="1" applyAlignment="1">
      <alignment horizontal="center" vertical="center"/>
    </xf>
    <xf numFmtId="4" fontId="45" fillId="3" borderId="72" xfId="0" applyNumberFormat="1" applyFont="1" applyFill="1" applyBorder="1" applyAlignment="1">
      <alignment horizontal="center"/>
    </xf>
    <xf numFmtId="0" fontId="48" fillId="3" borderId="90" xfId="0" applyFont="1" applyFill="1" applyBorder="1"/>
    <xf numFmtId="0" fontId="48" fillId="3" borderId="59" xfId="0" applyFont="1" applyFill="1" applyBorder="1"/>
    <xf numFmtId="4" fontId="48" fillId="3" borderId="72" xfId="0" applyNumberFormat="1" applyFont="1" applyFill="1" applyBorder="1" applyAlignment="1">
      <alignment horizontal="center"/>
    </xf>
    <xf numFmtId="0" fontId="3" fillId="3" borderId="74" xfId="0" applyFont="1" applyFill="1" applyBorder="1" applyAlignment="1">
      <alignment horizontal="left"/>
    </xf>
    <xf numFmtId="0" fontId="9" fillId="3" borderId="90" xfId="0" applyFont="1" applyFill="1" applyBorder="1" applyAlignment="1">
      <alignment horizontal="left"/>
    </xf>
    <xf numFmtId="0" fontId="0" fillId="3" borderId="0" xfId="0" applyFill="1" applyAlignment="1">
      <alignment vertical="center" wrapText="1"/>
    </xf>
    <xf numFmtId="4" fontId="9" fillId="3" borderId="0" xfId="0" applyNumberFormat="1" applyFont="1" applyFill="1" applyAlignment="1">
      <alignment horizontal="center" vertical="center"/>
    </xf>
    <xf numFmtId="0" fontId="0" fillId="3" borderId="98" xfId="0" applyFill="1" applyBorder="1"/>
    <xf numFmtId="0" fontId="0" fillId="3" borderId="66" xfId="0" applyFill="1" applyBorder="1"/>
    <xf numFmtId="0" fontId="31" fillId="9" borderId="72" xfId="0" applyFont="1" applyFill="1" applyBorder="1" applyAlignment="1">
      <alignment horizontal="center" vertical="center" wrapText="1"/>
    </xf>
    <xf numFmtId="0" fontId="2" fillId="3" borderId="0" xfId="0" applyFont="1" applyFill="1" applyAlignment="1">
      <alignment horizontal="right"/>
    </xf>
    <xf numFmtId="0" fontId="3" fillId="6" borderId="74" xfId="0" applyFont="1" applyFill="1" applyBorder="1" applyAlignment="1">
      <alignment horizontal="left"/>
    </xf>
    <xf numFmtId="0" fontId="3" fillId="6" borderId="98" xfId="0" applyFont="1" applyFill="1" applyBorder="1"/>
    <xf numFmtId="0" fontId="3" fillId="6" borderId="76" xfId="0" applyFont="1" applyFill="1" applyBorder="1"/>
    <xf numFmtId="0" fontId="3" fillId="6" borderId="99" xfId="0" applyFont="1" applyFill="1" applyBorder="1"/>
    <xf numFmtId="4" fontId="6" fillId="6" borderId="17" xfId="0" applyNumberFormat="1" applyFont="1" applyFill="1" applyBorder="1" applyAlignment="1">
      <alignment horizontal="center"/>
    </xf>
    <xf numFmtId="4" fontId="6" fillId="6" borderId="8" xfId="0" applyNumberFormat="1" applyFont="1" applyFill="1" applyBorder="1" applyAlignment="1">
      <alignment horizontal="center"/>
    </xf>
    <xf numFmtId="15" fontId="6" fillId="6" borderId="17" xfId="0" applyNumberFormat="1" applyFont="1" applyFill="1" applyBorder="1" applyAlignment="1">
      <alignment horizontal="center"/>
    </xf>
    <xf numFmtId="15" fontId="6" fillId="6" borderId="8" xfId="0" applyNumberFormat="1" applyFont="1" applyFill="1" applyBorder="1" applyAlignment="1">
      <alignment horizontal="center"/>
    </xf>
    <xf numFmtId="0" fontId="3" fillId="3" borderId="90" xfId="0" applyFont="1" applyFill="1" applyBorder="1"/>
    <xf numFmtId="0" fontId="3" fillId="3" borderId="66" xfId="0" applyFont="1" applyFill="1" applyBorder="1"/>
    <xf numFmtId="4" fontId="51" fillId="3" borderId="73" xfId="0" applyNumberFormat="1" applyFont="1" applyFill="1" applyBorder="1" applyAlignment="1">
      <alignment horizontal="center"/>
    </xf>
    <xf numFmtId="4" fontId="51" fillId="3" borderId="99" xfId="0" applyNumberFormat="1" applyFont="1" applyFill="1" applyBorder="1" applyAlignment="1">
      <alignment horizontal="center"/>
    </xf>
    <xf numFmtId="4" fontId="51" fillId="3" borderId="98" xfId="0" applyNumberFormat="1" applyFont="1" applyFill="1" applyBorder="1" applyAlignment="1">
      <alignment horizontal="center"/>
    </xf>
    <xf numFmtId="4" fontId="52" fillId="3" borderId="73" xfId="0" applyNumberFormat="1" applyFont="1" applyFill="1" applyBorder="1" applyAlignment="1">
      <alignment horizontal="center"/>
    </xf>
    <xf numFmtId="4" fontId="52" fillId="3" borderId="105" xfId="0" applyNumberFormat="1" applyFont="1" applyFill="1" applyBorder="1" applyAlignment="1">
      <alignment horizontal="center"/>
    </xf>
    <xf numFmtId="0" fontId="12" fillId="0" borderId="0" xfId="0" applyFont="1" applyAlignment="1">
      <alignment vertical="center" wrapText="1"/>
    </xf>
    <xf numFmtId="0" fontId="12" fillId="0" borderId="4" xfId="0" applyFont="1" applyBorder="1" applyAlignment="1">
      <alignment vertical="center" wrapText="1"/>
    </xf>
    <xf numFmtId="0" fontId="7" fillId="3" borderId="8" xfId="0" applyFont="1" applyFill="1" applyBorder="1"/>
    <xf numFmtId="4" fontId="39" fillId="3" borderId="0" xfId="6" applyNumberFormat="1" applyFont="1" applyFill="1" applyAlignment="1">
      <alignment horizontal="left"/>
    </xf>
    <xf numFmtId="4" fontId="41" fillId="3" borderId="0" xfId="0" applyNumberFormat="1" applyFont="1" applyFill="1" applyAlignment="1">
      <alignment horizontal="center"/>
    </xf>
    <xf numFmtId="4" fontId="41" fillId="3" borderId="0" xfId="0" applyNumberFormat="1" applyFont="1" applyFill="1" applyAlignment="1">
      <alignment horizontal="left"/>
    </xf>
    <xf numFmtId="0" fontId="2" fillId="3" borderId="0" xfId="0" applyFont="1" applyFill="1"/>
    <xf numFmtId="0" fontId="31" fillId="3" borderId="0" xfId="0" applyFont="1" applyFill="1" applyAlignment="1">
      <alignment horizontal="center"/>
    </xf>
    <xf numFmtId="0" fontId="3" fillId="3" borderId="3" xfId="0" applyFont="1" applyFill="1" applyBorder="1" applyAlignment="1">
      <alignment horizontal="center"/>
    </xf>
    <xf numFmtId="0" fontId="9" fillId="3" borderId="3" xfId="0" applyFont="1" applyFill="1" applyBorder="1" applyAlignment="1">
      <alignment horizontal="left" vertical="center"/>
    </xf>
    <xf numFmtId="4" fontId="3" fillId="3" borderId="49" xfId="0" applyNumberFormat="1" applyFont="1" applyFill="1" applyBorder="1" applyAlignment="1">
      <alignment horizontal="center"/>
    </xf>
    <xf numFmtId="0" fontId="3" fillId="3" borderId="5" xfId="0" applyFont="1" applyFill="1" applyBorder="1"/>
    <xf numFmtId="0" fontId="3" fillId="3" borderId="6" xfId="0" applyFont="1" applyFill="1" applyBorder="1"/>
    <xf numFmtId="4" fontId="3" fillId="3" borderId="34" xfId="0" applyNumberFormat="1" applyFont="1" applyFill="1" applyBorder="1" applyAlignment="1">
      <alignment horizontal="center"/>
    </xf>
    <xf numFmtId="4" fontId="3" fillId="3" borderId="35" xfId="0" applyNumberFormat="1" applyFont="1" applyFill="1" applyBorder="1" applyAlignment="1">
      <alignment horizontal="center"/>
    </xf>
    <xf numFmtId="4" fontId="3" fillId="3" borderId="37" xfId="0" applyNumberFormat="1" applyFont="1" applyFill="1" applyBorder="1" applyAlignment="1">
      <alignment horizontal="center"/>
    </xf>
    <xf numFmtId="0" fontId="43" fillId="9" borderId="133" xfId="0" applyFont="1" applyFill="1" applyBorder="1" applyAlignment="1">
      <alignment horizontal="center" vertical="center" wrapText="1"/>
    </xf>
    <xf numFmtId="0" fontId="43" fillId="9" borderId="55" xfId="0" applyFont="1" applyFill="1" applyBorder="1" applyAlignment="1">
      <alignment horizontal="center" vertical="center" wrapText="1"/>
    </xf>
    <xf numFmtId="0" fontId="43" fillId="9" borderId="56" xfId="0" applyFont="1" applyFill="1" applyBorder="1" applyAlignment="1">
      <alignment horizontal="center" vertical="center"/>
    </xf>
    <xf numFmtId="0" fontId="43" fillId="9" borderId="54" xfId="0" applyFont="1" applyFill="1" applyBorder="1" applyAlignment="1">
      <alignment horizontal="center" vertical="center" wrapText="1"/>
    </xf>
    <xf numFmtId="0" fontId="31" fillId="0" borderId="0" xfId="0" applyFont="1" applyAlignment="1">
      <alignment horizontal="left"/>
    </xf>
    <xf numFmtId="0" fontId="21" fillId="0" borderId="0" xfId="0" applyFont="1" applyAlignment="1">
      <alignment horizontal="left"/>
    </xf>
    <xf numFmtId="2" fontId="37" fillId="0" borderId="75" xfId="0" applyNumberFormat="1" applyFont="1" applyBorder="1" applyAlignment="1">
      <alignment horizontal="center"/>
    </xf>
    <xf numFmtId="0" fontId="4" fillId="0" borderId="72" xfId="0" applyFont="1" applyBorder="1" applyAlignment="1">
      <alignment horizontal="left"/>
    </xf>
    <xf numFmtId="4" fontId="4" fillId="0" borderId="72" xfId="0" applyNumberFormat="1" applyFont="1" applyBorder="1" applyAlignment="1">
      <alignment horizontal="center"/>
    </xf>
    <xf numFmtId="0" fontId="9" fillId="0" borderId="72" xfId="0" applyFont="1" applyBorder="1"/>
    <xf numFmtId="167" fontId="4" fillId="3" borderId="12" xfId="0" applyNumberFormat="1" applyFont="1" applyFill="1" applyBorder="1" applyAlignment="1">
      <alignment horizontal="center"/>
    </xf>
    <xf numFmtId="0" fontId="4" fillId="0" borderId="72" xfId="0" applyFont="1" applyBorder="1"/>
    <xf numFmtId="167" fontId="4" fillId="0" borderId="72" xfId="0" applyNumberFormat="1" applyFont="1" applyBorder="1" applyAlignment="1">
      <alignment horizontal="center"/>
    </xf>
    <xf numFmtId="0" fontId="17" fillId="0" borderId="72" xfId="0" applyFont="1" applyBorder="1"/>
    <xf numFmtId="0" fontId="17" fillId="3" borderId="0" xfId="0" applyFont="1" applyFill="1" applyAlignment="1">
      <alignment horizontal="left"/>
    </xf>
    <xf numFmtId="0" fontId="17" fillId="3" borderId="72" xfId="0" applyFont="1" applyFill="1" applyBorder="1"/>
    <xf numFmtId="167" fontId="4" fillId="3" borderId="72" xfId="0" applyNumberFormat="1" applyFont="1" applyFill="1" applyBorder="1" applyAlignment="1">
      <alignment horizontal="center"/>
    </xf>
    <xf numFmtId="0" fontId="80" fillId="6" borderId="83" xfId="0" quotePrefix="1" applyFont="1" applyFill="1" applyBorder="1" applyAlignment="1" applyProtection="1">
      <alignment horizontal="left" vertical="center"/>
      <protection locked="0"/>
    </xf>
    <xf numFmtId="0" fontId="7" fillId="5" borderId="41" xfId="0" applyFont="1" applyFill="1" applyBorder="1"/>
    <xf numFmtId="0" fontId="108" fillId="0" borderId="0" xfId="0" applyFont="1" applyAlignment="1">
      <alignment vertical="center"/>
    </xf>
    <xf numFmtId="0" fontId="82" fillId="0" borderId="83" xfId="0" applyFont="1" applyBorder="1" applyAlignment="1" applyProtection="1">
      <alignment vertical="center"/>
      <protection locked="0"/>
    </xf>
    <xf numFmtId="4" fontId="88" fillId="3" borderId="0" xfId="0" applyNumberFormat="1" applyFont="1" applyFill="1" applyAlignment="1">
      <alignment horizontal="left"/>
    </xf>
    <xf numFmtId="4" fontId="70" fillId="6" borderId="6" xfId="0" applyNumberFormat="1" applyFont="1" applyFill="1" applyBorder="1" applyAlignment="1">
      <alignment horizontal="center"/>
    </xf>
    <xf numFmtId="0" fontId="23" fillId="0" borderId="0" xfId="0" applyFont="1" applyAlignment="1">
      <alignment horizontal="center"/>
    </xf>
    <xf numFmtId="4" fontId="70" fillId="6" borderId="7" xfId="0" applyNumberFormat="1" applyFont="1" applyFill="1" applyBorder="1" applyAlignment="1">
      <alignment horizontal="center"/>
    </xf>
    <xf numFmtId="0" fontId="70" fillId="6" borderId="83" xfId="0" applyFont="1" applyFill="1" applyBorder="1" applyAlignment="1" applyProtection="1">
      <alignment vertical="center"/>
      <protection locked="0"/>
    </xf>
    <xf numFmtId="0" fontId="70" fillId="6" borderId="125" xfId="0" applyFont="1" applyFill="1" applyBorder="1" applyAlignment="1" applyProtection="1">
      <alignment horizontal="center" vertical="center"/>
      <protection locked="0"/>
    </xf>
    <xf numFmtId="4" fontId="70" fillId="6" borderId="126" xfId="0" applyNumberFormat="1" applyFont="1" applyFill="1" applyBorder="1" applyAlignment="1" applyProtection="1">
      <alignment horizontal="center" vertical="center"/>
      <protection locked="0"/>
    </xf>
    <xf numFmtId="4" fontId="70" fillId="6" borderId="127" xfId="0" applyNumberFormat="1" applyFont="1" applyFill="1" applyBorder="1" applyAlignment="1" applyProtection="1">
      <alignment horizontal="center" vertical="center"/>
      <protection locked="0"/>
    </xf>
    <xf numFmtId="0" fontId="70" fillId="8" borderId="83" xfId="0" applyFont="1" applyFill="1" applyBorder="1" applyAlignment="1" applyProtection="1">
      <alignment vertical="center"/>
      <protection locked="0"/>
    </xf>
    <xf numFmtId="4" fontId="70" fillId="8" borderId="126" xfId="0" applyNumberFormat="1" applyFont="1" applyFill="1" applyBorder="1" applyAlignment="1" applyProtection="1">
      <alignment horizontal="center" vertical="center"/>
      <protection locked="0"/>
    </xf>
    <xf numFmtId="4" fontId="70" fillId="8" borderId="127" xfId="0" applyNumberFormat="1" applyFont="1" applyFill="1" applyBorder="1" applyAlignment="1" applyProtection="1">
      <alignment horizontal="center" vertical="center"/>
      <protection locked="0"/>
    </xf>
    <xf numFmtId="4" fontId="70" fillId="8" borderId="67" xfId="0" applyNumberFormat="1" applyFont="1" applyFill="1" applyBorder="1" applyAlignment="1">
      <alignment horizontal="center"/>
    </xf>
    <xf numFmtId="4" fontId="70" fillId="8" borderId="68" xfId="0" applyNumberFormat="1" applyFont="1" applyFill="1" applyBorder="1" applyAlignment="1">
      <alignment horizontal="center"/>
    </xf>
    <xf numFmtId="4" fontId="70" fillId="8" borderId="52" xfId="0" applyNumberFormat="1" applyFont="1" applyFill="1" applyBorder="1" applyAlignment="1">
      <alignment horizontal="center"/>
    </xf>
    <xf numFmtId="0" fontId="29" fillId="6" borderId="3" xfId="0" applyFont="1" applyFill="1" applyBorder="1" applyAlignment="1" applyProtection="1">
      <alignment horizontal="left" vertical="center" wrapText="1"/>
      <protection locked="0"/>
    </xf>
    <xf numFmtId="0" fontId="29" fillId="6" borderId="134" xfId="0" applyFont="1" applyFill="1" applyBorder="1" applyAlignment="1" applyProtection="1">
      <alignment horizontal="center" vertical="center"/>
      <protection locked="0"/>
    </xf>
    <xf numFmtId="0" fontId="70" fillId="8" borderId="3" xfId="0" applyFont="1" applyFill="1" applyBorder="1" applyAlignment="1" applyProtection="1">
      <alignment horizontal="left" vertical="center" wrapText="1"/>
      <protection locked="0"/>
    </xf>
    <xf numFmtId="0" fontId="70" fillId="8" borderId="134" xfId="0" applyFont="1" applyFill="1" applyBorder="1" applyAlignment="1" applyProtection="1">
      <alignment horizontal="center" vertical="center"/>
      <protection locked="0"/>
    </xf>
    <xf numFmtId="4" fontId="70" fillId="8" borderId="73" xfId="0" applyNumberFormat="1" applyFont="1" applyFill="1" applyBorder="1" applyAlignment="1">
      <alignment horizontal="center"/>
    </xf>
    <xf numFmtId="4" fontId="53" fillId="8" borderId="0" xfId="0" applyNumberFormat="1" applyFont="1" applyFill="1"/>
    <xf numFmtId="178" fontId="53" fillId="8" borderId="0" xfId="0" applyNumberFormat="1" applyFont="1" applyFill="1"/>
    <xf numFmtId="4" fontId="98" fillId="8" borderId="0" xfId="0" applyNumberFormat="1" applyFont="1" applyFill="1"/>
    <xf numFmtId="0" fontId="53" fillId="8" borderId="0" xfId="0" applyFont="1" applyFill="1"/>
    <xf numFmtId="0" fontId="69" fillId="18" borderId="83" xfId="0" quotePrefix="1" applyFont="1" applyFill="1" applyBorder="1" applyAlignment="1" applyProtection="1">
      <alignment vertical="center"/>
      <protection locked="0"/>
    </xf>
    <xf numFmtId="0" fontId="69" fillId="18" borderId="83" xfId="0" applyFont="1" applyFill="1" applyBorder="1" applyAlignment="1" applyProtection="1">
      <alignment vertical="center"/>
      <protection locked="0"/>
    </xf>
    <xf numFmtId="0" fontId="34" fillId="18" borderId="134" xfId="0" applyFont="1" applyFill="1" applyBorder="1" applyAlignment="1" applyProtection="1">
      <alignment horizontal="center" vertical="center"/>
      <protection locked="0"/>
    </xf>
    <xf numFmtId="4" fontId="34" fillId="18" borderId="126" xfId="0" applyNumberFormat="1" applyFont="1" applyFill="1" applyBorder="1" applyAlignment="1" applyProtection="1">
      <alignment horizontal="center" vertical="center"/>
      <protection locked="0"/>
    </xf>
    <xf numFmtId="4" fontId="34" fillId="18" borderId="127" xfId="0" applyNumberFormat="1" applyFont="1" applyFill="1" applyBorder="1" applyAlignment="1" applyProtection="1">
      <alignment horizontal="center" vertical="center"/>
      <protection locked="0"/>
    </xf>
    <xf numFmtId="4" fontId="34" fillId="18" borderId="73" xfId="0" applyNumberFormat="1" applyFont="1" applyFill="1" applyBorder="1" applyAlignment="1">
      <alignment horizontal="center"/>
    </xf>
    <xf numFmtId="4" fontId="34" fillId="18" borderId="68" xfId="0" applyNumberFormat="1" applyFont="1" applyFill="1" applyBorder="1" applyAlignment="1">
      <alignment horizontal="center"/>
    </xf>
    <xf numFmtId="4" fontId="34" fillId="18" borderId="67" xfId="0" applyNumberFormat="1" applyFont="1" applyFill="1" applyBorder="1" applyAlignment="1">
      <alignment horizontal="center"/>
    </xf>
    <xf numFmtId="4" fontId="34" fillId="18" borderId="52" xfId="0" applyNumberFormat="1" applyFont="1" applyFill="1" applyBorder="1" applyAlignment="1">
      <alignment horizontal="center"/>
    </xf>
    <xf numFmtId="4" fontId="51" fillId="18" borderId="0" xfId="0" applyNumberFormat="1" applyFont="1" applyFill="1"/>
    <xf numFmtId="178" fontId="51" fillId="18" borderId="0" xfId="0" applyNumberFormat="1" applyFont="1" applyFill="1"/>
    <xf numFmtId="4" fontId="109" fillId="18" borderId="0" xfId="0" applyNumberFormat="1" applyFont="1" applyFill="1"/>
    <xf numFmtId="0" fontId="51" fillId="18" borderId="0" xfId="0" applyFont="1" applyFill="1"/>
    <xf numFmtId="2" fontId="79" fillId="7" borderId="72" xfId="7" quotePrefix="1" applyNumberFormat="1" applyFont="1" applyFill="1" applyBorder="1" applyAlignment="1">
      <alignment horizontal="center"/>
    </xf>
    <xf numFmtId="0" fontId="79" fillId="7" borderId="72" xfId="0" applyFont="1" applyFill="1" applyBorder="1" applyAlignment="1">
      <alignment horizontal="center"/>
    </xf>
    <xf numFmtId="2" fontId="37" fillId="8" borderId="72" xfId="7" quotePrefix="1" applyNumberFormat="1" applyFill="1" applyBorder="1" applyAlignment="1">
      <alignment horizontal="center"/>
    </xf>
    <xf numFmtId="0" fontId="0" fillId="8" borderId="72" xfId="0" applyFill="1" applyBorder="1" applyAlignment="1">
      <alignment horizontal="center"/>
    </xf>
    <xf numFmtId="2" fontId="79" fillId="7" borderId="72" xfId="7" applyNumberFormat="1" applyFont="1" applyFill="1" applyBorder="1" applyAlignment="1">
      <alignment horizontal="center"/>
    </xf>
    <xf numFmtId="0" fontId="17" fillId="8" borderId="14" xfId="0" applyFont="1" applyFill="1" applyBorder="1" applyAlignment="1">
      <alignment horizontal="center"/>
    </xf>
    <xf numFmtId="0" fontId="17" fillId="8" borderId="50" xfId="0" applyFont="1" applyFill="1" applyBorder="1" applyAlignment="1">
      <alignment horizontal="center"/>
    </xf>
    <xf numFmtId="0" fontId="17" fillId="8" borderId="51" xfId="0" applyFont="1" applyFill="1" applyBorder="1" applyAlignment="1">
      <alignment horizontal="center"/>
    </xf>
    <xf numFmtId="0" fontId="17" fillId="8" borderId="88" xfId="0" applyFont="1" applyFill="1" applyBorder="1" applyAlignment="1">
      <alignment horizontal="center"/>
    </xf>
    <xf numFmtId="173" fontId="20" fillId="3" borderId="6" xfId="0" applyNumberFormat="1" applyFont="1" applyFill="1" applyBorder="1" applyAlignment="1">
      <alignment horizontal="center" vertical="center"/>
    </xf>
    <xf numFmtId="173" fontId="20" fillId="3" borderId="7" xfId="0" applyNumberFormat="1" applyFont="1" applyFill="1" applyBorder="1" applyAlignment="1">
      <alignment horizontal="center" vertical="center"/>
    </xf>
    <xf numFmtId="0" fontId="42" fillId="2" borderId="0" xfId="0" applyFont="1" applyFill="1" applyAlignment="1">
      <alignment horizontal="center" vertical="center" wrapText="1"/>
    </xf>
    <xf numFmtId="0" fontId="13" fillId="2" borderId="0" xfId="0" applyFont="1" applyFill="1" applyAlignment="1">
      <alignment horizontal="center" vertical="center" wrapText="1"/>
    </xf>
    <xf numFmtId="0" fontId="70" fillId="6" borderId="3" xfId="0" applyFont="1" applyFill="1" applyBorder="1"/>
    <xf numFmtId="0" fontId="70" fillId="6" borderId="85" xfId="0" applyFont="1" applyFill="1" applyBorder="1"/>
    <xf numFmtId="0" fontId="29" fillId="6" borderId="51" xfId="0" applyFont="1" applyFill="1" applyBorder="1" applyAlignment="1">
      <alignment horizontal="center"/>
    </xf>
    <xf numFmtId="4" fontId="70" fillId="6" borderId="41" xfId="0" applyNumberFormat="1" applyFont="1" applyFill="1" applyBorder="1" applyAlignment="1">
      <alignment horizontal="center"/>
    </xf>
    <xf numFmtId="0" fontId="34" fillId="6" borderId="3" xfId="0" applyFont="1" applyFill="1" applyBorder="1"/>
    <xf numFmtId="0" fontId="0" fillId="3" borderId="3" xfId="0" applyFill="1" applyBorder="1"/>
    <xf numFmtId="0" fontId="0" fillId="3" borderId="5" xfId="0" applyFill="1" applyBorder="1"/>
    <xf numFmtId="0" fontId="7" fillId="6" borderId="6" xfId="0" applyFont="1" applyFill="1" applyBorder="1"/>
    <xf numFmtId="4" fontId="70" fillId="6" borderId="85" xfId="0" applyNumberFormat="1" applyFont="1" applyFill="1" applyBorder="1" applyAlignment="1">
      <alignment horizontal="center"/>
    </xf>
    <xf numFmtId="4" fontId="29" fillId="6" borderId="83" xfId="0" applyNumberFormat="1" applyFont="1" applyFill="1" applyBorder="1" applyAlignment="1">
      <alignment horizontal="center"/>
    </xf>
    <xf numFmtId="4" fontId="70" fillId="6" borderId="83" xfId="0" applyNumberFormat="1" applyFont="1" applyFill="1" applyBorder="1" applyAlignment="1">
      <alignment horizontal="center"/>
    </xf>
    <xf numFmtId="4" fontId="70" fillId="6" borderId="84" xfId="0" applyNumberFormat="1" applyFont="1" applyFill="1" applyBorder="1" applyAlignment="1">
      <alignment horizontal="center"/>
    </xf>
    <xf numFmtId="4" fontId="2" fillId="6" borderId="39" xfId="0" applyNumberFormat="1" applyFont="1" applyFill="1" applyBorder="1" applyAlignment="1">
      <alignment horizontal="center"/>
    </xf>
    <xf numFmtId="172" fontId="5" fillId="2" borderId="0" xfId="0" applyNumberFormat="1" applyFont="1" applyFill="1"/>
    <xf numFmtId="10" fontId="54" fillId="3" borderId="0" xfId="0" applyNumberFormat="1" applyFont="1" applyFill="1"/>
    <xf numFmtId="0" fontId="17" fillId="5" borderId="72" xfId="0" applyFont="1" applyFill="1" applyBorder="1"/>
    <xf numFmtId="172" fontId="20" fillId="5" borderId="72" xfId="0" applyNumberFormat="1" applyFont="1" applyFill="1" applyBorder="1" applyAlignment="1">
      <alignment horizontal="center"/>
    </xf>
    <xf numFmtId="4" fontId="20" fillId="5" borderId="72" xfId="0" applyNumberFormat="1" applyFont="1" applyFill="1" applyBorder="1" applyAlignment="1">
      <alignment horizontal="center"/>
    </xf>
    <xf numFmtId="168" fontId="20" fillId="5" borderId="72" xfId="0" applyNumberFormat="1" applyFont="1" applyFill="1" applyBorder="1" applyAlignment="1">
      <alignment horizontal="center"/>
    </xf>
    <xf numFmtId="173" fontId="20" fillId="5" borderId="72" xfId="0" applyNumberFormat="1" applyFont="1" applyFill="1" applyBorder="1" applyAlignment="1">
      <alignment horizontal="center"/>
    </xf>
    <xf numFmtId="4" fontId="31" fillId="6" borderId="35" xfId="0" applyNumberFormat="1" applyFont="1" applyFill="1" applyBorder="1" applyAlignment="1">
      <alignment horizontal="center"/>
    </xf>
    <xf numFmtId="2" fontId="37" fillId="7" borderId="72" xfId="7" quotePrefix="1" applyNumberFormat="1" applyFill="1" applyBorder="1" applyAlignment="1">
      <alignment horizontal="center"/>
    </xf>
    <xf numFmtId="4" fontId="6" fillId="3" borderId="72" xfId="0" applyNumberFormat="1" applyFont="1" applyFill="1" applyBorder="1" applyAlignment="1">
      <alignment horizontal="center"/>
    </xf>
    <xf numFmtId="0" fontId="24" fillId="3" borderId="0" xfId="0" quotePrefix="1" applyFont="1" applyFill="1" applyAlignment="1">
      <alignment horizontal="center"/>
    </xf>
    <xf numFmtId="4" fontId="0" fillId="0" borderId="0" xfId="0" applyNumberFormat="1"/>
    <xf numFmtId="0" fontId="77" fillId="0" borderId="0" xfId="0" applyFont="1"/>
    <xf numFmtId="0" fontId="77" fillId="0" borderId="0" xfId="0" applyFont="1" applyAlignment="1">
      <alignment horizontal="right"/>
    </xf>
    <xf numFmtId="4" fontId="77" fillId="0" borderId="0" xfId="0" applyNumberFormat="1" applyFont="1"/>
    <xf numFmtId="0" fontId="0" fillId="0" borderId="72" xfId="0" applyBorder="1"/>
    <xf numFmtId="17" fontId="0" fillId="0" borderId="72" xfId="0" applyNumberFormat="1" applyBorder="1"/>
    <xf numFmtId="4" fontId="0" fillId="0" borderId="72" xfId="0" applyNumberFormat="1" applyBorder="1"/>
    <xf numFmtId="4" fontId="0" fillId="0" borderId="90" xfId="0" applyNumberFormat="1" applyBorder="1"/>
    <xf numFmtId="0" fontId="2" fillId="6" borderId="72" xfId="0" applyFont="1" applyFill="1" applyBorder="1" applyAlignment="1">
      <alignment horizontal="center"/>
    </xf>
    <xf numFmtId="4" fontId="0" fillId="6" borderId="72" xfId="0" applyNumberFormat="1" applyFill="1" applyBorder="1"/>
    <xf numFmtId="0" fontId="77" fillId="9" borderId="72" xfId="0" applyFont="1" applyFill="1" applyBorder="1" applyAlignment="1">
      <alignment horizontal="center"/>
    </xf>
    <xf numFmtId="0" fontId="77" fillId="9" borderId="90" xfId="0" applyFont="1" applyFill="1" applyBorder="1" applyAlignment="1">
      <alignment horizontal="center"/>
    </xf>
    <xf numFmtId="0" fontId="31" fillId="9" borderId="72" xfId="0" applyFont="1" applyFill="1" applyBorder="1" applyAlignment="1">
      <alignment horizontal="center"/>
    </xf>
    <xf numFmtId="16" fontId="77" fillId="9" borderId="72" xfId="0" applyNumberFormat="1" applyFont="1" applyFill="1" applyBorder="1" applyAlignment="1">
      <alignment horizontal="center"/>
    </xf>
    <xf numFmtId="0" fontId="77" fillId="9" borderId="17" xfId="0" applyFont="1" applyFill="1" applyBorder="1"/>
    <xf numFmtId="0" fontId="77" fillId="9" borderId="0" xfId="0" applyFont="1" applyFill="1" applyAlignment="1">
      <alignment horizontal="center"/>
    </xf>
    <xf numFmtId="0" fontId="77" fillId="9" borderId="0" xfId="0" applyFont="1" applyFill="1"/>
    <xf numFmtId="0" fontId="77" fillId="9" borderId="150" xfId="0" applyFont="1" applyFill="1" applyBorder="1"/>
    <xf numFmtId="0" fontId="77" fillId="9" borderId="150" xfId="0" applyFont="1" applyFill="1" applyBorder="1" applyAlignment="1">
      <alignment horizontal="center"/>
    </xf>
    <xf numFmtId="4" fontId="2" fillId="6" borderId="152" xfId="0" applyNumberFormat="1" applyFont="1" applyFill="1" applyBorder="1" applyAlignment="1">
      <alignment horizontal="center"/>
    </xf>
    <xf numFmtId="0" fontId="77" fillId="9" borderId="90" xfId="0" applyFont="1" applyFill="1" applyBorder="1"/>
    <xf numFmtId="0" fontId="2" fillId="9" borderId="66" xfId="0" applyFont="1" applyFill="1" applyBorder="1"/>
    <xf numFmtId="4" fontId="77" fillId="9" borderId="72" xfId="0" applyNumberFormat="1" applyFont="1" applyFill="1" applyBorder="1"/>
    <xf numFmtId="4" fontId="31" fillId="9" borderId="72" xfId="0" applyNumberFormat="1" applyFont="1" applyFill="1" applyBorder="1"/>
    <xf numFmtId="0" fontId="2" fillId="0" borderId="0" xfId="0" applyFont="1"/>
    <xf numFmtId="0" fontId="69" fillId="6" borderId="0" xfId="0" applyFont="1" applyFill="1" applyAlignment="1">
      <alignment vertical="justify"/>
    </xf>
    <xf numFmtId="4" fontId="2" fillId="0" borderId="72" xfId="0" applyNumberFormat="1" applyFont="1" applyBorder="1"/>
    <xf numFmtId="17" fontId="2" fillId="0" borderId="0" xfId="0" applyNumberFormat="1" applyFont="1"/>
    <xf numFmtId="3" fontId="7" fillId="9" borderId="90" xfId="0" applyNumberFormat="1" applyFont="1" applyFill="1" applyBorder="1" applyAlignment="1">
      <alignment horizontal="center"/>
    </xf>
    <xf numFmtId="4" fontId="7" fillId="3" borderId="76" xfId="0" applyNumberFormat="1" applyFont="1" applyFill="1" applyBorder="1" applyAlignment="1">
      <alignment horizontal="center"/>
    </xf>
    <xf numFmtId="10" fontId="7" fillId="15" borderId="124" xfId="0" applyNumberFormat="1" applyFont="1" applyFill="1" applyBorder="1" applyAlignment="1">
      <alignment horizontal="center"/>
    </xf>
    <xf numFmtId="172" fontId="7" fillId="3" borderId="119" xfId="0" applyNumberFormat="1" applyFont="1" applyFill="1" applyBorder="1" applyAlignment="1">
      <alignment horizontal="center"/>
    </xf>
    <xf numFmtId="10" fontId="7" fillId="3" borderId="90" xfId="0" applyNumberFormat="1" applyFont="1" applyFill="1" applyBorder="1" applyAlignment="1">
      <alignment horizontal="center"/>
    </xf>
    <xf numFmtId="10" fontId="7" fillId="6" borderId="68" xfId="0" applyNumberFormat="1" applyFont="1" applyFill="1" applyBorder="1" applyAlignment="1">
      <alignment horizontal="center"/>
    </xf>
    <xf numFmtId="172" fontId="7" fillId="3" borderId="94" xfId="0" applyNumberFormat="1" applyFont="1" applyFill="1" applyBorder="1" applyAlignment="1">
      <alignment horizontal="center"/>
    </xf>
    <xf numFmtId="2" fontId="2" fillId="8" borderId="72" xfId="7" quotePrefix="1" applyNumberFormat="1" applyFont="1" applyFill="1" applyBorder="1" applyAlignment="1">
      <alignment horizontal="center"/>
    </xf>
    <xf numFmtId="43" fontId="2" fillId="8" borderId="72" xfId="7" quotePrefix="1" applyNumberFormat="1" applyFont="1" applyFill="1" applyBorder="1" applyAlignment="1">
      <alignment horizontal="center"/>
    </xf>
    <xf numFmtId="0" fontId="24" fillId="0" borderId="5" xfId="0" applyFont="1" applyBorder="1" applyAlignment="1">
      <alignment horizontal="left"/>
    </xf>
    <xf numFmtId="0" fontId="24" fillId="0" borderId="6" xfId="0" applyFont="1" applyBorder="1"/>
    <xf numFmtId="0" fontId="24" fillId="0" borderId="89" xfId="0" applyFont="1" applyBorder="1" applyAlignment="1">
      <alignment horizontal="center"/>
    </xf>
    <xf numFmtId="168" fontId="24" fillId="0" borderId="87" xfId="0" applyNumberFormat="1" applyFont="1" applyBorder="1" applyAlignment="1">
      <alignment horizontal="center"/>
    </xf>
    <xf numFmtId="10" fontId="24" fillId="0" borderId="87" xfId="0" applyNumberFormat="1" applyFont="1" applyBorder="1" applyAlignment="1">
      <alignment horizontal="center"/>
    </xf>
    <xf numFmtId="168" fontId="24" fillId="0" borderId="69" xfId="0" applyNumberFormat="1" applyFont="1" applyBorder="1" applyAlignment="1">
      <alignment horizontal="center"/>
    </xf>
    <xf numFmtId="168" fontId="24" fillId="0" borderId="70" xfId="0" applyNumberFormat="1" applyFont="1" applyBorder="1" applyAlignment="1">
      <alignment horizontal="center"/>
    </xf>
    <xf numFmtId="168" fontId="24" fillId="0" borderId="105" xfId="0" applyNumberFormat="1" applyFont="1" applyBorder="1" applyAlignment="1">
      <alignment horizontal="center"/>
    </xf>
    <xf numFmtId="167" fontId="0" fillId="3" borderId="0" xfId="0" applyNumberFormat="1" applyFill="1"/>
    <xf numFmtId="0" fontId="114" fillId="0" borderId="0" xfId="0" applyFont="1" applyAlignment="1">
      <alignment horizontal="center"/>
    </xf>
    <xf numFmtId="4" fontId="114" fillId="0" borderId="0" xfId="0" applyNumberFormat="1" applyFont="1" applyAlignment="1">
      <alignment horizontal="center" vertical="center"/>
    </xf>
    <xf numFmtId="10" fontId="114" fillId="0" borderId="0" xfId="0" applyNumberFormat="1" applyFont="1"/>
    <xf numFmtId="4" fontId="114" fillId="22" borderId="0" xfId="0" applyNumberFormat="1" applyFont="1" applyFill="1"/>
    <xf numFmtId="4" fontId="114" fillId="0" borderId="0" xfId="0" applyNumberFormat="1" applyFont="1"/>
    <xf numFmtId="4" fontId="116" fillId="0" borderId="0" xfId="0" applyNumberFormat="1" applyFont="1" applyAlignment="1">
      <alignment horizontal="center"/>
    </xf>
    <xf numFmtId="0" fontId="114" fillId="12" borderId="0" xfId="0" applyFont="1" applyFill="1" applyAlignment="1">
      <alignment horizontal="center"/>
    </xf>
    <xf numFmtId="4" fontId="111" fillId="23" borderId="0" xfId="0" applyNumberFormat="1" applyFont="1" applyFill="1" applyAlignment="1">
      <alignment horizontal="center"/>
    </xf>
    <xf numFmtId="4" fontId="111" fillId="12" borderId="0" xfId="0" applyNumberFormat="1" applyFont="1" applyFill="1" applyAlignment="1">
      <alignment horizontal="center" vertical="center"/>
    </xf>
    <xf numFmtId="10" fontId="114" fillId="12" borderId="0" xfId="0" applyNumberFormat="1" applyFont="1" applyFill="1"/>
    <xf numFmtId="4" fontId="114" fillId="12" borderId="0" xfId="0" applyNumberFormat="1" applyFont="1" applyFill="1"/>
    <xf numFmtId="0" fontId="111" fillId="27" borderId="171" xfId="0" applyFont="1" applyFill="1" applyBorder="1" applyAlignment="1">
      <alignment horizontal="center" vertical="center"/>
    </xf>
    <xf numFmtId="0" fontId="111" fillId="27" borderId="170" xfId="0" applyFont="1" applyFill="1" applyBorder="1" applyAlignment="1">
      <alignment horizontal="center" vertical="center" wrapText="1"/>
    </xf>
    <xf numFmtId="0" fontId="111" fillId="28" borderId="171" xfId="0" applyFont="1" applyFill="1" applyBorder="1" applyAlignment="1">
      <alignment horizontal="center" vertical="center" wrapText="1"/>
    </xf>
    <xf numFmtId="0" fontId="111" fillId="28" borderId="170" xfId="0" applyFont="1" applyFill="1" applyBorder="1" applyAlignment="1">
      <alignment horizontal="center" vertical="center" wrapText="1"/>
    </xf>
    <xf numFmtId="0" fontId="111" fillId="29" borderId="171" xfId="0" applyFont="1" applyFill="1" applyBorder="1" applyAlignment="1">
      <alignment horizontal="center" vertical="center" wrapText="1"/>
    </xf>
    <xf numFmtId="0" fontId="111" fillId="26" borderId="170" xfId="0" applyFont="1" applyFill="1" applyBorder="1" applyAlignment="1">
      <alignment horizontal="center" vertical="center" wrapText="1"/>
    </xf>
    <xf numFmtId="0" fontId="24" fillId="3" borderId="5" xfId="0" applyFont="1" applyFill="1" applyBorder="1" applyAlignment="1">
      <alignment vertical="center"/>
    </xf>
    <xf numFmtId="0" fontId="24" fillId="3" borderId="6" xfId="0" applyFont="1" applyFill="1" applyBorder="1" applyAlignment="1">
      <alignment horizontal="left" vertical="center"/>
    </xf>
    <xf numFmtId="0" fontId="24" fillId="3" borderId="6" xfId="0" applyFont="1" applyFill="1" applyBorder="1" applyAlignment="1">
      <alignment vertical="center"/>
    </xf>
    <xf numFmtId="4" fontId="24" fillId="3" borderId="34" xfId="0" applyNumberFormat="1" applyFont="1" applyFill="1" applyBorder="1" applyAlignment="1">
      <alignment horizontal="center" vertical="center"/>
    </xf>
    <xf numFmtId="173" fontId="24" fillId="3" borderId="87" xfId="0" applyNumberFormat="1" applyFont="1" applyFill="1" applyBorder="1" applyAlignment="1">
      <alignment horizontal="center" vertical="center"/>
    </xf>
    <xf numFmtId="173" fontId="24" fillId="3" borderId="110" xfId="0" applyNumberFormat="1" applyFont="1" applyFill="1" applyBorder="1" applyAlignment="1">
      <alignment horizontal="center" vertical="center"/>
    </xf>
    <xf numFmtId="0" fontId="111" fillId="27" borderId="0" xfId="0" applyFont="1" applyFill="1" applyAlignment="1">
      <alignment horizontal="center" vertical="center"/>
    </xf>
    <xf numFmtId="0" fontId="111" fillId="27" borderId="0" xfId="0" applyFont="1" applyFill="1" applyAlignment="1">
      <alignment horizontal="center" vertical="center" wrapText="1"/>
    </xf>
    <xf numFmtId="0" fontId="111" fillId="28" borderId="0" xfId="0" applyFont="1" applyFill="1" applyAlignment="1">
      <alignment horizontal="center" vertical="center" wrapText="1"/>
    </xf>
    <xf numFmtId="0" fontId="111" fillId="29" borderId="0" xfId="0" applyFont="1" applyFill="1" applyAlignment="1">
      <alignment horizontal="center" vertical="center" wrapText="1"/>
    </xf>
    <xf numFmtId="0" fontId="111" fillId="26" borderId="0" xfId="0" applyFont="1" applyFill="1" applyAlignment="1">
      <alignment horizontal="center" vertical="center" wrapText="1"/>
    </xf>
    <xf numFmtId="0" fontId="2" fillId="20" borderId="0" xfId="0" applyFont="1" applyFill="1"/>
    <xf numFmtId="0" fontId="112" fillId="20" borderId="0" xfId="0" applyFont="1" applyFill="1" applyAlignment="1">
      <alignment horizontal="center" vertical="center" wrapText="1"/>
    </xf>
    <xf numFmtId="0" fontId="111" fillId="20" borderId="0" xfId="0" applyFont="1" applyFill="1" applyAlignment="1">
      <alignment horizontal="center" vertical="center" wrapText="1"/>
    </xf>
    <xf numFmtId="0" fontId="113" fillId="20" borderId="0" xfId="0" applyFont="1" applyFill="1" applyAlignment="1">
      <alignment horizontal="center" vertical="center" wrapText="1"/>
    </xf>
    <xf numFmtId="0" fontId="114" fillId="19" borderId="0" xfId="0" applyFont="1" applyFill="1" applyAlignment="1">
      <alignment horizontal="center"/>
    </xf>
    <xf numFmtId="4" fontId="111" fillId="21" borderId="0" xfId="0" applyNumberFormat="1" applyFont="1" applyFill="1" applyAlignment="1">
      <alignment horizontal="center"/>
    </xf>
    <xf numFmtId="4" fontId="111" fillId="19" borderId="0" xfId="0" applyNumberFormat="1" applyFont="1" applyFill="1" applyAlignment="1">
      <alignment horizontal="center" vertical="center"/>
    </xf>
    <xf numFmtId="10" fontId="111" fillId="19" borderId="0" xfId="0" applyNumberFormat="1" applyFont="1" applyFill="1"/>
    <xf numFmtId="4" fontId="111" fillId="19" borderId="0" xfId="0" applyNumberFormat="1" applyFont="1" applyFill="1"/>
    <xf numFmtId="0" fontId="111" fillId="12" borderId="0" xfId="0" applyFont="1" applyFill="1" applyAlignment="1">
      <alignment horizontal="center"/>
    </xf>
    <xf numFmtId="4" fontId="111" fillId="12" borderId="0" xfId="0" applyNumberFormat="1" applyFont="1" applyFill="1" applyAlignment="1">
      <alignment horizontal="center"/>
    </xf>
    <xf numFmtId="10" fontId="111" fillId="12" borderId="0" xfId="0" applyNumberFormat="1" applyFont="1" applyFill="1"/>
    <xf numFmtId="0" fontId="111" fillId="6" borderId="0" xfId="0" applyFont="1" applyFill="1" applyAlignment="1">
      <alignment horizontal="center"/>
    </xf>
    <xf numFmtId="198" fontId="111" fillId="6" borderId="0" xfId="0" applyNumberFormat="1" applyFont="1" applyFill="1" applyAlignment="1">
      <alignment horizontal="center"/>
    </xf>
    <xf numFmtId="0" fontId="111" fillId="6" borderId="0" xfId="0" applyFont="1" applyFill="1"/>
    <xf numFmtId="0" fontId="114" fillId="6" borderId="0" xfId="0" applyFont="1" applyFill="1"/>
    <xf numFmtId="10" fontId="115" fillId="6" borderId="0" xfId="0" applyNumberFormat="1" applyFont="1" applyFill="1" applyAlignment="1">
      <alignment horizontal="center" vertical="center"/>
    </xf>
    <xf numFmtId="0" fontId="2" fillId="6" borderId="169" xfId="0" applyFont="1" applyFill="1" applyBorder="1"/>
    <xf numFmtId="0" fontId="2" fillId="6" borderId="166" xfId="0" applyFont="1" applyFill="1" applyBorder="1"/>
    <xf numFmtId="0" fontId="112" fillId="6" borderId="160" xfId="0" applyFont="1" applyFill="1" applyBorder="1" applyAlignment="1">
      <alignment horizontal="center" vertical="center" wrapText="1"/>
    </xf>
    <xf numFmtId="0" fontId="111" fillId="6" borderId="166" xfId="0" applyFont="1" applyFill="1" applyBorder="1" applyAlignment="1">
      <alignment horizontal="center" vertical="center" wrapText="1"/>
    </xf>
    <xf numFmtId="0" fontId="113" fillId="6" borderId="160" xfId="0" applyFont="1" applyFill="1" applyBorder="1" applyAlignment="1">
      <alignment horizontal="center" vertical="center" wrapText="1"/>
    </xf>
    <xf numFmtId="0" fontId="111" fillId="6" borderId="160" xfId="0" applyFont="1" applyFill="1" applyBorder="1" applyAlignment="1">
      <alignment horizontal="center" vertical="center" wrapText="1"/>
    </xf>
    <xf numFmtId="0" fontId="111" fillId="6" borderId="172" xfId="0" applyFont="1" applyFill="1" applyBorder="1" applyAlignment="1">
      <alignment horizontal="center"/>
    </xf>
    <xf numFmtId="0" fontId="114" fillId="6" borderId="72" xfId="0" applyFont="1" applyFill="1" applyBorder="1" applyAlignment="1">
      <alignment horizontal="center"/>
    </xf>
    <xf numFmtId="4" fontId="111" fillId="31" borderId="72" xfId="0" applyNumberFormat="1" applyFont="1" applyFill="1" applyBorder="1" applyAlignment="1">
      <alignment horizontal="center"/>
    </xf>
    <xf numFmtId="4" fontId="111" fillId="6" borderId="72" xfId="0" applyNumberFormat="1" applyFont="1" applyFill="1" applyBorder="1" applyAlignment="1">
      <alignment horizontal="center" vertical="center"/>
    </xf>
    <xf numFmtId="10" fontId="111" fillId="6" borderId="72" xfId="0" applyNumberFormat="1" applyFont="1" applyFill="1" applyBorder="1"/>
    <xf numFmtId="4" fontId="111" fillId="6" borderId="72" xfId="0" applyNumberFormat="1" applyFont="1" applyFill="1" applyBorder="1"/>
    <xf numFmtId="0" fontId="111" fillId="32" borderId="54" xfId="0" applyFont="1" applyFill="1" applyBorder="1" applyAlignment="1">
      <alignment horizontal="center"/>
    </xf>
    <xf numFmtId="0" fontId="111" fillId="32" borderId="54" xfId="0" applyFont="1" applyFill="1" applyBorder="1"/>
    <xf numFmtId="0" fontId="111" fillId="32" borderId="65" xfId="0" applyFont="1" applyFill="1" applyBorder="1"/>
    <xf numFmtId="0" fontId="111" fillId="32" borderId="55" xfId="0" applyFont="1" applyFill="1" applyBorder="1" applyAlignment="1">
      <alignment horizontal="center"/>
    </xf>
    <xf numFmtId="4" fontId="111" fillId="33" borderId="56" xfId="0" applyNumberFormat="1" applyFont="1" applyFill="1" applyBorder="1" applyAlignment="1">
      <alignment horizontal="center"/>
    </xf>
    <xf numFmtId="4" fontId="111" fillId="32" borderId="55" xfId="0" applyNumberFormat="1" applyFont="1" applyFill="1" applyBorder="1" applyAlignment="1">
      <alignment horizontal="center"/>
    </xf>
    <xf numFmtId="10" fontId="111" fillId="32" borderId="56" xfId="0" applyNumberFormat="1" applyFont="1" applyFill="1" applyBorder="1"/>
    <xf numFmtId="10" fontId="111" fillId="32" borderId="174" xfId="0" applyNumberFormat="1" applyFont="1" applyFill="1" applyBorder="1"/>
    <xf numFmtId="4" fontId="62" fillId="3" borderId="0" xfId="0" applyNumberFormat="1" applyFont="1" applyFill="1"/>
    <xf numFmtId="0" fontId="44" fillId="3" borderId="175" xfId="0" applyFont="1" applyFill="1" applyBorder="1" applyAlignment="1">
      <alignment horizontal="left" vertical="center"/>
    </xf>
    <xf numFmtId="0" fontId="50" fillId="3" borderId="176" xfId="0" applyFont="1" applyFill="1" applyBorder="1" applyAlignment="1">
      <alignment horizontal="center" vertical="center"/>
    </xf>
    <xf numFmtId="0" fontId="50" fillId="3" borderId="177" xfId="0" applyFont="1" applyFill="1" applyBorder="1" applyAlignment="1">
      <alignment horizontal="center" vertical="center"/>
    </xf>
    <xf numFmtId="4" fontId="45" fillId="3" borderId="178" xfId="0" applyNumberFormat="1" applyFont="1" applyFill="1" applyBorder="1" applyAlignment="1">
      <alignment horizontal="center"/>
    </xf>
    <xf numFmtId="4" fontId="45" fillId="6" borderId="178" xfId="0" applyNumberFormat="1" applyFont="1" applyFill="1" applyBorder="1" applyAlignment="1">
      <alignment horizontal="center"/>
    </xf>
    <xf numFmtId="0" fontId="43" fillId="3" borderId="114" xfId="0" applyFont="1" applyFill="1" applyBorder="1" applyAlignment="1">
      <alignment horizontal="left" vertical="center"/>
    </xf>
    <xf numFmtId="0" fontId="46" fillId="3" borderId="149" xfId="0" applyFont="1" applyFill="1" applyBorder="1" applyAlignment="1">
      <alignment horizontal="left" vertical="center"/>
    </xf>
    <xf numFmtId="0" fontId="43" fillId="3" borderId="149" xfId="0" applyFont="1" applyFill="1" applyBorder="1" applyAlignment="1">
      <alignment horizontal="center" vertical="center"/>
    </xf>
    <xf numFmtId="0" fontId="43" fillId="3" borderId="136" xfId="0" applyFont="1" applyFill="1" applyBorder="1" applyAlignment="1">
      <alignment horizontal="center" vertical="center"/>
    </xf>
    <xf numFmtId="4" fontId="45" fillId="3" borderId="153" xfId="0" applyNumberFormat="1" applyFont="1" applyFill="1" applyBorder="1" applyAlignment="1">
      <alignment horizontal="center"/>
    </xf>
    <xf numFmtId="0" fontId="2" fillId="0" borderId="72" xfId="0" applyFont="1" applyBorder="1"/>
    <xf numFmtId="0" fontId="91" fillId="3" borderId="0" xfId="0" applyFont="1" applyFill="1" applyAlignment="1">
      <alignment horizontal="center" vertical="center"/>
    </xf>
    <xf numFmtId="0" fontId="18" fillId="3" borderId="0" xfId="0" applyFont="1" applyFill="1" applyAlignment="1">
      <alignment horizontal="center" vertical="center" wrapText="1"/>
    </xf>
    <xf numFmtId="0" fontId="9" fillId="3" borderId="0" xfId="0" applyFont="1" applyFill="1" applyAlignment="1">
      <alignment horizontal="center" vertical="justify"/>
    </xf>
    <xf numFmtId="0" fontId="9" fillId="9" borderId="66" xfId="0" applyFont="1" applyFill="1" applyBorder="1" applyAlignment="1">
      <alignment horizontal="center" vertical="center" wrapText="1"/>
    </xf>
    <xf numFmtId="168" fontId="3" fillId="0" borderId="103" xfId="0" applyNumberFormat="1" applyFont="1" applyBorder="1" applyAlignment="1">
      <alignment horizontal="center" vertical="center" wrapText="1"/>
    </xf>
    <xf numFmtId="4" fontId="70" fillId="0" borderId="0" xfId="0" applyNumberFormat="1" applyFont="1"/>
    <xf numFmtId="0" fontId="70" fillId="0" borderId="0" xfId="0" applyFont="1"/>
    <xf numFmtId="0" fontId="117" fillId="0" borderId="30" xfId="0" applyFont="1" applyBorder="1" applyAlignment="1">
      <alignment horizontal="center" vertical="center"/>
    </xf>
    <xf numFmtId="0" fontId="117" fillId="0" borderId="194" xfId="0" applyFont="1" applyBorder="1" applyAlignment="1">
      <alignment horizontal="center" vertical="center"/>
    </xf>
    <xf numFmtId="0" fontId="117" fillId="0" borderId="195" xfId="0" applyFont="1" applyBorder="1" applyAlignment="1">
      <alignment horizontal="center" vertical="center"/>
    </xf>
    <xf numFmtId="0" fontId="2" fillId="0" borderId="30" xfId="0" applyFont="1" applyBorder="1" applyAlignment="1">
      <alignment horizontal="right" vertical="center" indent="1"/>
    </xf>
    <xf numFmtId="0" fontId="7" fillId="0" borderId="178" xfId="0" applyFont="1" applyBorder="1" applyAlignment="1">
      <alignment horizontal="left" vertical="center" indent="1"/>
    </xf>
    <xf numFmtId="0" fontId="34" fillId="0" borderId="177" xfId="0" applyFont="1" applyBorder="1"/>
    <xf numFmtId="0" fontId="34" fillId="0" borderId="175" xfId="0" applyFont="1" applyBorder="1" applyAlignment="1">
      <alignment horizontal="center"/>
    </xf>
    <xf numFmtId="4" fontId="34" fillId="0" borderId="196" xfId="0" applyNumberFormat="1" applyFont="1" applyBorder="1" applyAlignment="1">
      <alignment horizontal="right" indent="1"/>
    </xf>
    <xf numFmtId="4" fontId="34" fillId="0" borderId="178" xfId="0" applyNumberFormat="1" applyFont="1" applyBorder="1" applyAlignment="1">
      <alignment horizontal="right" indent="1"/>
    </xf>
    <xf numFmtId="4" fontId="34" fillId="0" borderId="197" xfId="0" applyNumberFormat="1" applyFont="1" applyBorder="1" applyAlignment="1">
      <alignment horizontal="right" indent="1"/>
    </xf>
    <xf numFmtId="0" fontId="69" fillId="0" borderId="198" xfId="0" applyFont="1" applyBorder="1" applyAlignment="1">
      <alignment horizontal="right" indent="1"/>
    </xf>
    <xf numFmtId="4" fontId="118" fillId="0" borderId="197" xfId="0" applyNumberFormat="1" applyFont="1" applyBorder="1" applyAlignment="1">
      <alignment horizontal="right" indent="1"/>
    </xf>
    <xf numFmtId="0" fontId="69" fillId="34" borderId="177" xfId="0" applyFont="1" applyFill="1" applyBorder="1" applyAlignment="1">
      <alignment horizontal="right" indent="1"/>
    </xf>
    <xf numFmtId="4" fontId="118" fillId="34" borderId="175" xfId="0" applyNumberFormat="1" applyFont="1" applyFill="1" applyBorder="1" applyAlignment="1">
      <alignment horizontal="right" indent="1"/>
    </xf>
    <xf numFmtId="199" fontId="34" fillId="34" borderId="154" xfId="0" applyNumberFormat="1" applyFont="1" applyFill="1" applyBorder="1" applyAlignment="1">
      <alignment horizontal="right" indent="1"/>
    </xf>
    <xf numFmtId="199" fontId="34" fillId="34" borderId="202" xfId="0" applyNumberFormat="1" applyFont="1" applyFill="1" applyBorder="1" applyAlignment="1">
      <alignment horizontal="right" indent="1"/>
    </xf>
    <xf numFmtId="4" fontId="2" fillId="0" borderId="0" xfId="0" applyNumberFormat="1" applyFont="1"/>
    <xf numFmtId="195" fontId="2" fillId="0" borderId="0" xfId="0" applyNumberFormat="1" applyFont="1"/>
    <xf numFmtId="185" fontId="2" fillId="0" borderId="0" xfId="0" applyNumberFormat="1" applyFont="1"/>
    <xf numFmtId="0" fontId="7" fillId="0" borderId="185" xfId="11" applyFont="1" applyBorder="1" applyAlignment="1">
      <alignment vertical="center"/>
    </xf>
    <xf numFmtId="199" fontId="34" fillId="34" borderId="209" xfId="0" applyNumberFormat="1" applyFont="1" applyFill="1" applyBorder="1" applyAlignment="1">
      <alignment horizontal="right" indent="1"/>
    </xf>
    <xf numFmtId="199" fontId="34" fillId="34" borderId="205" xfId="0" applyNumberFormat="1" applyFont="1" applyFill="1" applyBorder="1" applyAlignment="1">
      <alignment horizontal="right" indent="1"/>
    </xf>
    <xf numFmtId="0" fontId="7" fillId="0" borderId="183" xfId="11" applyFont="1" applyBorder="1" applyAlignment="1">
      <alignment vertical="center"/>
    </xf>
    <xf numFmtId="4" fontId="34" fillId="34" borderId="182" xfId="0" applyNumberFormat="1" applyFont="1" applyFill="1" applyBorder="1" applyAlignment="1">
      <alignment horizontal="right" indent="1"/>
    </xf>
    <xf numFmtId="4" fontId="34" fillId="34" borderId="180" xfId="0" applyNumberFormat="1" applyFont="1" applyFill="1" applyBorder="1" applyAlignment="1">
      <alignment horizontal="right" indent="1"/>
    </xf>
    <xf numFmtId="49" fontId="69" fillId="0" borderId="178" xfId="11" applyNumberFormat="1" applyFont="1" applyBorder="1" applyAlignment="1">
      <alignment horizontal="right"/>
    </xf>
    <xf numFmtId="0" fontId="17" fillId="0" borderId="17" xfId="11" applyFont="1" applyBorder="1" applyAlignment="1">
      <alignment vertical="center"/>
    </xf>
    <xf numFmtId="0" fontId="69" fillId="0" borderId="176" xfId="0" applyFont="1" applyBorder="1" applyAlignment="1">
      <alignment horizontal="right" indent="1"/>
    </xf>
    <xf numFmtId="0" fontId="119" fillId="0" borderId="176" xfId="0" applyFont="1" applyBorder="1" applyAlignment="1">
      <alignment horizontal="right" indent="1"/>
    </xf>
    <xf numFmtId="4" fontId="69" fillId="0" borderId="176" xfId="0" applyNumberFormat="1" applyFont="1" applyBorder="1" applyAlignment="1">
      <alignment horizontal="left" indent="4"/>
    </xf>
    <xf numFmtId="4" fontId="69" fillId="0" borderId="212" xfId="0" applyNumberFormat="1" applyFont="1" applyBorder="1" applyAlignment="1">
      <alignment horizontal="right" indent="1"/>
    </xf>
    <xf numFmtId="4" fontId="69" fillId="0" borderId="176" xfId="0" applyNumberFormat="1" applyFont="1" applyBorder="1" applyAlignment="1">
      <alignment horizontal="right" indent="1"/>
    </xf>
    <xf numFmtId="4" fontId="69" fillId="34" borderId="176" xfId="0" applyNumberFormat="1" applyFont="1" applyFill="1" applyBorder="1" applyAlignment="1">
      <alignment horizontal="right" indent="1"/>
    </xf>
    <xf numFmtId="4" fontId="69" fillId="34" borderId="212" xfId="0" applyNumberFormat="1" applyFont="1" applyFill="1" applyBorder="1" applyAlignment="1">
      <alignment horizontal="right" indent="1"/>
    </xf>
    <xf numFmtId="4" fontId="69" fillId="0" borderId="177" xfId="0" applyNumberFormat="1" applyFont="1" applyBorder="1" applyAlignment="1">
      <alignment horizontal="right" indent="2"/>
    </xf>
    <xf numFmtId="4" fontId="31" fillId="0" borderId="0" xfId="0" applyNumberFormat="1" applyFont="1"/>
    <xf numFmtId="49" fontId="34" fillId="0" borderId="157" xfId="11" applyNumberFormat="1" applyFont="1" applyBorder="1" applyAlignment="1">
      <alignment horizontal="right"/>
    </xf>
    <xf numFmtId="202" fontId="34" fillId="0" borderId="139" xfId="0" applyNumberFormat="1" applyFont="1" applyBorder="1"/>
    <xf numFmtId="0" fontId="120" fillId="0" borderId="139" xfId="0" applyFont="1" applyBorder="1" applyAlignment="1">
      <alignment horizontal="right" indent="1"/>
    </xf>
    <xf numFmtId="4" fontId="34" fillId="0" borderId="139" xfId="0" applyNumberFormat="1" applyFont="1" applyBorder="1" applyAlignment="1">
      <alignment horizontal="left" indent="4"/>
    </xf>
    <xf numFmtId="4" fontId="34" fillId="0" borderId="213" xfId="0" applyNumberFormat="1" applyFont="1" applyBorder="1" applyAlignment="1">
      <alignment horizontal="right" indent="1"/>
    </xf>
    <xf numFmtId="4" fontId="34" fillId="0" borderId="139" xfId="0" applyNumberFormat="1" applyFont="1" applyBorder="1" applyAlignment="1">
      <alignment horizontal="right" indent="1"/>
    </xf>
    <xf numFmtId="4" fontId="34" fillId="34" borderId="139" xfId="0" applyNumberFormat="1" applyFont="1" applyFill="1" applyBorder="1" applyAlignment="1">
      <alignment horizontal="right" indent="1"/>
    </xf>
    <xf numFmtId="4" fontId="34" fillId="34" borderId="213" xfId="0" applyNumberFormat="1" applyFont="1" applyFill="1" applyBorder="1" applyAlignment="1">
      <alignment horizontal="right" indent="1"/>
    </xf>
    <xf numFmtId="4" fontId="34" fillId="0" borderId="154" xfId="0" applyNumberFormat="1" applyFont="1" applyBorder="1" applyAlignment="1">
      <alignment horizontal="right" indent="2"/>
    </xf>
    <xf numFmtId="49" fontId="69" fillId="0" borderId="157" xfId="11" applyNumberFormat="1" applyFont="1" applyBorder="1" applyAlignment="1">
      <alignment horizontal="right"/>
    </xf>
    <xf numFmtId="0" fontId="17" fillId="0" borderId="185" xfId="11" applyFont="1" applyBorder="1" applyAlignment="1">
      <alignment vertical="center"/>
    </xf>
    <xf numFmtId="0" fontId="69" fillId="0" borderId="139" xfId="0" applyFont="1" applyBorder="1"/>
    <xf numFmtId="4" fontId="69" fillId="0" borderId="139" xfId="0" applyNumberFormat="1" applyFont="1" applyBorder="1" applyAlignment="1">
      <alignment horizontal="left" indent="4"/>
    </xf>
    <xf numFmtId="4" fontId="69" fillId="0" borderId="213" xfId="0" applyNumberFormat="1" applyFont="1" applyBorder="1" applyAlignment="1">
      <alignment horizontal="right" indent="1"/>
    </xf>
    <xf numFmtId="4" fontId="69" fillId="0" borderId="139" xfId="0" applyNumberFormat="1" applyFont="1" applyBorder="1" applyAlignment="1">
      <alignment horizontal="right" indent="1"/>
    </xf>
    <xf numFmtId="4" fontId="69" fillId="34" borderId="139" xfId="0" applyNumberFormat="1" applyFont="1" applyFill="1" applyBorder="1" applyAlignment="1">
      <alignment horizontal="right" indent="1"/>
    </xf>
    <xf numFmtId="4" fontId="69" fillId="34" borderId="213" xfId="0" applyNumberFormat="1" applyFont="1" applyFill="1" applyBorder="1" applyAlignment="1">
      <alignment horizontal="right" indent="1"/>
    </xf>
    <xf numFmtId="4" fontId="69" fillId="0" borderId="154" xfId="0" applyNumberFormat="1" applyFont="1" applyBorder="1" applyAlignment="1">
      <alignment horizontal="right" indent="2"/>
    </xf>
    <xf numFmtId="10" fontId="34" fillId="0" borderId="139" xfId="0" applyNumberFormat="1" applyFont="1" applyBorder="1"/>
    <xf numFmtId="49" fontId="34" fillId="0" borderId="8" xfId="11" applyNumberFormat="1" applyFont="1" applyBorder="1" applyAlignment="1">
      <alignment horizontal="right"/>
    </xf>
    <xf numFmtId="0" fontId="34" fillId="0" borderId="181" xfId="0" applyFont="1" applyBorder="1" applyAlignment="1">
      <alignment horizontal="right" indent="1"/>
    </xf>
    <xf numFmtId="4" fontId="69" fillId="0" borderId="181" xfId="0" applyNumberFormat="1" applyFont="1" applyBorder="1" applyAlignment="1">
      <alignment horizontal="left" indent="4"/>
    </xf>
    <xf numFmtId="4" fontId="69" fillId="0" borderId="214" xfId="0" applyNumberFormat="1" applyFont="1" applyBorder="1" applyAlignment="1">
      <alignment horizontal="right" indent="1"/>
    </xf>
    <xf numFmtId="4" fontId="69" fillId="0" borderId="181" xfId="0" applyNumberFormat="1" applyFont="1" applyBorder="1" applyAlignment="1">
      <alignment horizontal="right" indent="1"/>
    </xf>
    <xf numFmtId="4" fontId="69" fillId="34" borderId="181" xfId="0" applyNumberFormat="1" applyFont="1" applyFill="1" applyBorder="1" applyAlignment="1">
      <alignment horizontal="right" indent="1"/>
    </xf>
    <xf numFmtId="4" fontId="69" fillId="34" borderId="214" xfId="0" applyNumberFormat="1" applyFont="1" applyFill="1" applyBorder="1" applyAlignment="1">
      <alignment horizontal="right" indent="1"/>
    </xf>
    <xf numFmtId="4" fontId="34" fillId="0" borderId="182" xfId="0" applyNumberFormat="1" applyFont="1" applyBorder="1" applyAlignment="1">
      <alignment horizontal="right" indent="2"/>
    </xf>
    <xf numFmtId="0" fontId="34" fillId="0" borderId="30" xfId="0" applyFont="1" applyBorder="1" applyAlignment="1">
      <alignment horizontal="right" indent="1"/>
    </xf>
    <xf numFmtId="4" fontId="69" fillId="0" borderId="30" xfId="0" applyNumberFormat="1" applyFont="1" applyBorder="1" applyAlignment="1">
      <alignment horizontal="left" indent="5"/>
    </xf>
    <xf numFmtId="4" fontId="69" fillId="0" borderId="30" xfId="0" applyNumberFormat="1" applyFont="1" applyBorder="1" applyAlignment="1">
      <alignment horizontal="right" indent="1"/>
    </xf>
    <xf numFmtId="4" fontId="34" fillId="0" borderId="30" xfId="0" applyNumberFormat="1" applyFont="1" applyBorder="1" applyAlignment="1">
      <alignment horizontal="right" indent="2"/>
    </xf>
    <xf numFmtId="0" fontId="34" fillId="0" borderId="59" xfId="0" applyFont="1" applyBorder="1" applyAlignment="1">
      <alignment horizontal="center"/>
    </xf>
    <xf numFmtId="0" fontId="69" fillId="0" borderId="59" xfId="0" applyFont="1" applyBorder="1" applyAlignment="1">
      <alignment horizontal="center"/>
    </xf>
    <xf numFmtId="0" fontId="34" fillId="0" borderId="59" xfId="0" applyFont="1" applyBorder="1" applyAlignment="1">
      <alignment horizontal="right" indent="1"/>
    </xf>
    <xf numFmtId="10" fontId="34" fillId="0" borderId="59" xfId="0" applyNumberFormat="1" applyFont="1" applyBorder="1" applyAlignment="1">
      <alignment horizontal="right" indent="1"/>
    </xf>
    <xf numFmtId="0" fontId="34" fillId="0" borderId="186" xfId="0" applyFont="1" applyBorder="1" applyAlignment="1">
      <alignment horizontal="right" indent="1"/>
    </xf>
    <xf numFmtId="10" fontId="69" fillId="34" borderId="187" xfId="0" applyNumberFormat="1" applyFont="1" applyFill="1" applyBorder="1" applyAlignment="1">
      <alignment horizontal="right" indent="1"/>
    </xf>
    <xf numFmtId="10" fontId="34" fillId="0" borderId="59" xfId="0" applyNumberFormat="1" applyFont="1" applyBorder="1" applyAlignment="1">
      <alignment vertical="center"/>
    </xf>
    <xf numFmtId="0" fontId="34" fillId="0" borderId="187" xfId="0" applyFont="1" applyBorder="1" applyAlignment="1">
      <alignment horizontal="right" indent="1"/>
    </xf>
    <xf numFmtId="0" fontId="34" fillId="0" borderId="66" xfId="0" applyFont="1" applyBorder="1" applyAlignment="1">
      <alignment horizontal="right" indent="2"/>
    </xf>
    <xf numFmtId="3" fontId="5" fillId="2" borderId="0" xfId="0" applyNumberFormat="1" applyFont="1" applyFill="1"/>
    <xf numFmtId="0" fontId="46" fillId="17" borderId="54" xfId="0" applyFont="1" applyFill="1" applyBorder="1" applyAlignment="1">
      <alignment wrapText="1"/>
    </xf>
    <xf numFmtId="0" fontId="46" fillId="6" borderId="0" xfId="0" applyFont="1" applyFill="1" applyAlignment="1">
      <alignment wrapText="1"/>
    </xf>
    <xf numFmtId="0" fontId="43" fillId="6" borderId="0" xfId="0" applyFont="1" applyFill="1" applyAlignment="1">
      <alignment horizontal="center" vertical="center" wrapText="1"/>
    </xf>
    <xf numFmtId="0" fontId="43" fillId="6" borderId="0" xfId="0" applyFont="1" applyFill="1" applyAlignment="1">
      <alignment horizontal="center" vertical="center"/>
    </xf>
    <xf numFmtId="4" fontId="51" fillId="6" borderId="0" xfId="0" applyNumberFormat="1" applyFont="1" applyFill="1" applyAlignment="1">
      <alignment horizontal="center"/>
    </xf>
    <xf numFmtId="4" fontId="52" fillId="6" borderId="0" xfId="0" applyNumberFormat="1" applyFont="1" applyFill="1" applyAlignment="1">
      <alignment horizontal="center"/>
    </xf>
    <xf numFmtId="0" fontId="46" fillId="17" borderId="215" xfId="0" applyFont="1" applyFill="1" applyBorder="1" applyAlignment="1">
      <alignment wrapText="1"/>
    </xf>
    <xf numFmtId="0" fontId="43" fillId="9" borderId="215" xfId="0" applyFont="1" applyFill="1" applyBorder="1" applyAlignment="1">
      <alignment horizontal="center" vertical="center"/>
    </xf>
    <xf numFmtId="17" fontId="2" fillId="8" borderId="0" xfId="0" applyNumberFormat="1" applyFont="1" applyFill="1" applyAlignment="1">
      <alignment horizontal="center"/>
    </xf>
    <xf numFmtId="2" fontId="37" fillId="8" borderId="0" xfId="7" quotePrefix="1" applyNumberFormat="1" applyFill="1" applyAlignment="1">
      <alignment horizontal="center"/>
    </xf>
    <xf numFmtId="0" fontId="0" fillId="8" borderId="0" xfId="0" applyFill="1" applyAlignment="1">
      <alignment horizontal="center"/>
    </xf>
    <xf numFmtId="4" fontId="3" fillId="6" borderId="201" xfId="0" applyNumberFormat="1" applyFont="1" applyFill="1" applyBorder="1" applyAlignment="1">
      <alignment horizontal="center"/>
    </xf>
    <xf numFmtId="10" fontId="3" fillId="6" borderId="201" xfId="0" applyNumberFormat="1" applyFont="1" applyFill="1" applyBorder="1" applyAlignment="1">
      <alignment horizontal="center"/>
    </xf>
    <xf numFmtId="10" fontId="3" fillId="6" borderId="71" xfId="0" applyNumberFormat="1" applyFont="1" applyFill="1" applyBorder="1" applyAlignment="1">
      <alignment horizontal="center"/>
    </xf>
    <xf numFmtId="0" fontId="0" fillId="3" borderId="201" xfId="0" applyFill="1" applyBorder="1" applyAlignment="1">
      <alignment horizontal="center"/>
    </xf>
    <xf numFmtId="0" fontId="0" fillId="3" borderId="220" xfId="0" applyFill="1" applyBorder="1" applyAlignment="1">
      <alignment horizontal="center"/>
    </xf>
    <xf numFmtId="4" fontId="3" fillId="6" borderId="221" xfId="0" applyNumberFormat="1" applyFont="1" applyFill="1" applyBorder="1" applyAlignment="1">
      <alignment horizontal="center"/>
    </xf>
    <xf numFmtId="10" fontId="3" fillId="6" borderId="218" xfId="0" applyNumberFormat="1" applyFont="1" applyFill="1" applyBorder="1" applyAlignment="1">
      <alignment horizontal="center"/>
    </xf>
    <xf numFmtId="10" fontId="3" fillId="6" borderId="156" xfId="0" applyNumberFormat="1" applyFont="1" applyFill="1" applyBorder="1" applyAlignment="1">
      <alignment horizontal="center"/>
    </xf>
    <xf numFmtId="10" fontId="3" fillId="6" borderId="157" xfId="0" applyNumberFormat="1" applyFont="1" applyFill="1" applyBorder="1" applyAlignment="1">
      <alignment horizontal="center"/>
    </xf>
    <xf numFmtId="0" fontId="0" fillId="3" borderId="157" xfId="0" applyFill="1" applyBorder="1" applyAlignment="1">
      <alignment horizontal="center"/>
    </xf>
    <xf numFmtId="4" fontId="3" fillId="6" borderId="157" xfId="0" applyNumberFormat="1" applyFont="1" applyFill="1" applyBorder="1" applyAlignment="1">
      <alignment horizontal="center"/>
    </xf>
    <xf numFmtId="10" fontId="3" fillId="6" borderId="204" xfId="0" applyNumberFormat="1" applyFont="1" applyFill="1" applyBorder="1" applyAlignment="1">
      <alignment horizontal="center"/>
    </xf>
    <xf numFmtId="0" fontId="0" fillId="9" borderId="72" xfId="0" applyFill="1" applyBorder="1"/>
    <xf numFmtId="4" fontId="9" fillId="9" borderId="72" xfId="0" applyNumberFormat="1" applyFont="1" applyFill="1" applyBorder="1" applyAlignment="1">
      <alignment horizontal="center"/>
    </xf>
    <xf numFmtId="49" fontId="17" fillId="5" borderId="0" xfId="0" applyNumberFormat="1" applyFont="1" applyFill="1" applyAlignment="1">
      <alignment horizontal="left" wrapText="1"/>
    </xf>
    <xf numFmtId="185" fontId="5" fillId="6" borderId="0" xfId="0" applyNumberFormat="1" applyFont="1" applyFill="1"/>
    <xf numFmtId="0" fontId="22" fillId="5" borderId="217" xfId="0" applyFont="1" applyFill="1" applyBorder="1" applyAlignment="1">
      <alignment horizontal="center"/>
    </xf>
    <xf numFmtId="179" fontId="22" fillId="5" borderId="220" xfId="0" applyNumberFormat="1" applyFont="1" applyFill="1" applyBorder="1" applyAlignment="1">
      <alignment horizontal="center"/>
    </xf>
    <xf numFmtId="172" fontId="19" fillId="5" borderId="220" xfId="0" applyNumberFormat="1" applyFont="1" applyFill="1" applyBorder="1" applyAlignment="1">
      <alignment horizontal="center"/>
    </xf>
    <xf numFmtId="173" fontId="38" fillId="5" borderId="220" xfId="0" applyNumberFormat="1" applyFont="1" applyFill="1" applyBorder="1" applyAlignment="1">
      <alignment horizontal="center"/>
    </xf>
    <xf numFmtId="168" fontId="38" fillId="5" borderId="220" xfId="0" applyNumberFormat="1" applyFont="1" applyFill="1" applyBorder="1" applyAlignment="1">
      <alignment horizontal="center"/>
    </xf>
    <xf numFmtId="2" fontId="38" fillId="5" borderId="220" xfId="0" applyNumberFormat="1" applyFont="1" applyFill="1" applyBorder="1" applyAlignment="1">
      <alignment horizontal="center"/>
    </xf>
    <xf numFmtId="173" fontId="38" fillId="5" borderId="216" xfId="0" applyNumberFormat="1" applyFont="1" applyFill="1" applyBorder="1" applyAlignment="1">
      <alignment horizontal="center"/>
    </xf>
    <xf numFmtId="0" fontId="5" fillId="5" borderId="155" xfId="0" applyFont="1" applyFill="1" applyBorder="1" applyAlignment="1">
      <alignment horizontal="center"/>
    </xf>
    <xf numFmtId="17" fontId="5" fillId="5" borderId="221" xfId="0" applyNumberFormat="1" applyFont="1" applyFill="1" applyBorder="1" applyAlignment="1">
      <alignment horizontal="center"/>
    </xf>
    <xf numFmtId="4" fontId="6" fillId="6" borderId="72" xfId="0" applyNumberFormat="1" applyFont="1" applyFill="1" applyBorder="1" applyAlignment="1">
      <alignment horizontal="center"/>
    </xf>
    <xf numFmtId="0" fontId="96" fillId="6" borderId="227" xfId="0" applyFont="1" applyFill="1" applyBorder="1" applyAlignment="1">
      <alignment horizontal="center"/>
    </xf>
    <xf numFmtId="169" fontId="96" fillId="6" borderId="178" xfId="0" applyNumberFormat="1" applyFont="1" applyFill="1" applyBorder="1" applyAlignment="1">
      <alignment horizontal="center"/>
    </xf>
    <xf numFmtId="4" fontId="34" fillId="6" borderId="178" xfId="0" applyNumberFormat="1" applyFont="1" applyFill="1" applyBorder="1" applyAlignment="1">
      <alignment horizontal="center"/>
    </xf>
    <xf numFmtId="0" fontId="34" fillId="6" borderId="178" xfId="0" applyFont="1" applyFill="1" applyBorder="1" applyAlignment="1">
      <alignment horizontal="center"/>
    </xf>
    <xf numFmtId="0" fontId="96" fillId="6" borderId="155" xfId="0" applyFont="1" applyFill="1" applyBorder="1" applyAlignment="1">
      <alignment horizontal="center"/>
    </xf>
    <xf numFmtId="17" fontId="96" fillId="6" borderId="221" xfId="0" applyNumberFormat="1" applyFont="1" applyFill="1" applyBorder="1" applyAlignment="1">
      <alignment horizontal="center"/>
    </xf>
    <xf numFmtId="4" fontId="2" fillId="6" borderId="221" xfId="0" applyNumberFormat="1" applyFont="1" applyFill="1" applyBorder="1" applyAlignment="1">
      <alignment horizontal="center"/>
    </xf>
    <xf numFmtId="14" fontId="2" fillId="6" borderId="221" xfId="0" applyNumberFormat="1" applyFont="1" applyFill="1" applyBorder="1" applyAlignment="1">
      <alignment horizontal="center"/>
    </xf>
    <xf numFmtId="172" fontId="2" fillId="6" borderId="221" xfId="0" applyNumberFormat="1" applyFont="1" applyFill="1" applyBorder="1" applyAlignment="1">
      <alignment horizontal="center"/>
    </xf>
    <xf numFmtId="172" fontId="2" fillId="6" borderId="221" xfId="0" applyNumberFormat="1" applyFont="1" applyFill="1" applyBorder="1"/>
    <xf numFmtId="0" fontId="96" fillId="6" borderId="228" xfId="0" applyFont="1" applyFill="1" applyBorder="1" applyAlignment="1">
      <alignment horizontal="center"/>
    </xf>
    <xf numFmtId="17" fontId="96" fillId="6" borderId="185" xfId="0" applyNumberFormat="1" applyFont="1" applyFill="1" applyBorder="1" applyAlignment="1">
      <alignment horizontal="center"/>
    </xf>
    <xf numFmtId="4" fontId="2" fillId="6" borderId="185" xfId="0" applyNumberFormat="1" applyFont="1" applyFill="1" applyBorder="1" applyAlignment="1">
      <alignment horizontal="center"/>
    </xf>
    <xf numFmtId="14" fontId="2" fillId="6" borderId="185" xfId="0" applyNumberFormat="1" applyFont="1" applyFill="1" applyBorder="1" applyAlignment="1">
      <alignment horizontal="center"/>
    </xf>
    <xf numFmtId="172" fontId="2" fillId="6" borderId="185" xfId="0" applyNumberFormat="1" applyFont="1" applyFill="1" applyBorder="1" applyAlignment="1">
      <alignment horizontal="center"/>
    </xf>
    <xf numFmtId="172" fontId="2" fillId="6" borderId="185" xfId="0" applyNumberFormat="1" applyFont="1" applyFill="1" applyBorder="1"/>
    <xf numFmtId="172" fontId="31" fillId="6" borderId="72" xfId="0" applyNumberFormat="1" applyFont="1" applyFill="1" applyBorder="1"/>
    <xf numFmtId="4" fontId="2" fillId="5" borderId="221" xfId="0" applyNumberFormat="1" applyFont="1" applyFill="1" applyBorder="1" applyAlignment="1">
      <alignment horizontal="center"/>
    </xf>
    <xf numFmtId="172" fontId="3" fillId="6" borderId="221" xfId="0" applyNumberFormat="1" applyFont="1" applyFill="1" applyBorder="1" applyAlignment="1">
      <alignment horizontal="center"/>
    </xf>
    <xf numFmtId="2" fontId="3" fillId="5" borderId="221" xfId="0" applyNumberFormat="1" applyFont="1" applyFill="1" applyBorder="1" applyAlignment="1">
      <alignment horizontal="center"/>
    </xf>
    <xf numFmtId="172" fontId="3" fillId="5" borderId="221" xfId="0" applyNumberFormat="1" applyFont="1" applyFill="1" applyBorder="1" applyAlignment="1">
      <alignment horizontal="center"/>
    </xf>
    <xf numFmtId="4" fontId="17" fillId="5" borderId="0" xfId="0" applyNumberFormat="1" applyFont="1" applyFill="1" applyAlignment="1">
      <alignment horizontal="left"/>
    </xf>
    <xf numFmtId="178" fontId="3" fillId="5" borderId="221" xfId="0" applyNumberFormat="1" applyFont="1" applyFill="1" applyBorder="1" applyAlignment="1">
      <alignment horizontal="center"/>
    </xf>
    <xf numFmtId="168" fontId="3" fillId="5" borderId="221" xfId="0" applyNumberFormat="1" applyFont="1" applyFill="1" applyBorder="1" applyAlignment="1">
      <alignment horizontal="center"/>
    </xf>
    <xf numFmtId="4" fontId="14" fillId="3" borderId="72" xfId="0" applyNumberFormat="1" applyFont="1" applyFill="1" applyBorder="1" applyAlignment="1">
      <alignment horizontal="center" vertical="center"/>
    </xf>
    <xf numFmtId="10" fontId="14" fillId="0" borderId="72" xfId="0" applyNumberFormat="1" applyFont="1" applyBorder="1" applyAlignment="1">
      <alignment horizontal="center" vertical="center"/>
    </xf>
    <xf numFmtId="10" fontId="14" fillId="0" borderId="90" xfId="0" applyNumberFormat="1" applyFont="1" applyBorder="1" applyAlignment="1">
      <alignment horizontal="center" vertical="center"/>
    </xf>
    <xf numFmtId="10" fontId="14" fillId="3" borderId="230" xfId="0" applyNumberFormat="1" applyFont="1" applyFill="1" applyBorder="1" applyAlignment="1">
      <alignment horizontal="center" vertical="center"/>
    </xf>
    <xf numFmtId="10" fontId="14" fillId="3" borderId="100" xfId="0" applyNumberFormat="1" applyFont="1" applyFill="1" applyBorder="1" applyAlignment="1">
      <alignment horizontal="center" vertical="center"/>
    </xf>
    <xf numFmtId="10" fontId="3" fillId="6" borderId="220" xfId="0" applyNumberFormat="1" applyFont="1" applyFill="1" applyBorder="1" applyAlignment="1">
      <alignment horizontal="center"/>
    </xf>
    <xf numFmtId="10" fontId="3" fillId="6" borderId="229" xfId="0" applyNumberFormat="1" applyFont="1" applyFill="1" applyBorder="1" applyAlignment="1">
      <alignment horizontal="center"/>
    </xf>
    <xf numFmtId="0" fontId="0" fillId="3" borderId="95" xfId="0" applyFill="1" applyBorder="1"/>
    <xf numFmtId="0" fontId="7" fillId="5" borderId="231" xfId="0" applyFont="1" applyFill="1" applyBorder="1" applyAlignment="1">
      <alignment horizontal="right"/>
    </xf>
    <xf numFmtId="0" fontId="7" fillId="5" borderId="231" xfId="0" applyFont="1" applyFill="1" applyBorder="1" applyAlignment="1">
      <alignment horizontal="center"/>
    </xf>
    <xf numFmtId="0" fontId="7" fillId="5" borderId="232" xfId="0" applyFont="1" applyFill="1" applyBorder="1" applyAlignment="1">
      <alignment horizontal="center"/>
    </xf>
    <xf numFmtId="10" fontId="7" fillId="5" borderId="232" xfId="0" applyNumberFormat="1" applyFont="1" applyFill="1" applyBorder="1" applyAlignment="1">
      <alignment horizontal="center"/>
    </xf>
    <xf numFmtId="0" fontId="19" fillId="5" borderId="232" xfId="0" applyFont="1" applyFill="1" applyBorder="1" applyAlignment="1">
      <alignment horizontal="center"/>
    </xf>
    <xf numFmtId="0" fontId="7" fillId="5" borderId="233" xfId="0" applyFont="1" applyFill="1" applyBorder="1" applyAlignment="1">
      <alignment horizontal="center"/>
    </xf>
    <xf numFmtId="4" fontId="2" fillId="5" borderId="234" xfId="0" applyNumberFormat="1" applyFont="1" applyFill="1" applyBorder="1" applyAlignment="1">
      <alignment horizontal="center"/>
    </xf>
    <xf numFmtId="14" fontId="3" fillId="5" borderId="235" xfId="0" applyNumberFormat="1" applyFont="1" applyFill="1" applyBorder="1" applyAlignment="1">
      <alignment horizontal="center"/>
    </xf>
    <xf numFmtId="172" fontId="3" fillId="6" borderId="234" xfId="0" applyNumberFormat="1" applyFont="1" applyFill="1" applyBorder="1" applyAlignment="1">
      <alignment horizontal="center"/>
    </xf>
    <xf numFmtId="176" fontId="3" fillId="5" borderId="234" xfId="0" applyNumberFormat="1" applyFont="1" applyFill="1" applyBorder="1" applyAlignment="1">
      <alignment horizontal="center"/>
    </xf>
    <xf numFmtId="180" fontId="3" fillId="5" borderId="236" xfId="0" applyNumberFormat="1" applyFont="1" applyFill="1" applyBorder="1" applyAlignment="1">
      <alignment horizontal="center"/>
    </xf>
    <xf numFmtId="2" fontId="3" fillId="5" borderId="234" xfId="0" applyNumberFormat="1" applyFont="1" applyFill="1" applyBorder="1" applyAlignment="1">
      <alignment horizontal="center"/>
    </xf>
    <xf numFmtId="172" fontId="3" fillId="5" borderId="236" xfId="0" applyNumberFormat="1" applyFont="1" applyFill="1" applyBorder="1" applyAlignment="1">
      <alignment horizontal="center"/>
    </xf>
    <xf numFmtId="177" fontId="3" fillId="5" borderId="237" xfId="0" applyNumberFormat="1" applyFont="1" applyFill="1" applyBorder="1" applyAlignment="1">
      <alignment horizontal="center"/>
    </xf>
    <xf numFmtId="172" fontId="9" fillId="5" borderId="55" xfId="0" applyNumberFormat="1" applyFont="1" applyFill="1" applyBorder="1" applyAlignment="1">
      <alignment horizontal="center"/>
    </xf>
    <xf numFmtId="0" fontId="4" fillId="10" borderId="118" xfId="0" applyFont="1" applyFill="1" applyBorder="1" applyAlignment="1">
      <alignment horizontal="center"/>
    </xf>
    <xf numFmtId="0" fontId="4" fillId="10" borderId="41" xfId="0" applyFont="1" applyFill="1" applyBorder="1" applyAlignment="1">
      <alignment horizontal="center"/>
    </xf>
    <xf numFmtId="0" fontId="4" fillId="10" borderId="4" xfId="0" applyFont="1" applyFill="1" applyBorder="1"/>
    <xf numFmtId="0" fontId="4" fillId="10" borderId="5" xfId="0" applyFont="1" applyFill="1" applyBorder="1" applyAlignment="1">
      <alignment horizontal="center"/>
    </xf>
    <xf numFmtId="0" fontId="4" fillId="10" borderId="7" xfId="0" applyFont="1" applyFill="1" applyBorder="1" applyAlignment="1">
      <alignment horizontal="center"/>
    </xf>
    <xf numFmtId="0" fontId="70" fillId="9" borderId="39" xfId="0" applyFont="1" applyFill="1" applyBorder="1" applyAlignment="1">
      <alignment horizontal="center"/>
    </xf>
    <xf numFmtId="0" fontId="70" fillId="9" borderId="3" xfId="0" applyFont="1" applyFill="1" applyBorder="1" applyAlignment="1">
      <alignment horizontal="center"/>
    </xf>
    <xf numFmtId="0" fontId="70" fillId="9" borderId="15" xfId="0" applyFont="1" applyFill="1" applyBorder="1" applyAlignment="1">
      <alignment horizontal="center"/>
    </xf>
    <xf numFmtId="0" fontId="70" fillId="9" borderId="14" xfId="0" applyFont="1" applyFill="1" applyBorder="1" applyAlignment="1">
      <alignment horizontal="center"/>
    </xf>
    <xf numFmtId="0" fontId="70" fillId="9" borderId="19" xfId="0" applyFont="1" applyFill="1" applyBorder="1" applyAlignment="1">
      <alignment horizontal="center"/>
    </xf>
    <xf numFmtId="0" fontId="121" fillId="0" borderId="0" xfId="0" applyFont="1"/>
    <xf numFmtId="0" fontId="63" fillId="6" borderId="150" xfId="0" applyFont="1" applyFill="1" applyBorder="1" applyAlignment="1">
      <alignment horizontal="left" vertical="center" wrapText="1"/>
    </xf>
    <xf numFmtId="0" fontId="63" fillId="6" borderId="151" xfId="0" applyFont="1" applyFill="1" applyBorder="1" applyAlignment="1">
      <alignment horizontal="center" vertical="center"/>
    </xf>
    <xf numFmtId="4" fontId="62" fillId="6" borderId="230" xfId="0" applyNumberFormat="1" applyFont="1" applyFill="1" applyBorder="1" applyAlignment="1">
      <alignment horizontal="center" vertical="center"/>
    </xf>
    <xf numFmtId="0" fontId="63" fillId="6" borderId="150" xfId="0" applyFont="1" applyFill="1" applyBorder="1" applyAlignment="1">
      <alignment vertical="center"/>
    </xf>
    <xf numFmtId="4" fontId="62" fillId="6" borderId="150" xfId="0" applyNumberFormat="1" applyFont="1" applyFill="1" applyBorder="1" applyAlignment="1">
      <alignment horizontal="center" vertical="center"/>
    </xf>
    <xf numFmtId="0" fontId="63" fillId="6" borderId="87" xfId="0" applyFont="1" applyFill="1" applyBorder="1" applyAlignment="1">
      <alignment vertical="center"/>
    </xf>
    <xf numFmtId="0" fontId="63" fillId="6" borderId="89" xfId="0" applyFont="1" applyFill="1" applyBorder="1" applyAlignment="1">
      <alignment horizontal="center" vertical="center"/>
    </xf>
    <xf numFmtId="10" fontId="62" fillId="6" borderId="87" xfId="0" applyNumberFormat="1" applyFont="1" applyFill="1" applyBorder="1" applyAlignment="1">
      <alignment horizontal="center" vertical="center"/>
    </xf>
    <xf numFmtId="10" fontId="62" fillId="6" borderId="105" xfId="0" applyNumberFormat="1" applyFont="1" applyFill="1" applyBorder="1" applyAlignment="1">
      <alignment horizontal="center" vertical="center"/>
    </xf>
    <xf numFmtId="4" fontId="69" fillId="6" borderId="212" xfId="0" applyNumberFormat="1" applyFont="1" applyFill="1" applyBorder="1" applyAlignment="1">
      <alignment horizontal="right" indent="1"/>
    </xf>
    <xf numFmtId="4" fontId="34" fillId="6" borderId="213" xfId="0" applyNumberFormat="1" applyFont="1" applyFill="1" applyBorder="1" applyAlignment="1">
      <alignment horizontal="right" indent="1"/>
    </xf>
    <xf numFmtId="4" fontId="69" fillId="6" borderId="213" xfId="0" applyNumberFormat="1" applyFont="1" applyFill="1" applyBorder="1" applyAlignment="1">
      <alignment horizontal="right" indent="1"/>
    </xf>
    <xf numFmtId="4" fontId="69" fillId="6" borderId="214" xfId="0" applyNumberFormat="1" applyFont="1" applyFill="1" applyBorder="1" applyAlignment="1">
      <alignment horizontal="right" indent="1"/>
    </xf>
    <xf numFmtId="10" fontId="87" fillId="3" borderId="0" xfId="0" applyNumberFormat="1" applyFont="1" applyFill="1" applyAlignment="1">
      <alignment horizontal="center"/>
    </xf>
    <xf numFmtId="4" fontId="31" fillId="6" borderId="72" xfId="0" applyNumberFormat="1" applyFont="1" applyFill="1" applyBorder="1"/>
    <xf numFmtId="4" fontId="2" fillId="6" borderId="72" xfId="0" applyNumberFormat="1" applyFont="1" applyFill="1" applyBorder="1"/>
    <xf numFmtId="4" fontId="79" fillId="6" borderId="0" xfId="0" applyNumberFormat="1" applyFont="1" applyFill="1"/>
    <xf numFmtId="0" fontId="2" fillId="6" borderId="72" xfId="0" applyFont="1" applyFill="1" applyBorder="1"/>
    <xf numFmtId="4" fontId="2" fillId="6" borderId="72" xfId="0" applyNumberFormat="1" applyFont="1" applyFill="1" applyBorder="1" applyAlignment="1">
      <alignment horizontal="left"/>
    </xf>
    <xf numFmtId="4" fontId="79" fillId="6" borderId="72" xfId="0" applyNumberFormat="1" applyFont="1" applyFill="1" applyBorder="1"/>
    <xf numFmtId="4" fontId="2" fillId="6" borderId="72" xfId="0" applyNumberFormat="1" applyFont="1" applyFill="1" applyBorder="1" applyAlignment="1">
      <alignment horizontal="center"/>
    </xf>
    <xf numFmtId="0" fontId="22" fillId="5" borderId="238" xfId="0" applyFont="1" applyFill="1" applyBorder="1" applyAlignment="1">
      <alignment horizontal="right"/>
    </xf>
    <xf numFmtId="169" fontId="22" fillId="5" borderId="239" xfId="0" applyNumberFormat="1" applyFont="1" applyFill="1" applyBorder="1" applyAlignment="1">
      <alignment horizontal="right"/>
    </xf>
    <xf numFmtId="0" fontId="22" fillId="5" borderId="240" xfId="0" applyFont="1" applyFill="1" applyBorder="1" applyAlignment="1">
      <alignment horizontal="right"/>
    </xf>
    <xf numFmtId="17" fontId="22" fillId="5" borderId="241" xfId="0" applyNumberFormat="1" applyFont="1" applyFill="1" applyBorder="1" applyAlignment="1">
      <alignment horizontal="right"/>
    </xf>
    <xf numFmtId="0" fontId="69" fillId="6" borderId="0" xfId="0" applyFont="1" applyFill="1" applyAlignment="1">
      <alignment horizontal="justify" vertical="justify"/>
    </xf>
    <xf numFmtId="0" fontId="95" fillId="6" borderId="0" xfId="0" applyFont="1" applyFill="1" applyAlignment="1">
      <alignment horizontal="center"/>
    </xf>
    <xf numFmtId="0" fontId="4" fillId="10" borderId="51" xfId="0" applyFont="1" applyFill="1" applyBorder="1" applyAlignment="1">
      <alignment horizontal="center"/>
    </xf>
    <xf numFmtId="0" fontId="4" fillId="10" borderId="15" xfId="0" applyFont="1" applyFill="1" applyBorder="1"/>
    <xf numFmtId="0" fontId="4" fillId="10" borderId="14" xfId="0" applyFont="1" applyFill="1" applyBorder="1"/>
    <xf numFmtId="0" fontId="9" fillId="5" borderId="54" xfId="0" applyFont="1" applyFill="1" applyBorder="1"/>
    <xf numFmtId="0" fontId="70" fillId="9" borderId="0" xfId="0" applyFont="1" applyFill="1" applyAlignment="1">
      <alignment horizontal="center"/>
    </xf>
    <xf numFmtId="39" fontId="96" fillId="6" borderId="0" xfId="0" applyNumberFormat="1" applyFont="1" applyFill="1" applyAlignment="1">
      <alignment horizontal="left"/>
    </xf>
    <xf numFmtId="172" fontId="31" fillId="6" borderId="0" xfId="0" applyNumberFormat="1" applyFont="1" applyFill="1"/>
    <xf numFmtId="172" fontId="97" fillId="6" borderId="0" xfId="0" applyNumberFormat="1" applyFont="1" applyFill="1"/>
    <xf numFmtId="0" fontId="22" fillId="5" borderId="244" xfId="0" applyFont="1" applyFill="1" applyBorder="1" applyAlignment="1">
      <alignment horizontal="right"/>
    </xf>
    <xf numFmtId="4" fontId="2" fillId="5" borderId="246" xfId="0" applyNumberFormat="1" applyFont="1" applyFill="1" applyBorder="1" applyAlignment="1">
      <alignment horizontal="center"/>
    </xf>
    <xf numFmtId="184" fontId="20" fillId="5" borderId="133" xfId="0" applyNumberFormat="1" applyFont="1" applyFill="1" applyBorder="1" applyAlignment="1">
      <alignment horizontal="center"/>
    </xf>
    <xf numFmtId="184" fontId="20" fillId="5" borderId="247" xfId="0" applyNumberFormat="1" applyFont="1" applyFill="1" applyBorder="1" applyAlignment="1">
      <alignment horizontal="center"/>
    </xf>
    <xf numFmtId="0" fontId="14" fillId="5" borderId="247" xfId="0" applyFont="1" applyFill="1" applyBorder="1"/>
    <xf numFmtId="184" fontId="20" fillId="5" borderId="174" xfId="0" applyNumberFormat="1" applyFont="1" applyFill="1" applyBorder="1" applyAlignment="1">
      <alignment horizontal="center"/>
    </xf>
    <xf numFmtId="0" fontId="45" fillId="3" borderId="248" xfId="0" applyFont="1" applyFill="1" applyBorder="1"/>
    <xf numFmtId="0" fontId="53" fillId="3" borderId="176" xfId="0" applyFont="1" applyFill="1" applyBorder="1"/>
    <xf numFmtId="0" fontId="45" fillId="3" borderId="176" xfId="0" applyFont="1" applyFill="1" applyBorder="1"/>
    <xf numFmtId="0" fontId="45" fillId="3" borderId="249" xfId="0" applyFont="1" applyFill="1" applyBorder="1"/>
    <xf numFmtId="4" fontId="51" fillId="3" borderId="227" xfId="0" applyNumberFormat="1" applyFont="1" applyFill="1" applyBorder="1" applyAlignment="1">
      <alignment horizontal="center"/>
    </xf>
    <xf numFmtId="0" fontId="45" fillId="3" borderId="250" xfId="0" applyFont="1" applyFill="1" applyBorder="1"/>
    <xf numFmtId="0" fontId="43" fillId="3" borderId="139" xfId="0" applyFont="1" applyFill="1" applyBorder="1"/>
    <xf numFmtId="0" fontId="45" fillId="3" borderId="139" xfId="0" applyFont="1" applyFill="1" applyBorder="1"/>
    <xf numFmtId="0" fontId="45" fillId="3" borderId="251" xfId="0" applyFont="1" applyFill="1" applyBorder="1"/>
    <xf numFmtId="4" fontId="52" fillId="3" borderId="155" xfId="0" applyNumberFormat="1" applyFont="1" applyFill="1" applyBorder="1" applyAlignment="1">
      <alignment horizontal="center"/>
    </xf>
    <xf numFmtId="0" fontId="53" fillId="3" borderId="139" xfId="0" applyFont="1" applyFill="1" applyBorder="1"/>
    <xf numFmtId="0" fontId="45" fillId="3" borderId="253" xfId="0" applyFont="1" applyFill="1" applyBorder="1"/>
    <xf numFmtId="0" fontId="53" fillId="3" borderId="254" xfId="0" applyFont="1" applyFill="1" applyBorder="1"/>
    <xf numFmtId="0" fontId="45" fillId="3" borderId="254" xfId="0" applyFont="1" applyFill="1" applyBorder="1"/>
    <xf numFmtId="0" fontId="45" fillId="3" borderId="255" xfId="0" applyFont="1" applyFill="1" applyBorder="1"/>
    <xf numFmtId="4" fontId="52" fillId="3" borderId="252" xfId="0" applyNumberFormat="1" applyFont="1" applyFill="1" applyBorder="1" applyAlignment="1">
      <alignment horizontal="center"/>
    </xf>
    <xf numFmtId="4" fontId="111" fillId="6" borderId="72" xfId="0" applyNumberFormat="1" applyFont="1" applyFill="1" applyBorder="1" applyAlignment="1">
      <alignment horizontal="center"/>
    </xf>
    <xf numFmtId="0" fontId="23" fillId="6" borderId="0" xfId="0" applyFont="1" applyFill="1" applyAlignment="1">
      <alignment horizontal="center"/>
    </xf>
    <xf numFmtId="4" fontId="31" fillId="6" borderId="0" xfId="0" applyNumberFormat="1" applyFont="1" applyFill="1"/>
    <xf numFmtId="4" fontId="2" fillId="6" borderId="0" xfId="0" applyNumberFormat="1" applyFont="1" applyFill="1" applyAlignment="1">
      <alignment horizontal="left"/>
    </xf>
    <xf numFmtId="0" fontId="31" fillId="6" borderId="72" xfId="0" applyFont="1" applyFill="1" applyBorder="1"/>
    <xf numFmtId="0" fontId="122" fillId="6" borderId="72" xfId="0" applyFont="1" applyFill="1" applyBorder="1"/>
    <xf numFmtId="0" fontId="31" fillId="6" borderId="72" xfId="0" applyFont="1" applyFill="1" applyBorder="1" applyAlignment="1">
      <alignment horizontal="center"/>
    </xf>
    <xf numFmtId="17" fontId="2" fillId="6" borderId="72" xfId="0" applyNumberFormat="1" applyFont="1" applyFill="1" applyBorder="1" applyAlignment="1">
      <alignment horizontal="center"/>
    </xf>
    <xf numFmtId="4" fontId="2" fillId="9" borderId="0" xfId="0" applyNumberFormat="1" applyFont="1" applyFill="1"/>
    <xf numFmtId="195" fontId="2" fillId="9" borderId="0" xfId="0" applyNumberFormat="1" applyFont="1" applyFill="1"/>
    <xf numFmtId="0" fontId="2" fillId="9" borderId="0" xfId="0" applyFont="1" applyFill="1"/>
    <xf numFmtId="4" fontId="2" fillId="19" borderId="0" xfId="0" applyNumberFormat="1" applyFont="1" applyFill="1"/>
    <xf numFmtId="195" fontId="2" fillId="19" borderId="0" xfId="0" applyNumberFormat="1" applyFont="1" applyFill="1"/>
    <xf numFmtId="0" fontId="2" fillId="19" borderId="0" xfId="0" applyFont="1" applyFill="1"/>
    <xf numFmtId="3" fontId="2" fillId="19" borderId="0" xfId="0" applyNumberFormat="1" applyFont="1" applyFill="1"/>
    <xf numFmtId="4" fontId="14" fillId="5" borderId="56" xfId="0" applyNumberFormat="1" applyFont="1" applyFill="1" applyBorder="1" applyAlignment="1">
      <alignment horizontal="center"/>
    </xf>
    <xf numFmtId="0" fontId="4" fillId="10" borderId="257" xfId="0" applyFont="1" applyFill="1" applyBorder="1" applyAlignment="1">
      <alignment horizontal="center"/>
    </xf>
    <xf numFmtId="0" fontId="4" fillId="10" borderId="261" xfId="0" applyFont="1" applyFill="1" applyBorder="1" applyAlignment="1">
      <alignment horizontal="center"/>
    </xf>
    <xf numFmtId="0" fontId="4" fillId="10" borderId="34" xfId="0" applyFont="1" applyFill="1" applyBorder="1"/>
    <xf numFmtId="173" fontId="20" fillId="5" borderId="0" xfId="0" applyNumberFormat="1" applyFont="1" applyFill="1" applyAlignment="1">
      <alignment horizontal="center"/>
    </xf>
    <xf numFmtId="184" fontId="20" fillId="5" borderId="215" xfId="0" applyNumberFormat="1" applyFont="1" applyFill="1" applyBorder="1" applyAlignment="1">
      <alignment horizontal="center"/>
    </xf>
    <xf numFmtId="0" fontId="4" fillId="10" borderId="17" xfId="0" applyFont="1" applyFill="1" applyBorder="1" applyAlignment="1">
      <alignment horizontal="center"/>
    </xf>
    <xf numFmtId="172" fontId="20" fillId="5" borderId="0" xfId="0" applyNumberFormat="1" applyFont="1" applyFill="1" applyAlignment="1">
      <alignment horizontal="center"/>
    </xf>
    <xf numFmtId="4" fontId="20" fillId="5" borderId="0" xfId="0" applyNumberFormat="1" applyFont="1" applyFill="1" applyAlignment="1">
      <alignment horizontal="center"/>
    </xf>
    <xf numFmtId="172" fontId="9" fillId="5" borderId="0" xfId="0" applyNumberFormat="1" applyFont="1" applyFill="1" applyAlignment="1">
      <alignment horizontal="center"/>
    </xf>
    <xf numFmtId="172" fontId="3" fillId="5" borderId="0" xfId="0" applyNumberFormat="1" applyFont="1" applyFill="1" applyAlignment="1">
      <alignment horizontal="center"/>
    </xf>
    <xf numFmtId="173" fontId="9" fillId="5" borderId="55" xfId="0" applyNumberFormat="1" applyFont="1" applyFill="1" applyBorder="1"/>
    <xf numFmtId="173" fontId="19" fillId="5" borderId="72" xfId="0" applyNumberFormat="1" applyFont="1" applyFill="1" applyBorder="1" applyAlignment="1">
      <alignment horizontal="center"/>
    </xf>
    <xf numFmtId="0" fontId="3" fillId="5" borderId="0" xfId="0" applyFont="1" applyFill="1" applyAlignment="1">
      <alignment horizontal="left"/>
    </xf>
    <xf numFmtId="0" fontId="9" fillId="5" borderId="0" xfId="0" applyFont="1" applyFill="1" applyAlignment="1">
      <alignment horizontal="left"/>
    </xf>
    <xf numFmtId="172" fontId="9" fillId="5" borderId="0" xfId="0" applyNumberFormat="1" applyFont="1" applyFill="1" applyAlignment="1">
      <alignment horizontal="left"/>
    </xf>
    <xf numFmtId="0" fontId="3" fillId="5" borderId="3" xfId="0" applyFont="1" applyFill="1" applyBorder="1" applyAlignment="1">
      <alignment horizontal="left"/>
    </xf>
    <xf numFmtId="173" fontId="9" fillId="5" borderId="55" xfId="0" applyNumberFormat="1" applyFont="1" applyFill="1" applyBorder="1" applyAlignment="1">
      <alignment horizontal="left"/>
    </xf>
    <xf numFmtId="0" fontId="9" fillId="5" borderId="262" xfId="0" applyFont="1" applyFill="1" applyBorder="1" applyAlignment="1">
      <alignment horizontal="left"/>
    </xf>
    <xf numFmtId="4" fontId="3" fillId="5" borderId="71" xfId="0" applyNumberFormat="1" applyFont="1" applyFill="1" applyBorder="1" applyAlignment="1">
      <alignment horizontal="center"/>
    </xf>
    <xf numFmtId="4" fontId="14" fillId="5" borderId="65" xfId="0" applyNumberFormat="1" applyFont="1" applyFill="1" applyBorder="1" applyAlignment="1">
      <alignment horizontal="center"/>
    </xf>
    <xf numFmtId="0" fontId="22" fillId="5" borderId="3" xfId="0" applyFont="1" applyFill="1" applyBorder="1" applyAlignment="1">
      <alignment horizontal="center"/>
    </xf>
    <xf numFmtId="169" fontId="22" fillId="5" borderId="0" xfId="0" applyNumberFormat="1" applyFont="1" applyFill="1" applyAlignment="1">
      <alignment horizontal="center"/>
    </xf>
    <xf numFmtId="177" fontId="3" fillId="5" borderId="0" xfId="0" applyNumberFormat="1" applyFont="1" applyFill="1" applyAlignment="1">
      <alignment horizontal="center"/>
    </xf>
    <xf numFmtId="175" fontId="3" fillId="5" borderId="0" xfId="0" applyNumberFormat="1" applyFont="1" applyFill="1" applyAlignment="1">
      <alignment horizontal="center"/>
    </xf>
    <xf numFmtId="168" fontId="3" fillId="5" borderId="0" xfId="0" applyNumberFormat="1" applyFont="1" applyFill="1" applyAlignment="1">
      <alignment horizontal="center"/>
    </xf>
    <xf numFmtId="10" fontId="3" fillId="5" borderId="2" xfId="0" applyNumberFormat="1" applyFont="1" applyFill="1" applyBorder="1" applyAlignment="1">
      <alignment horizontal="center"/>
    </xf>
    <xf numFmtId="172" fontId="3" fillId="5" borderId="2" xfId="0" applyNumberFormat="1" applyFont="1" applyFill="1" applyBorder="1" applyAlignment="1">
      <alignment horizontal="center"/>
    </xf>
    <xf numFmtId="172" fontId="3" fillId="5" borderId="25" xfId="0" applyNumberFormat="1" applyFont="1" applyFill="1" applyBorder="1" applyAlignment="1">
      <alignment horizontal="center"/>
    </xf>
    <xf numFmtId="177" fontId="3" fillId="5" borderId="4" xfId="0" applyNumberFormat="1" applyFont="1" applyFill="1" applyBorder="1" applyAlignment="1">
      <alignment horizontal="center"/>
    </xf>
    <xf numFmtId="168" fontId="3" fillId="5" borderId="102" xfId="0" applyNumberFormat="1" applyFont="1" applyFill="1" applyBorder="1" applyAlignment="1">
      <alignment horizontal="center"/>
    </xf>
    <xf numFmtId="10" fontId="3" fillId="5" borderId="23" xfId="0" applyNumberFormat="1" applyFont="1" applyFill="1" applyBorder="1" applyAlignment="1">
      <alignment horizontal="center"/>
    </xf>
    <xf numFmtId="172" fontId="3" fillId="5" borderId="6" xfId="0" applyNumberFormat="1" applyFont="1" applyFill="1" applyBorder="1" applyAlignment="1">
      <alignment horizontal="center"/>
    </xf>
    <xf numFmtId="0" fontId="9" fillId="5" borderId="72" xfId="0" applyFont="1" applyFill="1" applyBorder="1"/>
    <xf numFmtId="4" fontId="9" fillId="5" borderId="72" xfId="0" applyNumberFormat="1" applyFont="1" applyFill="1" applyBorder="1" applyAlignment="1">
      <alignment horizontal="center"/>
    </xf>
    <xf numFmtId="172" fontId="3" fillId="5" borderId="102" xfId="0" applyNumberFormat="1" applyFont="1" applyFill="1" applyBorder="1" applyAlignment="1">
      <alignment horizontal="center"/>
    </xf>
    <xf numFmtId="172" fontId="3" fillId="5" borderId="263" xfId="0" applyNumberFormat="1" applyFont="1" applyFill="1" applyBorder="1" applyAlignment="1">
      <alignment horizontal="center"/>
    </xf>
    <xf numFmtId="0" fontId="22" fillId="5" borderId="3" xfId="0" applyFont="1" applyFill="1" applyBorder="1" applyAlignment="1">
      <alignment horizontal="right"/>
    </xf>
    <xf numFmtId="14" fontId="22" fillId="5" borderId="0" xfId="0" applyNumberFormat="1" applyFont="1" applyFill="1" applyAlignment="1">
      <alignment horizontal="right"/>
    </xf>
    <xf numFmtId="4" fontId="2" fillId="5" borderId="0" xfId="0" applyNumberFormat="1" applyFont="1" applyFill="1" applyAlignment="1">
      <alignment horizontal="center"/>
    </xf>
    <xf numFmtId="14" fontId="3" fillId="5" borderId="0" xfId="0" applyNumberFormat="1" applyFont="1" applyFill="1" applyAlignment="1">
      <alignment horizontal="center"/>
    </xf>
    <xf numFmtId="176" fontId="3" fillId="5" borderId="0" xfId="0" applyNumberFormat="1" applyFont="1" applyFill="1" applyAlignment="1">
      <alignment horizontal="center"/>
    </xf>
    <xf numFmtId="10" fontId="3" fillId="5" borderId="0" xfId="0" applyNumberFormat="1" applyFont="1" applyFill="1" applyAlignment="1">
      <alignment horizontal="center"/>
    </xf>
    <xf numFmtId="2" fontId="3" fillId="5" borderId="0" xfId="0" applyNumberFormat="1" applyFont="1" applyFill="1" applyAlignment="1">
      <alignment horizontal="center"/>
    </xf>
    <xf numFmtId="17" fontId="22" fillId="5" borderId="245" xfId="0" applyNumberFormat="1" applyFont="1" applyFill="1" applyBorder="1" applyAlignment="1">
      <alignment horizontal="right"/>
    </xf>
    <xf numFmtId="0" fontId="22" fillId="5" borderId="264" xfId="0" applyFont="1" applyFill="1" applyBorder="1" applyAlignment="1">
      <alignment horizontal="right"/>
    </xf>
    <xf numFmtId="14" fontId="22" fillId="5" borderId="102" xfId="0" applyNumberFormat="1" applyFont="1" applyFill="1" applyBorder="1" applyAlignment="1">
      <alignment horizontal="right"/>
    </xf>
    <xf numFmtId="4" fontId="2" fillId="5" borderId="102" xfId="0" applyNumberFormat="1" applyFont="1" applyFill="1" applyBorder="1" applyAlignment="1">
      <alignment horizontal="center"/>
    </xf>
    <xf numFmtId="14" fontId="3" fillId="5" borderId="102" xfId="0" applyNumberFormat="1" applyFont="1" applyFill="1" applyBorder="1" applyAlignment="1">
      <alignment horizontal="center"/>
    </xf>
    <xf numFmtId="176" fontId="3" fillId="5" borderId="102" xfId="0" applyNumberFormat="1" applyFont="1" applyFill="1" applyBorder="1" applyAlignment="1">
      <alignment horizontal="center"/>
    </xf>
    <xf numFmtId="10" fontId="3" fillId="5" borderId="102" xfId="0" applyNumberFormat="1" applyFont="1" applyFill="1" applyBorder="1" applyAlignment="1">
      <alignment horizontal="center"/>
    </xf>
    <xf numFmtId="2" fontId="3" fillId="5" borderId="102" xfId="0" applyNumberFormat="1" applyFont="1" applyFill="1" applyBorder="1" applyAlignment="1">
      <alignment horizontal="center"/>
    </xf>
    <xf numFmtId="4" fontId="31" fillId="6" borderId="17" xfId="0" applyNumberFormat="1" applyFont="1" applyFill="1" applyBorder="1"/>
    <xf numFmtId="0" fontId="123" fillId="0" borderId="72" xfId="0" applyFont="1" applyBorder="1"/>
    <xf numFmtId="4" fontId="123" fillId="0" borderId="72" xfId="0" applyNumberFormat="1" applyFont="1" applyBorder="1"/>
    <xf numFmtId="4" fontId="55" fillId="6" borderId="0" xfId="0" applyNumberFormat="1" applyFont="1" applyFill="1" applyAlignment="1">
      <alignment vertical="center"/>
    </xf>
    <xf numFmtId="49" fontId="17" fillId="0" borderId="0" xfId="0" applyNumberFormat="1" applyFont="1"/>
    <xf numFmtId="17" fontId="125" fillId="0" borderId="72" xfId="0" applyNumberFormat="1" applyFont="1" applyBorder="1" applyAlignment="1">
      <alignment horizontal="center"/>
    </xf>
    <xf numFmtId="172" fontId="3" fillId="6" borderId="256" xfId="0" applyNumberFormat="1" applyFont="1" applyFill="1" applyBorder="1" applyAlignment="1">
      <alignment horizontal="center"/>
    </xf>
    <xf numFmtId="172" fontId="3" fillId="5" borderId="256" xfId="0" applyNumberFormat="1" applyFont="1" applyFill="1" applyBorder="1" applyAlignment="1">
      <alignment horizontal="center"/>
    </xf>
    <xf numFmtId="172" fontId="3" fillId="5" borderId="266" xfId="0" applyNumberFormat="1" applyFont="1" applyFill="1" applyBorder="1" applyAlignment="1">
      <alignment horizontal="center"/>
    </xf>
    <xf numFmtId="17" fontId="4" fillId="10" borderId="72" xfId="0" applyNumberFormat="1" applyFont="1" applyFill="1" applyBorder="1" applyAlignment="1">
      <alignment horizontal="center"/>
    </xf>
    <xf numFmtId="4" fontId="19" fillId="5" borderId="0" xfId="0" applyNumberFormat="1" applyFont="1" applyFill="1"/>
    <xf numFmtId="17" fontId="6" fillId="10" borderId="90" xfId="0" applyNumberFormat="1" applyFont="1" applyFill="1" applyBorder="1"/>
    <xf numFmtId="17" fontId="4" fillId="10" borderId="52" xfId="0" applyNumberFormat="1" applyFont="1" applyFill="1" applyBorder="1" applyAlignment="1">
      <alignment horizontal="center"/>
    </xf>
    <xf numFmtId="0" fontId="5" fillId="5" borderId="225" xfId="0" applyFont="1" applyFill="1" applyBorder="1" applyAlignment="1">
      <alignment horizontal="center"/>
    </xf>
    <xf numFmtId="17" fontId="5" fillId="5" borderId="157" xfId="0" applyNumberFormat="1" applyFont="1" applyFill="1" applyBorder="1" applyAlignment="1">
      <alignment horizontal="center"/>
    </xf>
    <xf numFmtId="4" fontId="2" fillId="5" borderId="157" xfId="0" applyNumberFormat="1" applyFont="1" applyFill="1" applyBorder="1" applyAlignment="1">
      <alignment horizontal="center"/>
    </xf>
    <xf numFmtId="172" fontId="3" fillId="6" borderId="157" xfId="0" applyNumberFormat="1" applyFont="1" applyFill="1" applyBorder="1" applyAlignment="1">
      <alignment horizontal="center"/>
    </xf>
    <xf numFmtId="178" fontId="3" fillId="5" borderId="157" xfId="0" applyNumberFormat="1" applyFont="1" applyFill="1" applyBorder="1" applyAlignment="1">
      <alignment horizontal="center"/>
    </xf>
    <xf numFmtId="168" fontId="3" fillId="5" borderId="157" xfId="0" applyNumberFormat="1" applyFont="1" applyFill="1" applyBorder="1" applyAlignment="1">
      <alignment horizontal="center"/>
    </xf>
    <xf numFmtId="4" fontId="3" fillId="5" borderId="156" xfId="0" applyNumberFormat="1" applyFont="1" applyFill="1" applyBorder="1" applyAlignment="1">
      <alignment horizontal="center"/>
    </xf>
    <xf numFmtId="0" fontId="4" fillId="10" borderId="86" xfId="0" applyFont="1" applyFill="1" applyBorder="1" applyAlignment="1">
      <alignment horizontal="center"/>
    </xf>
    <xf numFmtId="0" fontId="4" fillId="10" borderId="268" xfId="0" applyFont="1" applyFill="1" applyBorder="1" applyAlignment="1">
      <alignment horizontal="center"/>
    </xf>
    <xf numFmtId="4" fontId="3" fillId="5" borderId="204" xfId="0" applyNumberFormat="1" applyFont="1" applyFill="1" applyBorder="1" applyAlignment="1">
      <alignment horizontal="center"/>
    </xf>
    <xf numFmtId="4" fontId="3" fillId="5" borderId="221" xfId="0" applyNumberFormat="1" applyFont="1" applyFill="1" applyBorder="1" applyAlignment="1">
      <alignment horizontal="center"/>
    </xf>
    <xf numFmtId="4" fontId="3" fillId="5" borderId="218" xfId="0" applyNumberFormat="1" applyFont="1" applyFill="1" applyBorder="1" applyAlignment="1">
      <alignment horizontal="center"/>
    </xf>
    <xf numFmtId="4" fontId="3" fillId="5" borderId="267" xfId="0" applyNumberFormat="1" applyFont="1" applyFill="1" applyBorder="1" applyAlignment="1">
      <alignment horizontal="center"/>
    </xf>
    <xf numFmtId="176" fontId="3" fillId="5" borderId="270" xfId="0" applyNumberFormat="1" applyFont="1" applyFill="1" applyBorder="1" applyAlignment="1">
      <alignment horizontal="center"/>
    </xf>
    <xf numFmtId="2" fontId="3" fillId="5" borderId="270" xfId="0" applyNumberFormat="1" applyFont="1" applyFill="1" applyBorder="1" applyAlignment="1">
      <alignment horizontal="center"/>
    </xf>
    <xf numFmtId="172" fontId="3" fillId="5" borderId="271" xfId="0" applyNumberFormat="1" applyFont="1" applyFill="1" applyBorder="1" applyAlignment="1">
      <alignment horizontal="center"/>
    </xf>
    <xf numFmtId="177" fontId="3" fillId="5" borderId="272" xfId="0" applyNumberFormat="1" applyFont="1" applyFill="1" applyBorder="1" applyAlignment="1">
      <alignment horizontal="center"/>
    </xf>
    <xf numFmtId="176" fontId="3" fillId="5" borderId="273" xfId="0" applyNumberFormat="1" applyFont="1" applyFill="1" applyBorder="1" applyAlignment="1">
      <alignment horizontal="center"/>
    </xf>
    <xf numFmtId="2" fontId="3" fillId="5" borderId="273" xfId="0" applyNumberFormat="1" applyFont="1" applyFill="1" applyBorder="1" applyAlignment="1">
      <alignment horizontal="center"/>
    </xf>
    <xf numFmtId="172" fontId="3" fillId="5" borderId="273" xfId="0" applyNumberFormat="1" applyFont="1" applyFill="1" applyBorder="1" applyAlignment="1">
      <alignment horizontal="center"/>
    </xf>
    <xf numFmtId="177" fontId="3" fillId="5" borderId="269" xfId="0" applyNumberFormat="1" applyFont="1" applyFill="1" applyBorder="1" applyAlignment="1">
      <alignment horizontal="center"/>
    </xf>
    <xf numFmtId="0" fontId="31" fillId="0" borderId="0" xfId="0" applyFont="1"/>
    <xf numFmtId="0" fontId="31" fillId="6" borderId="0" xfId="0" applyFont="1" applyFill="1"/>
    <xf numFmtId="0" fontId="2" fillId="0" borderId="0" xfId="0" quotePrefix="1" applyFont="1"/>
    <xf numFmtId="0" fontId="2" fillId="6" borderId="0" xfId="0" applyFont="1" applyFill="1" applyAlignment="1">
      <alignment vertical="center"/>
    </xf>
    <xf numFmtId="0" fontId="31" fillId="6" borderId="25" xfId="0" applyFont="1" applyFill="1" applyBorder="1" applyAlignment="1">
      <alignment vertical="center"/>
    </xf>
    <xf numFmtId="0" fontId="31" fillId="37" borderId="0" xfId="0" applyFont="1" applyFill="1"/>
    <xf numFmtId="0" fontId="2" fillId="37" borderId="0" xfId="0" applyFont="1" applyFill="1"/>
    <xf numFmtId="0" fontId="2" fillId="37" borderId="0" xfId="0" applyFont="1" applyFill="1" applyAlignment="1">
      <alignment horizontal="center"/>
    </xf>
    <xf numFmtId="4" fontId="31" fillId="37" borderId="0" xfId="0" applyNumberFormat="1" applyFont="1" applyFill="1"/>
    <xf numFmtId="17" fontId="5" fillId="5" borderId="266" xfId="0" applyNumberFormat="1" applyFont="1" applyFill="1" applyBorder="1" applyAlignment="1">
      <alignment horizontal="center"/>
    </xf>
    <xf numFmtId="4" fontId="3" fillId="5" borderId="266" xfId="0" applyNumberFormat="1" applyFont="1" applyFill="1" applyBorder="1" applyAlignment="1">
      <alignment horizontal="center"/>
    </xf>
    <xf numFmtId="2" fontId="3" fillId="5" borderId="266" xfId="0" applyNumberFormat="1" applyFont="1" applyFill="1" applyBorder="1" applyAlignment="1">
      <alignment horizontal="center"/>
    </xf>
    <xf numFmtId="4" fontId="3" fillId="5" borderId="275" xfId="0" applyNumberFormat="1" applyFont="1" applyFill="1" applyBorder="1" applyAlignment="1">
      <alignment horizontal="center"/>
    </xf>
    <xf numFmtId="0" fontId="19" fillId="5" borderId="54" xfId="0" applyFont="1" applyFill="1" applyBorder="1"/>
    <xf numFmtId="4" fontId="9" fillId="5" borderId="247" xfId="0" applyNumberFormat="1" applyFont="1" applyFill="1" applyBorder="1" applyAlignment="1">
      <alignment horizontal="center"/>
    </xf>
    <xf numFmtId="39" fontId="22" fillId="38" borderId="60" xfId="0" applyNumberFormat="1" applyFont="1" applyFill="1" applyBorder="1" applyAlignment="1">
      <alignment horizontal="left"/>
    </xf>
    <xf numFmtId="0" fontId="7" fillId="39" borderId="2" xfId="0" applyFont="1" applyFill="1" applyBorder="1" applyAlignment="1">
      <alignment horizontal="right"/>
    </xf>
    <xf numFmtId="0" fontId="7" fillId="39" borderId="0" xfId="0" applyFont="1" applyFill="1" applyAlignment="1">
      <alignment horizontal="right"/>
    </xf>
    <xf numFmtId="0" fontId="7" fillId="39" borderId="0" xfId="0" applyFont="1" applyFill="1" applyAlignment="1">
      <alignment horizontal="center"/>
    </xf>
    <xf numFmtId="0" fontId="7" fillId="39" borderId="25" xfId="0" applyFont="1" applyFill="1" applyBorder="1" applyAlignment="1">
      <alignment horizontal="center"/>
    </xf>
    <xf numFmtId="4" fontId="31" fillId="38" borderId="0" xfId="0" applyNumberFormat="1" applyFont="1" applyFill="1"/>
    <xf numFmtId="0" fontId="4" fillId="10" borderId="79" xfId="0" applyFont="1" applyFill="1" applyBorder="1" applyAlignment="1">
      <alignment horizontal="center"/>
    </xf>
    <xf numFmtId="0" fontId="4" fillId="10" borderId="124" xfId="0" applyFont="1" applyFill="1" applyBorder="1" applyAlignment="1">
      <alignment horizontal="center"/>
    </xf>
    <xf numFmtId="0" fontId="4" fillId="10" borderId="87" xfId="0" applyFont="1" applyFill="1" applyBorder="1" applyAlignment="1">
      <alignment horizontal="center"/>
    </xf>
    <xf numFmtId="0" fontId="17" fillId="5" borderId="141" xfId="0" applyFont="1" applyFill="1" applyBorder="1" applyAlignment="1">
      <alignment horizontal="left"/>
    </xf>
    <xf numFmtId="0" fontId="7" fillId="5" borderId="119" xfId="0" applyFont="1" applyFill="1" applyBorder="1"/>
    <xf numFmtId="0" fontId="7" fillId="5" borderId="93" xfId="0" applyFont="1" applyFill="1" applyBorder="1"/>
    <xf numFmtId="0" fontId="7" fillId="5" borderId="96" xfId="0" applyFont="1" applyFill="1" applyBorder="1"/>
    <xf numFmtId="17" fontId="22" fillId="5" borderId="72" xfId="0" applyNumberFormat="1" applyFont="1" applyFill="1" applyBorder="1" applyAlignment="1">
      <alignment horizontal="center"/>
    </xf>
    <xf numFmtId="172" fontId="19" fillId="5" borderId="72" xfId="0" applyNumberFormat="1" applyFont="1" applyFill="1" applyBorder="1" applyAlignment="1">
      <alignment horizontal="center"/>
    </xf>
    <xf numFmtId="168" fontId="19" fillId="5" borderId="72" xfId="0" applyNumberFormat="1" applyFont="1" applyFill="1" applyBorder="1" applyAlignment="1">
      <alignment horizontal="center"/>
    </xf>
    <xf numFmtId="173" fontId="38" fillId="5" borderId="72" xfId="0" applyNumberFormat="1" applyFont="1" applyFill="1" applyBorder="1" applyAlignment="1">
      <alignment horizontal="center"/>
    </xf>
    <xf numFmtId="168" fontId="38" fillId="5" borderId="72" xfId="0" applyNumberFormat="1" applyFont="1" applyFill="1" applyBorder="1" applyAlignment="1">
      <alignment horizontal="center"/>
    </xf>
    <xf numFmtId="179" fontId="22" fillId="5" borderId="72" xfId="0" applyNumberFormat="1" applyFont="1" applyFill="1" applyBorder="1" applyAlignment="1">
      <alignment horizontal="center"/>
    </xf>
    <xf numFmtId="0" fontId="9" fillId="5" borderId="54" xfId="0" applyFont="1" applyFill="1" applyBorder="1" applyAlignment="1">
      <alignment horizontal="left"/>
    </xf>
    <xf numFmtId="0" fontId="9" fillId="5" borderId="55" xfId="0" applyFont="1" applyFill="1" applyBorder="1" applyAlignment="1">
      <alignment horizontal="left"/>
    </xf>
    <xf numFmtId="173" fontId="20" fillId="5" borderId="87" xfId="0" applyNumberFormat="1" applyFont="1" applyFill="1" applyBorder="1" applyAlignment="1">
      <alignment horizontal="center"/>
    </xf>
    <xf numFmtId="0" fontId="22" fillId="39" borderId="225" xfId="0" applyFont="1" applyFill="1" applyBorder="1" applyAlignment="1">
      <alignment horizontal="center"/>
    </xf>
    <xf numFmtId="17" fontId="22" fillId="39" borderId="157" xfId="0" applyNumberFormat="1" applyFont="1" applyFill="1" applyBorder="1" applyAlignment="1">
      <alignment horizontal="center"/>
    </xf>
    <xf numFmtId="172" fontId="19" fillId="39" borderId="226" xfId="0" applyNumberFormat="1" applyFont="1" applyFill="1" applyBorder="1" applyAlignment="1">
      <alignment horizontal="center"/>
    </xf>
    <xf numFmtId="173" fontId="19" fillId="39" borderId="178" xfId="0" applyNumberFormat="1" applyFont="1" applyFill="1" applyBorder="1" applyAlignment="1">
      <alignment horizontal="center"/>
    </xf>
    <xf numFmtId="168" fontId="19" fillId="39" borderId="226" xfId="0" applyNumberFormat="1" applyFont="1" applyFill="1" applyBorder="1" applyAlignment="1">
      <alignment horizontal="center"/>
    </xf>
    <xf numFmtId="173" fontId="19" fillId="39" borderId="226" xfId="0" applyNumberFormat="1" applyFont="1" applyFill="1" applyBorder="1" applyAlignment="1">
      <alignment horizontal="center"/>
    </xf>
    <xf numFmtId="173" fontId="105" fillId="39" borderId="157" xfId="0" applyNumberFormat="1" applyFont="1" applyFill="1" applyBorder="1" applyAlignment="1">
      <alignment horizontal="center"/>
    </xf>
    <xf numFmtId="2" fontId="38" fillId="39" borderId="226" xfId="0" applyNumberFormat="1" applyFont="1" applyFill="1" applyBorder="1" applyAlignment="1">
      <alignment horizontal="center"/>
    </xf>
    <xf numFmtId="173" fontId="38" fillId="39" borderId="184" xfId="0" applyNumberFormat="1" applyFont="1" applyFill="1" applyBorder="1" applyAlignment="1">
      <alignment horizontal="center"/>
    </xf>
    <xf numFmtId="0" fontId="22" fillId="39" borderId="155" xfId="0" applyFont="1" applyFill="1" applyBorder="1" applyAlignment="1">
      <alignment horizontal="center"/>
    </xf>
    <xf numFmtId="17" fontId="22" fillId="39" borderId="221" xfId="0" applyNumberFormat="1" applyFont="1" applyFill="1" applyBorder="1" applyAlignment="1">
      <alignment horizontal="center"/>
    </xf>
    <xf numFmtId="172" fontId="19" fillId="39" borderId="221" xfId="0" applyNumberFormat="1" applyFont="1" applyFill="1" applyBorder="1" applyAlignment="1">
      <alignment horizontal="center"/>
    </xf>
    <xf numFmtId="173" fontId="19" fillId="39" borderId="221" xfId="0" applyNumberFormat="1" applyFont="1" applyFill="1" applyBorder="1" applyAlignment="1">
      <alignment horizontal="center"/>
    </xf>
    <xf numFmtId="168" fontId="19" fillId="39" borderId="221" xfId="0" applyNumberFormat="1" applyFont="1" applyFill="1" applyBorder="1" applyAlignment="1">
      <alignment horizontal="center"/>
    </xf>
    <xf numFmtId="173" fontId="38" fillId="39" borderId="221" xfId="0" applyNumberFormat="1" applyFont="1" applyFill="1" applyBorder="1" applyAlignment="1">
      <alignment horizontal="center"/>
    </xf>
    <xf numFmtId="173" fontId="105" fillId="39" borderId="221" xfId="0" applyNumberFormat="1" applyFont="1" applyFill="1" applyBorder="1" applyAlignment="1">
      <alignment horizontal="center"/>
    </xf>
    <xf numFmtId="2" fontId="38" fillId="39" borderId="221" xfId="0" applyNumberFormat="1" applyFont="1" applyFill="1" applyBorder="1" applyAlignment="1">
      <alignment horizontal="center"/>
    </xf>
    <xf numFmtId="173" fontId="38" fillId="39" borderId="71" xfId="0" applyNumberFormat="1" applyFont="1" applyFill="1" applyBorder="1" applyAlignment="1">
      <alignment horizontal="center"/>
    </xf>
    <xf numFmtId="168" fontId="19" fillId="39" borderId="157" xfId="0" applyNumberFormat="1" applyFont="1" applyFill="1" applyBorder="1" applyAlignment="1">
      <alignment horizontal="center"/>
    </xf>
    <xf numFmtId="168" fontId="38" fillId="39" borderId="221" xfId="0" applyNumberFormat="1" applyFont="1" applyFill="1" applyBorder="1" applyAlignment="1">
      <alignment horizontal="center"/>
    </xf>
    <xf numFmtId="168" fontId="24" fillId="38" borderId="87" xfId="0" applyNumberFormat="1" applyFont="1" applyFill="1" applyBorder="1" applyAlignment="1">
      <alignment horizontal="center"/>
    </xf>
    <xf numFmtId="168" fontId="24" fillId="38" borderId="70" xfId="0" applyNumberFormat="1" applyFont="1" applyFill="1" applyBorder="1" applyAlignment="1">
      <alignment horizontal="center"/>
    </xf>
    <xf numFmtId="49" fontId="69" fillId="0" borderId="199" xfId="11" applyNumberFormat="1" applyFont="1" applyBorder="1" applyAlignment="1">
      <alignment horizontal="right"/>
    </xf>
    <xf numFmtId="0" fontId="17" fillId="0" borderId="179" xfId="0" applyFont="1" applyBorder="1"/>
    <xf numFmtId="0" fontId="17" fillId="0" borderId="179" xfId="0" applyFont="1" applyBorder="1" applyAlignment="1">
      <alignment horizontal="center"/>
    </xf>
    <xf numFmtId="4" fontId="17" fillId="0" borderId="200" xfId="0" applyNumberFormat="1" applyFont="1" applyBorder="1"/>
    <xf numFmtId="4" fontId="34" fillId="0" borderId="201" xfId="0" applyNumberFormat="1" applyFont="1" applyBorder="1" applyAlignment="1">
      <alignment horizontal="right" vertical="center" indent="1"/>
    </xf>
    <xf numFmtId="4" fontId="34" fillId="0" borderId="202" xfId="0" applyNumberFormat="1" applyFont="1" applyBorder="1" applyAlignment="1">
      <alignment horizontal="right" vertical="center" indent="1"/>
    </xf>
    <xf numFmtId="199" fontId="34" fillId="0" borderId="203" xfId="0" applyNumberFormat="1" applyFont="1" applyBorder="1" applyAlignment="1">
      <alignment horizontal="right" indent="1"/>
    </xf>
    <xf numFmtId="199" fontId="34" fillId="0" borderId="202" xfId="0" applyNumberFormat="1" applyFont="1" applyBorder="1" applyAlignment="1">
      <alignment horizontal="right" indent="1"/>
    </xf>
    <xf numFmtId="0" fontId="17" fillId="0" borderId="204" xfId="0" applyFont="1" applyBorder="1"/>
    <xf numFmtId="49" fontId="34" fillId="0" borderId="199" xfId="11" applyNumberFormat="1" applyFont="1" applyBorder="1" applyAlignment="1">
      <alignment horizontal="right"/>
    </xf>
    <xf numFmtId="0" fontId="34" fillId="0" borderId="204" xfId="0" applyFont="1" applyBorder="1"/>
    <xf numFmtId="0" fontId="34" fillId="0" borderId="179" xfId="0" applyFont="1" applyBorder="1" applyAlignment="1">
      <alignment horizontal="center"/>
    </xf>
    <xf numFmtId="4" fontId="34" fillId="0" borderId="200" xfId="0" applyNumberFormat="1" applyFont="1" applyBorder="1" applyAlignment="1">
      <alignment horizontal="right" indent="1"/>
    </xf>
    <xf numFmtId="200" fontId="34" fillId="0" borderId="203" xfId="0" applyNumberFormat="1" applyFont="1" applyBorder="1" applyAlignment="1">
      <alignment horizontal="right" indent="1"/>
    </xf>
    <xf numFmtId="201" fontId="34" fillId="0" borderId="203" xfId="0" applyNumberFormat="1" applyFont="1" applyBorder="1" applyAlignment="1">
      <alignment horizontal="right" indent="1"/>
    </xf>
    <xf numFmtId="0" fontId="34" fillId="0" borderId="179" xfId="0" applyFont="1" applyBorder="1"/>
    <xf numFmtId="0" fontId="34" fillId="0" borderId="204" xfId="0" applyFont="1" applyBorder="1" applyAlignment="1">
      <alignment horizontal="left"/>
    </xf>
    <xf numFmtId="4" fontId="34" fillId="0" borderId="185" xfId="0" applyNumberFormat="1" applyFont="1" applyBorder="1" applyAlignment="1">
      <alignment horizontal="right" vertical="center" indent="1"/>
    </xf>
    <xf numFmtId="2" fontId="34" fillId="0" borderId="205" xfId="0" applyNumberFormat="1" applyFont="1" applyBorder="1" applyAlignment="1">
      <alignment horizontal="center" vertical="center"/>
    </xf>
    <xf numFmtId="4" fontId="34" fillId="0" borderId="206" xfId="0" applyNumberFormat="1" applyFont="1" applyBorder="1" applyAlignment="1">
      <alignment horizontal="right" vertical="center" indent="1"/>
    </xf>
    <xf numFmtId="4" fontId="34" fillId="0" borderId="207" xfId="0" applyNumberFormat="1" applyFont="1" applyBorder="1" applyAlignment="1">
      <alignment horizontal="right" vertical="center" indent="1"/>
    </xf>
    <xf numFmtId="199" fontId="34" fillId="0" borderId="208" xfId="0" applyNumberFormat="1" applyFont="1" applyBorder="1" applyAlignment="1">
      <alignment horizontal="right" indent="1"/>
    </xf>
    <xf numFmtId="199" fontId="34" fillId="0" borderId="207" xfId="0" applyNumberFormat="1" applyFont="1" applyBorder="1" applyAlignment="1">
      <alignment horizontal="right" indent="1"/>
    </xf>
    <xf numFmtId="49" fontId="34" fillId="0" borderId="210" xfId="11" applyNumberFormat="1" applyFont="1" applyBorder="1" applyAlignment="1">
      <alignment horizontal="right"/>
    </xf>
    <xf numFmtId="0" fontId="34" fillId="0" borderId="180" xfId="0" applyFont="1" applyBorder="1" applyAlignment="1">
      <alignment horizontal="center"/>
    </xf>
    <xf numFmtId="4" fontId="34" fillId="0" borderId="210" xfId="0" applyNumberFormat="1" applyFont="1" applyBorder="1" applyAlignment="1">
      <alignment horizontal="right" indent="1"/>
    </xf>
    <xf numFmtId="4" fontId="34" fillId="0" borderId="183" xfId="0" applyNumberFormat="1" applyFont="1" applyBorder="1" applyAlignment="1">
      <alignment horizontal="right" indent="1"/>
    </xf>
    <xf numFmtId="4" fontId="34" fillId="0" borderId="211" xfId="0" applyNumberFormat="1" applyFont="1" applyBorder="1" applyAlignment="1">
      <alignment horizontal="right" indent="1"/>
    </xf>
    <xf numFmtId="4" fontId="118" fillId="0" borderId="178" xfId="0" applyNumberFormat="1" applyFont="1" applyBorder="1" applyAlignment="1">
      <alignment horizontal="right" indent="1"/>
    </xf>
    <xf numFmtId="0" fontId="34" fillId="0" borderId="198" xfId="0" applyFont="1" applyBorder="1" applyAlignment="1">
      <alignment horizontal="right" vertical="center" indent="1"/>
    </xf>
    <xf numFmtId="0" fontId="34" fillId="0" borderId="178" xfId="0" applyFont="1" applyBorder="1" applyAlignment="1">
      <alignment horizontal="right" vertical="center" indent="1"/>
    </xf>
    <xf numFmtId="199" fontId="34" fillId="0" borderId="201" xfId="0" applyNumberFormat="1" applyFont="1" applyBorder="1" applyAlignment="1">
      <alignment horizontal="right" indent="1"/>
    </xf>
    <xf numFmtId="10" fontId="34" fillId="0" borderId="202" xfId="0" applyNumberFormat="1" applyFont="1" applyBorder="1" applyAlignment="1">
      <alignment horizontal="right" indent="1"/>
    </xf>
    <xf numFmtId="4" fontId="34" fillId="0" borderId="203" xfId="0" applyNumberFormat="1" applyFont="1" applyBorder="1" applyAlignment="1">
      <alignment horizontal="right" vertical="center" indent="1"/>
    </xf>
    <xf numFmtId="10" fontId="34" fillId="0" borderId="201" xfId="0" applyNumberFormat="1" applyFont="1" applyBorder="1" applyAlignment="1">
      <alignment horizontal="right" vertical="center" indent="1"/>
    </xf>
    <xf numFmtId="199" fontId="34" fillId="0" borderId="185" xfId="0" applyNumberFormat="1" applyFont="1" applyBorder="1" applyAlignment="1">
      <alignment horizontal="right" indent="1"/>
    </xf>
    <xf numFmtId="10" fontId="34" fillId="0" borderId="207" xfId="0" applyNumberFormat="1" applyFont="1" applyBorder="1" applyAlignment="1">
      <alignment horizontal="right" indent="1"/>
    </xf>
    <xf numFmtId="4" fontId="34" fillId="0" borderId="208" xfId="0" applyNumberFormat="1" applyFont="1" applyBorder="1" applyAlignment="1">
      <alignment horizontal="right" vertical="center" indent="1"/>
    </xf>
    <xf numFmtId="10" fontId="34" fillId="0" borderId="185" xfId="0" applyNumberFormat="1" applyFont="1" applyBorder="1" applyAlignment="1">
      <alignment horizontal="right" vertical="center" indent="1"/>
    </xf>
    <xf numFmtId="10" fontId="34" fillId="0" borderId="183" xfId="0" applyNumberFormat="1" applyFont="1" applyBorder="1" applyAlignment="1">
      <alignment horizontal="right" indent="1"/>
    </xf>
    <xf numFmtId="0" fontId="70" fillId="38" borderId="188" xfId="0" applyFont="1" applyFill="1" applyBorder="1" applyAlignment="1">
      <alignment horizontal="center" vertical="center"/>
    </xf>
    <xf numFmtId="0" fontId="70" fillId="38" borderId="150" xfId="0" applyFont="1" applyFill="1" applyBorder="1" applyAlignment="1">
      <alignment horizontal="center" vertical="center"/>
    </xf>
    <xf numFmtId="0" fontId="70" fillId="38" borderId="189" xfId="0" applyFont="1" applyFill="1" applyBorder="1" applyAlignment="1">
      <alignment horizontal="center" vertical="center"/>
    </xf>
    <xf numFmtId="0" fontId="70" fillId="38" borderId="190" xfId="0" applyFont="1" applyFill="1" applyBorder="1" applyAlignment="1">
      <alignment horizontal="center" vertical="center"/>
    </xf>
    <xf numFmtId="0" fontId="70" fillId="38" borderId="8" xfId="0" applyFont="1" applyFill="1" applyBorder="1" applyAlignment="1">
      <alignment horizontal="center" vertical="center"/>
    </xf>
    <xf numFmtId="0" fontId="70" fillId="38" borderId="191" xfId="0" applyFont="1" applyFill="1" applyBorder="1" applyAlignment="1">
      <alignment horizontal="center" vertical="center"/>
    </xf>
    <xf numFmtId="0" fontId="70" fillId="38" borderId="192" xfId="0" applyFont="1" applyFill="1" applyBorder="1" applyAlignment="1">
      <alignment horizontal="center" vertical="center"/>
    </xf>
    <xf numFmtId="0" fontId="70" fillId="38" borderId="193" xfId="0" applyFont="1" applyFill="1" applyBorder="1" applyAlignment="1">
      <alignment horizontal="center" vertical="center"/>
    </xf>
    <xf numFmtId="0" fontId="70" fillId="38" borderId="99" xfId="0" applyFont="1" applyFill="1" applyBorder="1" applyAlignment="1">
      <alignment horizontal="center" vertical="center"/>
    </xf>
    <xf numFmtId="0" fontId="70" fillId="38" borderId="66" xfId="0" applyFont="1" applyFill="1" applyBorder="1" applyAlignment="1">
      <alignment horizontal="center" vertical="center"/>
    </xf>
    <xf numFmtId="0" fontId="70" fillId="38" borderId="72" xfId="0" applyFont="1" applyFill="1" applyBorder="1" applyAlignment="1">
      <alignment horizontal="center" vertical="center"/>
    </xf>
    <xf numFmtId="49" fontId="34" fillId="37" borderId="199" xfId="11" applyNumberFormat="1" applyFont="1" applyFill="1" applyBorder="1" applyAlignment="1">
      <alignment horizontal="right"/>
    </xf>
    <xf numFmtId="0" fontId="34" fillId="37" borderId="204" xfId="0" applyFont="1" applyFill="1" applyBorder="1"/>
    <xf numFmtId="0" fontId="34" fillId="37" borderId="179" xfId="0" applyFont="1" applyFill="1" applyBorder="1" applyAlignment="1">
      <alignment horizontal="center"/>
    </xf>
    <xf numFmtId="4" fontId="34" fillId="37" borderId="200" xfId="0" applyNumberFormat="1" applyFont="1" applyFill="1" applyBorder="1" applyAlignment="1">
      <alignment horizontal="right" indent="1"/>
    </xf>
    <xf numFmtId="4" fontId="34" fillId="37" borderId="201" xfId="0" applyNumberFormat="1" applyFont="1" applyFill="1" applyBorder="1" applyAlignment="1">
      <alignment horizontal="right" vertical="center" indent="1"/>
    </xf>
    <xf numFmtId="4" fontId="34" fillId="37" borderId="202" xfId="0" applyNumberFormat="1" applyFont="1" applyFill="1" applyBorder="1" applyAlignment="1">
      <alignment horizontal="right" vertical="center" indent="1"/>
    </xf>
    <xf numFmtId="199" fontId="34" fillId="37" borderId="203" xfId="0" applyNumberFormat="1" applyFont="1" applyFill="1" applyBorder="1" applyAlignment="1">
      <alignment horizontal="right" indent="1"/>
    </xf>
    <xf numFmtId="199" fontId="34" fillId="37" borderId="202" xfId="0" applyNumberFormat="1" applyFont="1" applyFill="1" applyBorder="1" applyAlignment="1">
      <alignment horizontal="right" indent="1"/>
    </xf>
    <xf numFmtId="199" fontId="34" fillId="37" borderId="154" xfId="0" applyNumberFormat="1" applyFont="1" applyFill="1" applyBorder="1" applyAlignment="1">
      <alignment horizontal="right" indent="1"/>
    </xf>
    <xf numFmtId="199" fontId="34" fillId="37" borderId="201" xfId="0" applyNumberFormat="1" applyFont="1" applyFill="1" applyBorder="1" applyAlignment="1">
      <alignment horizontal="right" indent="1"/>
    </xf>
    <xf numFmtId="10" fontId="34" fillId="37" borderId="202" xfId="0" applyNumberFormat="1" applyFont="1" applyFill="1" applyBorder="1" applyAlignment="1">
      <alignment horizontal="right" indent="1"/>
    </xf>
    <xf numFmtId="4" fontId="34" fillId="37" borderId="203" xfId="0" applyNumberFormat="1" applyFont="1" applyFill="1" applyBorder="1" applyAlignment="1">
      <alignment horizontal="right" vertical="center" indent="1"/>
    </xf>
    <xf numFmtId="10" fontId="34" fillId="37" borderId="201" xfId="0" applyNumberFormat="1" applyFont="1" applyFill="1" applyBorder="1" applyAlignment="1">
      <alignment horizontal="right" vertical="center" indent="1"/>
    </xf>
    <xf numFmtId="4" fontId="34" fillId="37" borderId="185" xfId="0" applyNumberFormat="1" applyFont="1" applyFill="1" applyBorder="1" applyAlignment="1">
      <alignment horizontal="right" vertical="center" indent="1"/>
    </xf>
    <xf numFmtId="4" fontId="51" fillId="3" borderId="80" xfId="0" applyNumberFormat="1" applyFont="1" applyFill="1" applyBorder="1" applyAlignment="1">
      <alignment horizontal="center"/>
    </xf>
    <xf numFmtId="4" fontId="51" fillId="3" borderId="81" xfId="0" applyNumberFormat="1" applyFont="1" applyFill="1" applyBorder="1" applyAlignment="1">
      <alignment horizontal="center"/>
    </xf>
    <xf numFmtId="4" fontId="51" fillId="3" borderId="184" xfId="0" applyNumberFormat="1" applyFont="1" applyFill="1" applyBorder="1" applyAlignment="1">
      <alignment horizontal="center"/>
    </xf>
    <xf numFmtId="4" fontId="52" fillId="3" borderId="276" xfId="0" applyNumberFormat="1" applyFont="1" applyFill="1" applyBorder="1" applyAlignment="1">
      <alignment horizontal="center"/>
    </xf>
    <xf numFmtId="4" fontId="52" fillId="3" borderId="277" xfId="0" applyNumberFormat="1" applyFont="1" applyFill="1" applyBorder="1" applyAlignment="1">
      <alignment horizontal="center"/>
    </xf>
    <xf numFmtId="4" fontId="49" fillId="3" borderId="278" xfId="0" applyNumberFormat="1" applyFont="1" applyFill="1" applyBorder="1" applyAlignment="1">
      <alignment horizontal="center"/>
    </xf>
    <xf numFmtId="4" fontId="49" fillId="3" borderId="279" xfId="0" applyNumberFormat="1" applyFont="1" applyFill="1" applyBorder="1" applyAlignment="1">
      <alignment horizontal="center"/>
    </xf>
    <xf numFmtId="0" fontId="6" fillId="2" borderId="72" xfId="0" applyFont="1" applyFill="1" applyBorder="1"/>
    <xf numFmtId="0" fontId="6" fillId="2" borderId="72" xfId="0" applyFont="1" applyFill="1" applyBorder="1" applyAlignment="1">
      <alignment horizontal="left"/>
    </xf>
    <xf numFmtId="170" fontId="6" fillId="3" borderId="72" xfId="0" applyNumberFormat="1" applyFont="1" applyFill="1" applyBorder="1" applyAlignment="1">
      <alignment horizontal="left"/>
    </xf>
    <xf numFmtId="0" fontId="7" fillId="2" borderId="72" xfId="0" applyFont="1" applyFill="1" applyBorder="1" applyAlignment="1">
      <alignment horizontal="left"/>
    </xf>
    <xf numFmtId="0" fontId="31" fillId="3" borderId="72" xfId="0" applyFont="1" applyFill="1" applyBorder="1" applyAlignment="1">
      <alignment horizontal="center"/>
    </xf>
    <xf numFmtId="0" fontId="31" fillId="3" borderId="72" xfId="0" applyFont="1" applyFill="1" applyBorder="1" applyAlignment="1">
      <alignment horizontal="center" vertical="center"/>
    </xf>
    <xf numFmtId="15" fontId="31" fillId="3" borderId="72" xfId="0" applyNumberFormat="1" applyFont="1" applyFill="1" applyBorder="1" applyAlignment="1">
      <alignment horizontal="center" vertical="center"/>
    </xf>
    <xf numFmtId="15" fontId="31" fillId="3" borderId="72" xfId="0" applyNumberFormat="1" applyFont="1" applyFill="1" applyBorder="1" applyAlignment="1">
      <alignment horizontal="center"/>
    </xf>
    <xf numFmtId="0" fontId="11" fillId="0" borderId="0" xfId="0" applyFont="1" applyAlignment="1" applyProtection="1">
      <alignment horizontal="left" vertical="center" wrapText="1"/>
      <protection locked="0"/>
    </xf>
    <xf numFmtId="0" fontId="34" fillId="6" borderId="0" xfId="0" applyFont="1" applyFill="1" applyAlignment="1">
      <alignment horizontal="left"/>
    </xf>
    <xf numFmtId="173" fontId="9" fillId="3" borderId="21" xfId="0" applyNumberFormat="1" applyFont="1" applyFill="1" applyBorder="1" applyAlignment="1">
      <alignment horizontal="center"/>
    </xf>
    <xf numFmtId="173" fontId="9" fillId="3" borderId="22" xfId="0" applyNumberFormat="1" applyFont="1" applyFill="1" applyBorder="1" applyAlignment="1">
      <alignment horizontal="center"/>
    </xf>
    <xf numFmtId="0" fontId="4" fillId="10" borderId="74" xfId="0" applyFont="1" applyFill="1" applyBorder="1" applyAlignment="1">
      <alignment horizontal="center"/>
    </xf>
    <xf numFmtId="0" fontId="4" fillId="10" borderId="89" xfId="0" applyFont="1" applyFill="1" applyBorder="1" applyAlignment="1">
      <alignment horizontal="center"/>
    </xf>
    <xf numFmtId="0" fontId="5" fillId="5" borderId="94" xfId="0" applyFont="1" applyFill="1" applyBorder="1"/>
    <xf numFmtId="0" fontId="22" fillId="5" borderId="131" xfId="0" applyFont="1" applyFill="1" applyBorder="1" applyAlignment="1">
      <alignment horizontal="center"/>
    </xf>
    <xf numFmtId="4" fontId="3" fillId="5" borderId="95" xfId="0" applyNumberFormat="1" applyFont="1" applyFill="1" applyBorder="1"/>
    <xf numFmtId="0" fontId="17" fillId="5" borderId="131" xfId="0" applyFont="1" applyFill="1" applyBorder="1"/>
    <xf numFmtId="4" fontId="5" fillId="5" borderId="95" xfId="0" applyNumberFormat="1" applyFont="1" applyFill="1" applyBorder="1"/>
    <xf numFmtId="0" fontId="3" fillId="5" borderId="5" xfId="0" applyFont="1" applyFill="1" applyBorder="1" applyAlignment="1">
      <alignment horizontal="left"/>
    </xf>
    <xf numFmtId="0" fontId="3" fillId="5" borderId="6" xfId="0" applyFont="1" applyFill="1" applyBorder="1" applyAlignment="1">
      <alignment horizontal="left"/>
    </xf>
    <xf numFmtId="172" fontId="3" fillId="5" borderId="6" xfId="0" applyNumberFormat="1" applyFont="1" applyFill="1" applyBorder="1" applyAlignment="1">
      <alignment horizontal="left"/>
    </xf>
    <xf numFmtId="172" fontId="19" fillId="5" borderId="6" xfId="0" applyNumberFormat="1" applyFont="1" applyFill="1" applyBorder="1" applyAlignment="1">
      <alignment horizontal="center"/>
    </xf>
    <xf numFmtId="0" fontId="19" fillId="5" borderId="6" xfId="0" applyFont="1" applyFill="1" applyBorder="1" applyAlignment="1">
      <alignment horizontal="center"/>
    </xf>
    <xf numFmtId="173" fontId="19" fillId="5" borderId="79" xfId="0" applyNumberFormat="1" applyFont="1" applyFill="1" applyBorder="1" applyAlignment="1">
      <alignment horizontal="center"/>
    </xf>
    <xf numFmtId="4" fontId="5" fillId="5" borderId="78" xfId="0" applyNumberFormat="1" applyFont="1" applyFill="1" applyBorder="1"/>
    <xf numFmtId="0" fontId="5" fillId="5" borderId="65" xfId="0" applyFont="1" applyFill="1" applyBorder="1"/>
    <xf numFmtId="4" fontId="127" fillId="5" borderId="95" xfId="0" applyNumberFormat="1" applyFont="1" applyFill="1" applyBorder="1" applyAlignment="1">
      <alignment horizontal="center"/>
    </xf>
    <xf numFmtId="0" fontId="128" fillId="0" borderId="0" xfId="0" applyFont="1" applyAlignment="1">
      <alignment vertical="center" wrapText="1"/>
    </xf>
    <xf numFmtId="0" fontId="128" fillId="0" borderId="3" xfId="0" applyFont="1" applyBorder="1" applyAlignment="1">
      <alignment vertical="center" wrapText="1"/>
    </xf>
    <xf numFmtId="0" fontId="136" fillId="42" borderId="41" xfId="0" applyFont="1" applyFill="1" applyBorder="1" applyAlignment="1">
      <alignment horizontal="center" vertical="center" wrapText="1"/>
    </xf>
    <xf numFmtId="0" fontId="136" fillId="41" borderId="56" xfId="0" applyFont="1" applyFill="1" applyBorder="1" applyAlignment="1">
      <alignment horizontal="center" vertical="center" wrapText="1"/>
    </xf>
    <xf numFmtId="0" fontId="136" fillId="42" borderId="65" xfId="0" applyFont="1" applyFill="1" applyBorder="1" applyAlignment="1">
      <alignment horizontal="center" vertical="center" wrapText="1"/>
    </xf>
    <xf numFmtId="0" fontId="34" fillId="0" borderId="91" xfId="0" applyFont="1" applyBorder="1" applyAlignment="1">
      <alignment horizontal="center" vertical="center" wrapText="1"/>
    </xf>
    <xf numFmtId="14" fontId="29" fillId="0" borderId="93" xfId="0" applyNumberFormat="1" applyFont="1" applyBorder="1" applyAlignment="1">
      <alignment horizontal="center" vertical="center" wrapText="1"/>
    </xf>
    <xf numFmtId="0" fontId="29" fillId="0" borderId="93" xfId="0" applyFont="1" applyBorder="1" applyAlignment="1">
      <alignment horizontal="center" vertical="center" wrapText="1"/>
    </xf>
    <xf numFmtId="0" fontId="29" fillId="0" borderId="94" xfId="0" applyFont="1" applyBorder="1" applyAlignment="1">
      <alignment horizontal="center" vertical="center" wrapText="1"/>
    </xf>
    <xf numFmtId="0" fontId="34" fillId="0" borderId="77" xfId="0" applyFont="1" applyBorder="1" applyAlignment="1">
      <alignment horizontal="center" vertical="center" wrapText="1"/>
    </xf>
    <xf numFmtId="0" fontId="29" fillId="0" borderId="79" xfId="0" applyFont="1" applyBorder="1" applyAlignment="1">
      <alignment horizontal="center" vertical="center" wrapText="1"/>
    </xf>
    <xf numFmtId="0" fontId="29" fillId="0" borderId="78" xfId="0" applyFont="1" applyBorder="1" applyAlignment="1">
      <alignment horizontal="center" vertical="center" wrapText="1"/>
    </xf>
    <xf numFmtId="14" fontId="29" fillId="0" borderId="79" xfId="0" applyNumberFormat="1" applyFont="1" applyBorder="1" applyAlignment="1">
      <alignment horizontal="center" vertical="center" wrapText="1"/>
    </xf>
    <xf numFmtId="0" fontId="128" fillId="0" borderId="0" xfId="0" applyFont="1" applyAlignment="1">
      <alignment vertical="center"/>
    </xf>
    <xf numFmtId="0" fontId="142" fillId="43" borderId="83" xfId="0" applyFont="1" applyFill="1" applyBorder="1" applyAlignment="1">
      <alignment horizontal="center" vertical="center" wrapText="1"/>
    </xf>
    <xf numFmtId="0" fontId="142" fillId="43" borderId="4" xfId="0" applyFont="1" applyFill="1" applyBorder="1" applyAlignment="1">
      <alignment horizontal="center" vertical="center" wrapText="1"/>
    </xf>
    <xf numFmtId="0" fontId="142" fillId="43" borderId="84" xfId="0" applyFont="1" applyFill="1" applyBorder="1" applyAlignment="1">
      <alignment horizontal="center" vertical="center" wrapText="1"/>
    </xf>
    <xf numFmtId="0" fontId="142" fillId="43" borderId="7" xfId="0" applyFont="1" applyFill="1" applyBorder="1" applyAlignment="1">
      <alignment horizontal="center" vertical="center" wrapText="1"/>
    </xf>
    <xf numFmtId="0" fontId="146" fillId="0" borderId="72" xfId="0" applyFont="1" applyBorder="1" applyAlignment="1">
      <alignment horizontal="justify" vertical="center" wrapText="1"/>
    </xf>
    <xf numFmtId="0" fontId="143" fillId="0" borderId="72" xfId="0" applyFont="1" applyBorder="1" applyAlignment="1">
      <alignment horizontal="justify" vertical="center" wrapText="1"/>
    </xf>
    <xf numFmtId="0" fontId="144" fillId="0" borderId="72" xfId="0" applyFont="1" applyBorder="1" applyAlignment="1">
      <alignment horizontal="center" vertical="center" wrapText="1"/>
    </xf>
    <xf numFmtId="0" fontId="128" fillId="0" borderId="72" xfId="0" applyFont="1" applyBorder="1" applyAlignment="1">
      <alignment vertical="center" wrapText="1"/>
    </xf>
    <xf numFmtId="0" fontId="128" fillId="0" borderId="95" xfId="0" applyFont="1" applyBorder="1" applyAlignment="1">
      <alignment vertical="center" wrapText="1"/>
    </xf>
    <xf numFmtId="0" fontId="144" fillId="0" borderId="72" xfId="0" applyFont="1" applyBorder="1" applyAlignment="1">
      <alignment horizontal="justify" vertical="center" wrapText="1"/>
    </xf>
    <xf numFmtId="0" fontId="145" fillId="0" borderId="72" xfId="0" applyFont="1" applyBorder="1" applyAlignment="1">
      <alignment horizontal="justify" vertical="center" wrapText="1"/>
    </xf>
    <xf numFmtId="0" fontId="146" fillId="0" borderId="131" xfId="0" applyFont="1" applyBorder="1" applyAlignment="1">
      <alignment horizontal="center" vertical="center" wrapText="1"/>
    </xf>
    <xf numFmtId="0" fontId="144" fillId="0" borderId="131" xfId="0" applyFont="1" applyBorder="1" applyAlignment="1">
      <alignment horizontal="center" vertical="center" wrapText="1"/>
    </xf>
    <xf numFmtId="0" fontId="34" fillId="0" borderId="146" xfId="0" applyFont="1" applyBorder="1" applyAlignment="1">
      <alignment horizontal="center" vertical="center" wrapText="1"/>
    </xf>
    <xf numFmtId="0" fontId="29" fillId="0" borderId="147" xfId="0" applyFont="1" applyBorder="1" applyAlignment="1">
      <alignment horizontal="center" vertical="center" wrapText="1"/>
    </xf>
    <xf numFmtId="0" fontId="117" fillId="0" borderId="147" xfId="0" applyFont="1" applyBorder="1" applyAlignment="1">
      <alignment horizontal="center" vertical="center" wrapText="1"/>
    </xf>
    <xf numFmtId="0" fontId="34" fillId="0" borderId="155" xfId="0" applyFont="1" applyBorder="1" applyAlignment="1">
      <alignment horizontal="center" vertical="center" wrapText="1"/>
    </xf>
    <xf numFmtId="0" fontId="29" fillId="0" borderId="283" xfId="0" applyFont="1" applyBorder="1" applyAlignment="1">
      <alignment horizontal="center" vertical="center" wrapText="1"/>
    </xf>
    <xf numFmtId="0" fontId="138" fillId="0" borderId="148" xfId="0" applyFont="1" applyBorder="1" applyAlignment="1">
      <alignment horizontal="center" vertical="center" wrapText="1"/>
    </xf>
    <xf numFmtId="14" fontId="29" fillId="0" borderId="147" xfId="0" applyNumberFormat="1" applyFont="1" applyBorder="1" applyAlignment="1">
      <alignment horizontal="center" vertical="center" wrapText="1"/>
    </xf>
    <xf numFmtId="0" fontId="139" fillId="0" borderId="147" xfId="0" applyFont="1" applyBorder="1" applyAlignment="1">
      <alignment horizontal="center" vertical="center" wrapText="1"/>
    </xf>
    <xf numFmtId="0" fontId="29" fillId="0" borderId="148" xfId="0" applyFont="1" applyBorder="1" applyAlignment="1">
      <alignment horizontal="center" vertical="center" wrapText="1"/>
    </xf>
    <xf numFmtId="14" fontId="29" fillId="0" borderId="283" xfId="0" applyNumberFormat="1" applyFont="1" applyBorder="1" applyAlignment="1">
      <alignment horizontal="center" vertical="center" wrapText="1"/>
    </xf>
    <xf numFmtId="0" fontId="139" fillId="0" borderId="283" xfId="0" applyFont="1" applyBorder="1" applyAlignment="1">
      <alignment horizontal="center" vertical="center" wrapText="1"/>
    </xf>
    <xf numFmtId="0" fontId="29" fillId="0" borderId="71" xfId="0" applyFont="1" applyBorder="1" applyAlignment="1">
      <alignment horizontal="center" vertical="center" wrapText="1"/>
    </xf>
    <xf numFmtId="0" fontId="129" fillId="41" borderId="65" xfId="0" applyFont="1" applyFill="1" applyBorder="1" applyAlignment="1">
      <alignment horizontal="center" vertical="center" wrapText="1"/>
    </xf>
    <xf numFmtId="0" fontId="149" fillId="0" borderId="7" xfId="0" applyFont="1" applyBorder="1" applyAlignment="1">
      <alignment horizontal="center" vertical="center"/>
    </xf>
    <xf numFmtId="0" fontId="149" fillId="0" borderId="7" xfId="0" applyFont="1" applyBorder="1" applyAlignment="1">
      <alignment horizontal="center" vertical="center" wrapText="1"/>
    </xf>
    <xf numFmtId="0" fontId="128" fillId="0" borderId="7" xfId="0" applyFont="1" applyBorder="1" applyAlignment="1">
      <alignment vertical="center" wrapText="1"/>
    </xf>
    <xf numFmtId="0" fontId="130" fillId="0" borderId="84" xfId="0" applyFont="1" applyBorder="1" applyAlignment="1">
      <alignment horizontal="center" vertical="center"/>
    </xf>
    <xf numFmtId="0" fontId="130" fillId="0" borderId="7" xfId="0" applyFont="1" applyBorder="1" applyAlignment="1">
      <alignment vertical="center"/>
    </xf>
    <xf numFmtId="0" fontId="133" fillId="0" borderId="84" xfId="0" applyFont="1" applyBorder="1" applyAlignment="1">
      <alignment horizontal="center" vertical="center"/>
    </xf>
    <xf numFmtId="0" fontId="134" fillId="0" borderId="7" xfId="0" applyFont="1" applyBorder="1" applyAlignment="1">
      <alignment horizontal="center" vertical="center"/>
    </xf>
    <xf numFmtId="0" fontId="134" fillId="0" borderId="7" xfId="0" applyFont="1" applyBorder="1" applyAlignment="1">
      <alignment horizontal="center" vertical="center" wrapText="1"/>
    </xf>
    <xf numFmtId="0" fontId="4" fillId="10" borderId="22" xfId="0" applyFont="1" applyFill="1" applyBorder="1" applyAlignment="1">
      <alignment horizontal="center"/>
    </xf>
    <xf numFmtId="203" fontId="5" fillId="3" borderId="0" xfId="0" applyNumberFormat="1" applyFont="1" applyFill="1"/>
    <xf numFmtId="0" fontId="129" fillId="41" borderId="56" xfId="0" applyFont="1" applyFill="1" applyBorder="1" applyAlignment="1">
      <alignment horizontal="center" vertical="center" wrapText="1"/>
    </xf>
    <xf numFmtId="0" fontId="34" fillId="0" borderId="228" xfId="0" applyFont="1" applyBorder="1" applyAlignment="1">
      <alignment horizontal="center" vertical="center" wrapText="1"/>
    </xf>
    <xf numFmtId="14" fontId="29" fillId="0" borderId="266" xfId="0" applyNumberFormat="1" applyFont="1" applyBorder="1" applyAlignment="1">
      <alignment horizontal="center" vertical="center" wrapText="1"/>
    </xf>
    <xf numFmtId="0" fontId="29" fillId="0" borderId="266" xfId="0" applyFont="1" applyBorder="1" applyAlignment="1">
      <alignment horizontal="center" vertical="center" wrapText="1"/>
    </xf>
    <xf numFmtId="0" fontId="139" fillId="0" borderId="266" xfId="0" applyFont="1" applyBorder="1" applyAlignment="1">
      <alignment horizontal="center" vertical="center" wrapText="1"/>
    </xf>
    <xf numFmtId="0" fontId="29" fillId="0" borderId="275" xfId="0" applyFont="1" applyBorder="1" applyAlignment="1">
      <alignment horizontal="center" vertical="center" wrapText="1"/>
    </xf>
    <xf numFmtId="0" fontId="150" fillId="0" borderId="0" xfId="0" applyFont="1" applyAlignment="1">
      <alignment vertical="center"/>
    </xf>
    <xf numFmtId="0" fontId="151" fillId="0" borderId="0" xfId="0" applyFont="1" applyAlignment="1">
      <alignment horizontal="justify" vertical="center"/>
    </xf>
    <xf numFmtId="0" fontId="152" fillId="0" borderId="0" xfId="0" applyFont="1" applyAlignment="1">
      <alignment horizontal="justify" vertical="center"/>
    </xf>
    <xf numFmtId="0" fontId="2" fillId="0" borderId="0" xfId="0" applyFont="1" applyAlignment="1">
      <alignment horizontal="justify" vertical="center"/>
    </xf>
    <xf numFmtId="0" fontId="153" fillId="0" borderId="0" xfId="0" applyFont="1" applyAlignment="1">
      <alignment horizontal="justify" vertical="center"/>
    </xf>
    <xf numFmtId="2" fontId="2" fillId="0" borderId="73" xfId="0" applyNumberFormat="1" applyFont="1" applyBorder="1" applyAlignment="1">
      <alignment horizontal="center"/>
    </xf>
    <xf numFmtId="2" fontId="2" fillId="0" borderId="98" xfId="0" applyNumberFormat="1" applyFont="1" applyBorder="1" applyAlignment="1">
      <alignment horizontal="center"/>
    </xf>
    <xf numFmtId="168" fontId="0" fillId="6" borderId="0" xfId="0" applyNumberFormat="1" applyFill="1"/>
    <xf numFmtId="4" fontId="3" fillId="6" borderId="290" xfId="0" applyNumberFormat="1" applyFont="1" applyFill="1" applyBorder="1" applyAlignment="1">
      <alignment horizontal="center"/>
    </xf>
    <xf numFmtId="0" fontId="43" fillId="6" borderId="0" xfId="0" applyFont="1" applyFill="1" applyAlignment="1">
      <alignment horizontal="justify" vertical="justify"/>
    </xf>
    <xf numFmtId="0" fontId="76" fillId="6" borderId="0" xfId="0" applyFont="1" applyFill="1" applyAlignment="1">
      <alignment horizontal="center"/>
    </xf>
    <xf numFmtId="0" fontId="96" fillId="6" borderId="227" xfId="0" applyFont="1" applyFill="1" applyBorder="1" applyAlignment="1">
      <alignment horizontal="center" vertical="center"/>
    </xf>
    <xf numFmtId="169" fontId="96" fillId="6" borderId="178" xfId="0" applyNumberFormat="1" applyFont="1" applyFill="1" applyBorder="1" applyAlignment="1">
      <alignment horizontal="center" vertical="center"/>
    </xf>
    <xf numFmtId="4" fontId="34" fillId="6" borderId="178" xfId="0" applyNumberFormat="1" applyFont="1" applyFill="1" applyBorder="1" applyAlignment="1">
      <alignment horizontal="center" vertical="center"/>
    </xf>
    <xf numFmtId="0" fontId="34" fillId="6" borderId="178" xfId="0" applyFont="1" applyFill="1" applyBorder="1" applyAlignment="1">
      <alignment horizontal="center" vertical="center"/>
    </xf>
    <xf numFmtId="14" fontId="2" fillId="6" borderId="221" xfId="0" applyNumberFormat="1" applyFont="1" applyFill="1" applyBorder="1" applyAlignment="1">
      <alignment horizontal="center" vertical="center"/>
    </xf>
    <xf numFmtId="172" fontId="2" fillId="6" borderId="221" xfId="0" applyNumberFormat="1" applyFont="1" applyFill="1" applyBorder="1" applyAlignment="1">
      <alignment horizontal="center" vertical="center"/>
    </xf>
    <xf numFmtId="172" fontId="31" fillId="6" borderId="221" xfId="0" applyNumberFormat="1" applyFont="1" applyFill="1" applyBorder="1" applyAlignment="1">
      <alignment horizontal="center" vertical="center"/>
    </xf>
    <xf numFmtId="0" fontId="34" fillId="6" borderId="157" xfId="0" applyFont="1" applyFill="1" applyBorder="1" applyAlignment="1">
      <alignment horizontal="center" vertical="center"/>
    </xf>
    <xf numFmtId="0" fontId="96" fillId="6" borderId="155" xfId="0" applyFont="1" applyFill="1" applyBorder="1" applyAlignment="1">
      <alignment horizontal="center" vertical="center"/>
    </xf>
    <xf numFmtId="17" fontId="96" fillId="6" borderId="221" xfId="0" applyNumberFormat="1" applyFont="1" applyFill="1" applyBorder="1" applyAlignment="1">
      <alignment horizontal="center" vertical="center"/>
    </xf>
    <xf numFmtId="4" fontId="2" fillId="6" borderId="221" xfId="0" applyNumberFormat="1" applyFont="1" applyFill="1" applyBorder="1" applyAlignment="1">
      <alignment horizontal="center" vertical="center"/>
    </xf>
    <xf numFmtId="172" fontId="2" fillId="6" borderId="291" xfId="0" applyNumberFormat="1" applyFont="1" applyFill="1" applyBorder="1" applyAlignment="1">
      <alignment horizontal="center" vertical="center"/>
    </xf>
    <xf numFmtId="172" fontId="2" fillId="6" borderId="221" xfId="0" applyNumberFormat="1" applyFont="1" applyFill="1" applyBorder="1" applyAlignment="1">
      <alignment vertical="center"/>
    </xf>
    <xf numFmtId="172" fontId="31" fillId="6" borderId="72" xfId="0" applyNumberFormat="1" applyFont="1" applyFill="1" applyBorder="1" applyAlignment="1">
      <alignment vertical="center"/>
    </xf>
    <xf numFmtId="0" fontId="70" fillId="9" borderId="39" xfId="0" applyFont="1" applyFill="1" applyBorder="1" applyAlignment="1">
      <alignment horizontal="center" vertical="center" wrapText="1"/>
    </xf>
    <xf numFmtId="0" fontId="70" fillId="9" borderId="14" xfId="0" applyFont="1" applyFill="1" applyBorder="1" applyAlignment="1">
      <alignment horizontal="center" vertical="center" wrapText="1"/>
    </xf>
    <xf numFmtId="0" fontId="70" fillId="9" borderId="19" xfId="0" applyFont="1" applyFill="1" applyBorder="1" applyAlignment="1">
      <alignment horizontal="center" vertical="center" wrapText="1"/>
    </xf>
    <xf numFmtId="17" fontId="96" fillId="6" borderId="291" xfId="0" applyNumberFormat="1" applyFont="1" applyFill="1" applyBorder="1" applyAlignment="1">
      <alignment horizontal="center" vertical="center"/>
    </xf>
    <xf numFmtId="4" fontId="2" fillId="6" borderId="291" xfId="0" applyNumberFormat="1" applyFont="1" applyFill="1" applyBorder="1" applyAlignment="1">
      <alignment horizontal="center" vertical="center"/>
    </xf>
    <xf numFmtId="14" fontId="2" fillId="6" borderId="291" xfId="0" applyNumberFormat="1" applyFont="1" applyFill="1" applyBorder="1" applyAlignment="1">
      <alignment horizontal="center" vertical="center"/>
    </xf>
    <xf numFmtId="172" fontId="2" fillId="6" borderId="291" xfId="0" applyNumberFormat="1" applyFont="1" applyFill="1" applyBorder="1" applyAlignment="1">
      <alignment vertical="center"/>
    </xf>
    <xf numFmtId="0" fontId="96" fillId="6" borderId="296" xfId="0" applyFont="1" applyFill="1" applyBorder="1" applyAlignment="1">
      <alignment horizontal="center" vertical="center"/>
    </xf>
    <xf numFmtId="17" fontId="96" fillId="6" borderId="297" xfId="0" applyNumberFormat="1" applyFont="1" applyFill="1" applyBorder="1" applyAlignment="1">
      <alignment horizontal="center" vertical="center"/>
    </xf>
    <xf numFmtId="4" fontId="2" fillId="6" borderId="297" xfId="0" applyNumberFormat="1" applyFont="1" applyFill="1" applyBorder="1" applyAlignment="1">
      <alignment horizontal="center" vertical="center"/>
    </xf>
    <xf numFmtId="14" fontId="2" fillId="6" borderId="297" xfId="0" applyNumberFormat="1" applyFont="1" applyFill="1" applyBorder="1" applyAlignment="1">
      <alignment horizontal="center" vertical="center"/>
    </xf>
    <xf numFmtId="172" fontId="2" fillId="6" borderId="297" xfId="0" applyNumberFormat="1" applyFont="1" applyFill="1" applyBorder="1" applyAlignment="1">
      <alignment horizontal="center" vertical="center"/>
    </xf>
    <xf numFmtId="172" fontId="2" fillId="6" borderId="297" xfId="0" applyNumberFormat="1" applyFont="1" applyFill="1" applyBorder="1" applyAlignment="1">
      <alignment vertical="center"/>
    </xf>
    <xf numFmtId="0" fontId="34" fillId="34" borderId="186" xfId="0" applyFont="1" applyFill="1" applyBorder="1" applyAlignment="1">
      <alignment horizontal="right" indent="1"/>
    </xf>
    <xf numFmtId="10" fontId="3" fillId="6" borderId="100" xfId="0" applyNumberFormat="1" applyFont="1" applyFill="1" applyBorder="1" applyAlignment="1">
      <alignment horizontal="center"/>
    </xf>
    <xf numFmtId="0" fontId="34" fillId="0" borderId="301" xfId="0" applyFont="1" applyBorder="1" applyAlignment="1">
      <alignment horizontal="center" vertical="center" wrapText="1"/>
    </xf>
    <xf numFmtId="14" fontId="29" fillId="0" borderId="302" xfId="0" applyNumberFormat="1" applyFont="1" applyBorder="1" applyAlignment="1">
      <alignment horizontal="center" vertical="center" wrapText="1"/>
    </xf>
    <xf numFmtId="0" fontId="29" fillId="0" borderId="302" xfId="0" applyFont="1" applyBorder="1" applyAlignment="1">
      <alignment horizontal="center" vertical="center" wrapText="1"/>
    </xf>
    <xf numFmtId="0" fontId="29" fillId="0" borderId="303" xfId="0" applyFont="1" applyBorder="1" applyAlignment="1">
      <alignment horizontal="center" vertical="center" wrapText="1"/>
    </xf>
    <xf numFmtId="0" fontId="29" fillId="0" borderId="303" xfId="0" quotePrefix="1" applyFont="1" applyBorder="1" applyAlignment="1">
      <alignment horizontal="center" vertical="center" wrapText="1"/>
    </xf>
    <xf numFmtId="0" fontId="34" fillId="0" borderId="301" xfId="0" quotePrefix="1" applyFont="1" applyBorder="1" applyAlignment="1">
      <alignment horizontal="center" vertical="center" wrapText="1"/>
    </xf>
    <xf numFmtId="0" fontId="29" fillId="0" borderId="302" xfId="0" quotePrefix="1" applyFont="1" applyBorder="1" applyAlignment="1">
      <alignment horizontal="center" vertical="center" wrapText="1"/>
    </xf>
    <xf numFmtId="0" fontId="34" fillId="0" borderId="304" xfId="0" applyFont="1" applyBorder="1" applyAlignment="1">
      <alignment horizontal="center" vertical="center" wrapText="1"/>
    </xf>
    <xf numFmtId="14" fontId="29" fillId="0" borderId="305" xfId="0" applyNumberFormat="1" applyFont="1" applyBorder="1" applyAlignment="1">
      <alignment horizontal="center" vertical="center" wrapText="1"/>
    </xf>
    <xf numFmtId="0" fontId="29" fillId="0" borderId="305" xfId="0" applyFont="1" applyBorder="1" applyAlignment="1">
      <alignment horizontal="center" vertical="center" wrapText="1"/>
    </xf>
    <xf numFmtId="0" fontId="29" fillId="0" borderId="306" xfId="0" applyFont="1" applyBorder="1" applyAlignment="1">
      <alignment horizontal="center" vertical="center" wrapText="1"/>
    </xf>
    <xf numFmtId="0" fontId="136" fillId="41" borderId="307" xfId="0" applyFont="1" applyFill="1" applyBorder="1" applyAlignment="1">
      <alignment horizontal="center" vertical="center" wrapText="1"/>
    </xf>
    <xf numFmtId="0" fontId="136" fillId="42" borderId="308" xfId="0" applyFont="1" applyFill="1" applyBorder="1" applyAlignment="1">
      <alignment horizontal="center" vertical="center" wrapText="1"/>
    </xf>
    <xf numFmtId="0" fontId="136" fillId="42" borderId="309" xfId="0" applyFont="1" applyFill="1" applyBorder="1" applyAlignment="1">
      <alignment horizontal="center" vertical="center" wrapText="1"/>
    </xf>
    <xf numFmtId="0" fontId="9" fillId="5" borderId="230" xfId="0" applyFont="1" applyFill="1" applyBorder="1"/>
    <xf numFmtId="4" fontId="9" fillId="5" borderId="230" xfId="0" applyNumberFormat="1" applyFont="1" applyFill="1" applyBorder="1" applyAlignment="1">
      <alignment horizontal="center"/>
    </xf>
    <xf numFmtId="172" fontId="3" fillId="5" borderId="73" xfId="0" applyNumberFormat="1" applyFont="1" applyFill="1" applyBorder="1" applyAlignment="1">
      <alignment horizontal="center"/>
    </xf>
    <xf numFmtId="4" fontId="31" fillId="3" borderId="25" xfId="0" applyNumberFormat="1" applyFont="1" applyFill="1" applyBorder="1" applyAlignment="1">
      <alignment horizontal="center"/>
    </xf>
    <xf numFmtId="0" fontId="3" fillId="3" borderId="310" xfId="0" applyFont="1" applyFill="1" applyBorder="1"/>
    <xf numFmtId="0" fontId="3" fillId="3" borderId="311" xfId="0" applyFont="1" applyFill="1" applyBorder="1"/>
    <xf numFmtId="0" fontId="3" fillId="3" borderId="257" xfId="0" applyFont="1" applyFill="1" applyBorder="1"/>
    <xf numFmtId="4" fontId="3" fillId="3" borderId="257" xfId="0" applyNumberFormat="1" applyFont="1" applyFill="1" applyBorder="1"/>
    <xf numFmtId="0" fontId="3" fillId="3" borderId="19" xfId="0" applyFont="1" applyFill="1" applyBorder="1"/>
    <xf numFmtId="4" fontId="3" fillId="3" borderId="257" xfId="0" applyNumberFormat="1" applyFont="1" applyFill="1" applyBorder="1" applyAlignment="1">
      <alignment horizontal="right"/>
    </xf>
    <xf numFmtId="4" fontId="3" fillId="3" borderId="257" xfId="0" applyNumberFormat="1" applyFont="1" applyFill="1" applyBorder="1" applyAlignment="1">
      <alignment horizontal="center"/>
    </xf>
    <xf numFmtId="10" fontId="3" fillId="3" borderId="257" xfId="0" applyNumberFormat="1" applyFont="1" applyFill="1" applyBorder="1" applyAlignment="1">
      <alignment horizontal="center"/>
    </xf>
    <xf numFmtId="4" fontId="3" fillId="3" borderId="312" xfId="0" applyNumberFormat="1" applyFont="1" applyFill="1" applyBorder="1" applyAlignment="1">
      <alignment horizontal="center"/>
    </xf>
    <xf numFmtId="173" fontId="3" fillId="3" borderId="257" xfId="0" applyNumberFormat="1" applyFont="1" applyFill="1" applyBorder="1" applyAlignment="1">
      <alignment horizontal="center"/>
    </xf>
    <xf numFmtId="0" fontId="3" fillId="3" borderId="313" xfId="0" applyFont="1" applyFill="1" applyBorder="1"/>
    <xf numFmtId="10" fontId="14" fillId="3" borderId="312" xfId="0" applyNumberFormat="1" applyFont="1" applyFill="1" applyBorder="1" applyAlignment="1">
      <alignment horizontal="center"/>
    </xf>
    <xf numFmtId="0" fontId="6" fillId="3" borderId="0" xfId="0" applyFont="1" applyFill="1" applyAlignment="1">
      <alignment horizontal="left"/>
    </xf>
    <xf numFmtId="4" fontId="14" fillId="3" borderId="257" xfId="0" applyNumberFormat="1" applyFont="1" applyFill="1" applyBorder="1" applyAlignment="1">
      <alignment horizontal="center"/>
    </xf>
    <xf numFmtId="173" fontId="14" fillId="3" borderId="257" xfId="0" applyNumberFormat="1" applyFont="1" applyFill="1" applyBorder="1" applyAlignment="1">
      <alignment horizontal="center"/>
    </xf>
    <xf numFmtId="4" fontId="3" fillId="0" borderId="257" xfId="0" applyNumberFormat="1" applyFont="1" applyBorder="1" applyAlignment="1">
      <alignment horizontal="center"/>
    </xf>
    <xf numFmtId="4" fontId="27" fillId="3" borderId="257" xfId="0" applyNumberFormat="1" applyFont="1" applyFill="1" applyBorder="1" applyAlignment="1">
      <alignment horizontal="center"/>
    </xf>
    <xf numFmtId="173" fontId="9" fillId="3" borderId="257" xfId="0" applyNumberFormat="1" applyFont="1" applyFill="1" applyBorder="1" applyAlignment="1">
      <alignment horizontal="center"/>
    </xf>
    <xf numFmtId="173" fontId="3" fillId="3" borderId="0" xfId="0" applyNumberFormat="1" applyFont="1" applyFill="1" applyAlignment="1">
      <alignment horizontal="center"/>
    </xf>
    <xf numFmtId="0" fontId="34" fillId="0" borderId="131" xfId="0" applyFont="1" applyBorder="1" applyAlignment="1">
      <alignment horizontal="center" vertical="center" wrapText="1"/>
    </xf>
    <xf numFmtId="14" fontId="29" fillId="0" borderId="72" xfId="0" applyNumberFormat="1" applyFont="1" applyBorder="1" applyAlignment="1">
      <alignment horizontal="center" vertical="center" wrapText="1"/>
    </xf>
    <xf numFmtId="0" fontId="29" fillId="0" borderId="72" xfId="0" applyFont="1" applyBorder="1" applyAlignment="1">
      <alignment horizontal="center" vertical="center" wrapText="1"/>
    </xf>
    <xf numFmtId="0" fontId="29" fillId="0" borderId="95" xfId="0" applyFont="1" applyBorder="1" applyAlignment="1">
      <alignment horizontal="center" vertical="center" wrapText="1"/>
    </xf>
    <xf numFmtId="49" fontId="34" fillId="0" borderId="199" xfId="11" applyNumberFormat="1" applyFont="1" applyFill="1" applyBorder="1" applyAlignment="1">
      <alignment horizontal="right"/>
    </xf>
    <xf numFmtId="0" fontId="34" fillId="0" borderId="204" xfId="0" applyFont="1" applyFill="1" applyBorder="1"/>
    <xf numFmtId="0" fontId="34" fillId="0" borderId="179" xfId="0" applyFont="1" applyFill="1" applyBorder="1" applyAlignment="1">
      <alignment horizontal="center"/>
    </xf>
    <xf numFmtId="4" fontId="34" fillId="0" borderId="200" xfId="0" applyNumberFormat="1" applyFont="1" applyFill="1" applyBorder="1" applyAlignment="1">
      <alignment horizontal="right" indent="1"/>
    </xf>
    <xf numFmtId="4" fontId="34" fillId="0" borderId="201" xfId="0" applyNumberFormat="1" applyFont="1" applyFill="1" applyBorder="1" applyAlignment="1">
      <alignment horizontal="right" vertical="center" indent="1"/>
    </xf>
    <xf numFmtId="4" fontId="34" fillId="0" borderId="202" xfId="0" applyNumberFormat="1" applyFont="1" applyFill="1" applyBorder="1" applyAlignment="1">
      <alignment horizontal="right" vertical="center" indent="1"/>
    </xf>
    <xf numFmtId="199" fontId="34" fillId="0" borderId="203" xfId="0" applyNumberFormat="1" applyFont="1" applyFill="1" applyBorder="1" applyAlignment="1">
      <alignment horizontal="right" indent="1"/>
    </xf>
    <xf numFmtId="199" fontId="34" fillId="0" borderId="202" xfId="0" applyNumberFormat="1" applyFont="1" applyFill="1" applyBorder="1" applyAlignment="1">
      <alignment horizontal="right" indent="1"/>
    </xf>
    <xf numFmtId="199" fontId="34" fillId="0" borderId="201" xfId="0" applyNumberFormat="1" applyFont="1" applyFill="1" applyBorder="1" applyAlignment="1">
      <alignment horizontal="right" indent="1"/>
    </xf>
    <xf numFmtId="10" fontId="34" fillId="0" borderId="202" xfId="0" applyNumberFormat="1" applyFont="1" applyFill="1" applyBorder="1" applyAlignment="1">
      <alignment horizontal="right" indent="1"/>
    </xf>
    <xf numFmtId="4" fontId="34" fillId="0" borderId="203" xfId="0" applyNumberFormat="1" applyFont="1" applyFill="1" applyBorder="1" applyAlignment="1">
      <alignment horizontal="right" vertical="center" indent="1"/>
    </xf>
    <xf numFmtId="10" fontId="34" fillId="0" borderId="201" xfId="0" applyNumberFormat="1" applyFont="1" applyFill="1" applyBorder="1" applyAlignment="1">
      <alignment horizontal="right" vertical="center" indent="1"/>
    </xf>
    <xf numFmtId="4" fontId="34" fillId="0" borderId="185" xfId="0" applyNumberFormat="1" applyFont="1" applyFill="1" applyBorder="1" applyAlignment="1">
      <alignment horizontal="right" vertical="center" indent="1"/>
    </xf>
    <xf numFmtId="14" fontId="29" fillId="0" borderId="314" xfId="0" applyNumberFormat="1" applyFont="1" applyBorder="1" applyAlignment="1">
      <alignment horizontal="center" vertical="center" wrapText="1"/>
    </xf>
    <xf numFmtId="0" fontId="29" fillId="0" borderId="314" xfId="0" applyFont="1" applyBorder="1" applyAlignment="1">
      <alignment horizontal="center" vertical="center" wrapText="1"/>
    </xf>
    <xf numFmtId="0" fontId="139" fillId="0" borderId="314" xfId="0" applyFont="1" applyBorder="1" applyAlignment="1">
      <alignment horizontal="center" vertical="center" wrapText="1"/>
    </xf>
    <xf numFmtId="0" fontId="29" fillId="0" borderId="276" xfId="0" applyFont="1" applyBorder="1" applyAlignment="1">
      <alignment horizontal="center" vertical="center" wrapText="1"/>
    </xf>
    <xf numFmtId="0" fontId="34" fillId="0" borderId="315" xfId="0" applyFont="1" applyBorder="1" applyAlignment="1">
      <alignment horizontal="center" vertical="center" wrapText="1"/>
    </xf>
    <xf numFmtId="14" fontId="29" fillId="0" borderId="316" xfId="0" applyNumberFormat="1" applyFont="1" applyBorder="1" applyAlignment="1">
      <alignment horizontal="center" vertical="center" wrapText="1"/>
    </xf>
    <xf numFmtId="0" fontId="29" fillId="0" borderId="316" xfId="0" applyFont="1" applyBorder="1" applyAlignment="1">
      <alignment horizontal="center" vertical="center" wrapText="1"/>
    </xf>
    <xf numFmtId="0" fontId="139" fillId="0" borderId="316" xfId="0" applyFont="1" applyBorder="1" applyAlignment="1">
      <alignment horizontal="center" vertical="center" wrapText="1"/>
    </xf>
    <xf numFmtId="0" fontId="29" fillId="0" borderId="317" xfId="0" applyFont="1" applyBorder="1" applyAlignment="1">
      <alignment horizontal="center" vertical="center" wrapText="1"/>
    </xf>
    <xf numFmtId="0" fontId="128" fillId="0" borderId="0" xfId="0" applyFont="1"/>
    <xf numFmtId="0" fontId="117" fillId="0" borderId="314" xfId="0" applyFont="1" applyBorder="1" applyAlignment="1">
      <alignment horizontal="center" vertical="center" wrapText="1"/>
    </xf>
    <xf numFmtId="4" fontId="29" fillId="0" borderId="314" xfId="0" applyNumberFormat="1" applyFont="1" applyBorder="1" applyAlignment="1">
      <alignment horizontal="center" vertical="center" wrapText="1"/>
    </xf>
    <xf numFmtId="0" fontId="70" fillId="0" borderId="316" xfId="0" applyFont="1" applyBorder="1" applyAlignment="1">
      <alignment horizontal="center" vertical="center" wrapText="1"/>
    </xf>
    <xf numFmtId="0" fontId="147" fillId="0" borderId="318" xfId="0" applyFont="1" applyBorder="1" applyAlignment="1">
      <alignment horizontal="center" vertical="center" wrapText="1"/>
    </xf>
    <xf numFmtId="0" fontId="138" fillId="0" borderId="319" xfId="0" applyFont="1" applyBorder="1" applyAlignment="1">
      <alignment horizontal="center" vertical="center" wrapText="1"/>
    </xf>
    <xf numFmtId="0" fontId="147" fillId="0" borderId="319" xfId="0" applyFont="1" applyBorder="1" applyAlignment="1">
      <alignment horizontal="center" vertical="center" wrapText="1"/>
    </xf>
    <xf numFmtId="0" fontId="147" fillId="0" borderId="320" xfId="0" applyFont="1" applyBorder="1" applyAlignment="1">
      <alignment horizontal="center" vertical="center" wrapText="1"/>
    </xf>
    <xf numFmtId="0" fontId="117" fillId="0" borderId="276" xfId="0" applyFont="1" applyBorder="1" applyAlignment="1">
      <alignment horizontal="center" vertical="center" wrapText="1"/>
    </xf>
    <xf numFmtId="0" fontId="0" fillId="0" borderId="317" xfId="0" applyBorder="1"/>
    <xf numFmtId="0" fontId="34" fillId="0" borderId="321" xfId="0" quotePrefix="1" applyFont="1" applyBorder="1" applyAlignment="1">
      <alignment horizontal="center" vertical="center" wrapText="1"/>
    </xf>
    <xf numFmtId="14" fontId="29" fillId="0" borderId="322" xfId="0" applyNumberFormat="1" applyFont="1" applyBorder="1" applyAlignment="1">
      <alignment horizontal="center" vertical="center" wrapText="1"/>
    </xf>
    <xf numFmtId="0" fontId="29" fillId="0" borderId="322" xfId="0" applyFont="1" applyBorder="1" applyAlignment="1">
      <alignment horizontal="center" vertical="center" wrapText="1"/>
    </xf>
    <xf numFmtId="0" fontId="29" fillId="0" borderId="322" xfId="0" quotePrefix="1" applyFont="1" applyBorder="1" applyAlignment="1">
      <alignment horizontal="center" vertical="center" wrapText="1"/>
    </xf>
    <xf numFmtId="0" fontId="29" fillId="0" borderId="323" xfId="0" applyFont="1" applyBorder="1" applyAlignment="1">
      <alignment horizontal="center" vertical="center" wrapText="1"/>
    </xf>
    <xf numFmtId="0" fontId="131" fillId="0" borderId="302" xfId="0" applyFont="1" applyBorder="1" applyAlignment="1">
      <alignment horizontal="center" vertical="center" wrapText="1"/>
    </xf>
    <xf numFmtId="0" fontId="161" fillId="0" borderId="0" xfId="0" applyFont="1" applyAlignment="1">
      <alignment vertical="center" wrapText="1"/>
    </xf>
    <xf numFmtId="0" fontId="130" fillId="0" borderId="146" xfId="0" applyFont="1" applyBorder="1" applyAlignment="1">
      <alignment horizontal="center" vertical="center"/>
    </xf>
    <xf numFmtId="0" fontId="130" fillId="0" borderId="147" xfId="0" applyFont="1" applyBorder="1" applyAlignment="1">
      <alignment vertical="center"/>
    </xf>
    <xf numFmtId="0" fontId="156" fillId="0" borderId="147" xfId="0" applyFont="1" applyBorder="1" applyAlignment="1">
      <alignment horizontal="justify" vertical="center"/>
    </xf>
    <xf numFmtId="0" fontId="130" fillId="0" borderId="155" xfId="0" applyFont="1" applyBorder="1" applyAlignment="1">
      <alignment horizontal="center" vertical="center"/>
    </xf>
    <xf numFmtId="0" fontId="130" fillId="0" borderId="314" xfId="0" applyFont="1" applyBorder="1" applyAlignment="1">
      <alignment vertical="center"/>
    </xf>
    <xf numFmtId="0" fontId="156" fillId="0" borderId="314" xfId="0" applyFont="1" applyBorder="1" applyAlignment="1">
      <alignment horizontal="justify" vertical="center"/>
    </xf>
    <xf numFmtId="0" fontId="133" fillId="0" borderId="155" xfId="0" applyFont="1" applyBorder="1" applyAlignment="1">
      <alignment horizontal="center" vertical="center"/>
    </xf>
    <xf numFmtId="0" fontId="156" fillId="0" borderId="314" xfId="0" applyFont="1" applyBorder="1" applyAlignment="1">
      <alignment vertical="center"/>
    </xf>
    <xf numFmtId="0" fontId="154" fillId="0" borderId="314" xfId="0" applyFont="1" applyBorder="1" applyAlignment="1">
      <alignment vertical="center"/>
    </xf>
    <xf numFmtId="8" fontId="131" fillId="0" borderId="314" xfId="0" applyNumberFormat="1" applyFont="1" applyBorder="1" applyAlignment="1">
      <alignment horizontal="justify" vertical="center"/>
    </xf>
    <xf numFmtId="0" fontId="157" fillId="45" borderId="314" xfId="0" applyFont="1" applyFill="1" applyBorder="1" applyAlignment="1">
      <alignment vertical="center"/>
    </xf>
    <xf numFmtId="0" fontId="131" fillId="0" borderId="314" xfId="0" applyFont="1" applyBorder="1" applyAlignment="1">
      <alignment vertical="center"/>
    </xf>
    <xf numFmtId="0" fontId="133" fillId="0" borderId="315" xfId="0" applyFont="1" applyBorder="1" applyAlignment="1">
      <alignment horizontal="center" vertical="center"/>
    </xf>
    <xf numFmtId="0" fontId="130" fillId="0" borderId="316" xfId="0" applyFont="1" applyBorder="1" applyAlignment="1">
      <alignment vertical="center"/>
    </xf>
    <xf numFmtId="0" fontId="154" fillId="0" borderId="316" xfId="0" applyFont="1" applyBorder="1" applyAlignment="1">
      <alignment vertical="center"/>
    </xf>
    <xf numFmtId="0" fontId="132" fillId="0" borderId="148" xfId="0" applyFont="1" applyBorder="1" applyAlignment="1">
      <alignment horizontal="center" vertical="center" wrapText="1"/>
    </xf>
    <xf numFmtId="0" fontId="132" fillId="0" borderId="276" xfId="0" applyFont="1" applyBorder="1" applyAlignment="1">
      <alignment horizontal="center" vertical="center" wrapText="1"/>
    </xf>
    <xf numFmtId="0" fontId="134" fillId="0" borderId="276" xfId="0" applyFont="1" applyBorder="1" applyAlignment="1">
      <alignment horizontal="center" vertical="center" wrapText="1"/>
    </xf>
    <xf numFmtId="0" fontId="135" fillId="0" borderId="276" xfId="0" applyFont="1" applyBorder="1" applyAlignment="1">
      <alignment horizontal="center" vertical="center" wrapText="1"/>
    </xf>
    <xf numFmtId="0" fontId="132" fillId="0" borderId="317" xfId="0" applyFont="1" applyBorder="1" applyAlignment="1">
      <alignment horizontal="center" vertical="center" wrapText="1"/>
    </xf>
    <xf numFmtId="2" fontId="0" fillId="8" borderId="72" xfId="0" applyNumberFormat="1" applyFill="1" applyBorder="1" applyAlignment="1">
      <alignment horizontal="center"/>
    </xf>
    <xf numFmtId="10" fontId="63" fillId="6" borderId="230" xfId="0" applyNumberFormat="1" applyFont="1" applyFill="1" applyBorder="1" applyAlignment="1">
      <alignment horizontal="center" vertical="center"/>
    </xf>
    <xf numFmtId="0" fontId="22" fillId="5" borderId="155" xfId="0" applyFont="1" applyFill="1" applyBorder="1" applyAlignment="1">
      <alignment horizontal="right"/>
    </xf>
    <xf numFmtId="17" fontId="22" fillId="5" borderId="314" xfId="0" applyNumberFormat="1" applyFont="1" applyFill="1" applyBorder="1" applyAlignment="1">
      <alignment horizontal="right"/>
    </xf>
    <xf numFmtId="4" fontId="2" fillId="5" borderId="324" xfId="0" applyNumberFormat="1" applyFont="1" applyFill="1" applyBorder="1" applyAlignment="1">
      <alignment horizontal="center"/>
    </xf>
    <xf numFmtId="14" fontId="3" fillId="5" borderId="324" xfId="0" applyNumberFormat="1" applyFont="1" applyFill="1" applyBorder="1" applyAlignment="1">
      <alignment horizontal="center"/>
    </xf>
    <xf numFmtId="172" fontId="3" fillId="6" borderId="324" xfId="0" applyNumberFormat="1" applyFont="1" applyFill="1" applyBorder="1" applyAlignment="1">
      <alignment horizontal="center"/>
    </xf>
    <xf numFmtId="176" fontId="3" fillId="5" borderId="324" xfId="0" applyNumberFormat="1" applyFont="1" applyFill="1" applyBorder="1" applyAlignment="1">
      <alignment horizontal="center"/>
    </xf>
    <xf numFmtId="180" fontId="3" fillId="5" borderId="324" xfId="0" applyNumberFormat="1" applyFont="1" applyFill="1" applyBorder="1" applyAlignment="1">
      <alignment horizontal="center"/>
    </xf>
    <xf numFmtId="2" fontId="3" fillId="5" borderId="324" xfId="0" applyNumberFormat="1" applyFont="1" applyFill="1" applyBorder="1" applyAlignment="1">
      <alignment horizontal="center"/>
    </xf>
    <xf numFmtId="172" fontId="3" fillId="5" borderId="324" xfId="0" applyNumberFormat="1" applyFont="1" applyFill="1" applyBorder="1" applyAlignment="1">
      <alignment horizontal="center"/>
    </xf>
    <xf numFmtId="177" fontId="3" fillId="5" borderId="325" xfId="0" applyNumberFormat="1" applyFont="1" applyFill="1" applyBorder="1" applyAlignment="1">
      <alignment horizontal="center"/>
    </xf>
    <xf numFmtId="17" fontId="22" fillId="5" borderId="326" xfId="0" applyNumberFormat="1" applyFont="1" applyFill="1" applyBorder="1" applyAlignment="1">
      <alignment horizontal="right"/>
    </xf>
    <xf numFmtId="4" fontId="2" fillId="5" borderId="326" xfId="0" applyNumberFormat="1" applyFont="1" applyFill="1" applyBorder="1" applyAlignment="1">
      <alignment horizontal="center"/>
    </xf>
    <xf numFmtId="14" fontId="3" fillId="5" borderId="326" xfId="0" applyNumberFormat="1" applyFont="1" applyFill="1" applyBorder="1" applyAlignment="1">
      <alignment horizontal="center"/>
    </xf>
    <xf numFmtId="172" fontId="3" fillId="6" borderId="326" xfId="0" applyNumberFormat="1" applyFont="1" applyFill="1" applyBorder="1" applyAlignment="1">
      <alignment horizontal="center"/>
    </xf>
    <xf numFmtId="176" fontId="3" fillId="5" borderId="326" xfId="0" applyNumberFormat="1" applyFont="1" applyFill="1" applyBorder="1" applyAlignment="1">
      <alignment horizontal="center"/>
    </xf>
    <xf numFmtId="180" fontId="3" fillId="5" borderId="326" xfId="0" applyNumberFormat="1" applyFont="1" applyFill="1" applyBorder="1" applyAlignment="1">
      <alignment horizontal="center"/>
    </xf>
    <xf numFmtId="2" fontId="3" fillId="5" borderId="326" xfId="0" applyNumberFormat="1" applyFont="1" applyFill="1" applyBorder="1" applyAlignment="1">
      <alignment horizontal="center"/>
    </xf>
    <xf numFmtId="172" fontId="3" fillId="5" borderId="326" xfId="0" applyNumberFormat="1" applyFont="1" applyFill="1" applyBorder="1" applyAlignment="1">
      <alignment horizontal="center"/>
    </xf>
    <xf numFmtId="177" fontId="3" fillId="5" borderId="327" xfId="0" applyNumberFormat="1" applyFont="1" applyFill="1" applyBorder="1" applyAlignment="1">
      <alignment horizontal="center"/>
    </xf>
    <xf numFmtId="4" fontId="3" fillId="5" borderId="327" xfId="0" applyNumberFormat="1" applyFont="1" applyFill="1" applyBorder="1" applyAlignment="1">
      <alignment horizontal="center"/>
    </xf>
    <xf numFmtId="0" fontId="22" fillId="5" borderId="328" xfId="0" applyFont="1" applyFill="1" applyBorder="1" applyAlignment="1">
      <alignment horizontal="right"/>
    </xf>
    <xf numFmtId="17" fontId="22" fillId="5" borderId="329" xfId="0" applyNumberFormat="1" applyFont="1" applyFill="1" applyBorder="1" applyAlignment="1">
      <alignment horizontal="right"/>
    </xf>
    <xf numFmtId="4" fontId="2" fillId="5" borderId="329" xfId="0" applyNumberFormat="1" applyFont="1" applyFill="1" applyBorder="1" applyAlignment="1">
      <alignment horizontal="center"/>
    </xf>
    <xf numFmtId="14" fontId="3" fillId="5" borderId="329" xfId="0" applyNumberFormat="1" applyFont="1" applyFill="1" applyBorder="1" applyAlignment="1">
      <alignment horizontal="center"/>
    </xf>
    <xf numFmtId="172" fontId="3" fillId="6" borderId="329" xfId="0" applyNumberFormat="1" applyFont="1" applyFill="1" applyBorder="1" applyAlignment="1">
      <alignment horizontal="center"/>
    </xf>
    <xf numFmtId="176" fontId="3" fillId="5" borderId="329" xfId="0" applyNumberFormat="1" applyFont="1" applyFill="1" applyBorder="1" applyAlignment="1">
      <alignment horizontal="center"/>
    </xf>
    <xf numFmtId="180" fontId="3" fillId="5" borderId="329" xfId="0" applyNumberFormat="1" applyFont="1" applyFill="1" applyBorder="1" applyAlignment="1">
      <alignment horizontal="center"/>
    </xf>
    <xf numFmtId="2" fontId="3" fillId="5" borderId="329" xfId="0" applyNumberFormat="1" applyFont="1" applyFill="1" applyBorder="1" applyAlignment="1">
      <alignment horizontal="center"/>
    </xf>
    <xf numFmtId="172" fontId="3" fillId="5" borderId="329" xfId="0" applyNumberFormat="1" applyFont="1" applyFill="1" applyBorder="1" applyAlignment="1">
      <alignment horizontal="center"/>
    </xf>
    <xf numFmtId="4" fontId="3" fillId="5" borderId="330" xfId="0" applyNumberFormat="1" applyFont="1" applyFill="1" applyBorder="1" applyAlignment="1">
      <alignment horizontal="center"/>
    </xf>
    <xf numFmtId="0" fontId="22" fillId="5" borderId="331" xfId="0" applyFont="1" applyFill="1" applyBorder="1" applyAlignment="1">
      <alignment horizontal="right"/>
    </xf>
    <xf numFmtId="169" fontId="22" fillId="5" borderId="226" xfId="0" applyNumberFormat="1" applyFont="1" applyFill="1" applyBorder="1" applyAlignment="1">
      <alignment horizontal="right"/>
    </xf>
    <xf numFmtId="0" fontId="7" fillId="5" borderId="226" xfId="0" applyFont="1" applyFill="1" applyBorder="1" applyAlignment="1">
      <alignment horizontal="right"/>
    </xf>
    <xf numFmtId="0" fontId="7" fillId="5" borderId="226" xfId="0" applyFont="1" applyFill="1" applyBorder="1" applyAlignment="1">
      <alignment horizontal="center"/>
    </xf>
    <xf numFmtId="10" fontId="7" fillId="5" borderId="226" xfId="0" applyNumberFormat="1" applyFont="1" applyFill="1" applyBorder="1" applyAlignment="1">
      <alignment horizontal="center"/>
    </xf>
    <xf numFmtId="0" fontId="19" fillId="5" borderId="226" xfId="0" applyFont="1" applyFill="1" applyBorder="1" applyAlignment="1">
      <alignment horizontal="center"/>
    </xf>
    <xf numFmtId="0" fontId="7" fillId="5" borderId="332" xfId="0" applyFont="1" applyFill="1" applyBorder="1" applyAlignment="1">
      <alignment horizontal="center"/>
    </xf>
    <xf numFmtId="17" fontId="22" fillId="5" borderId="333" xfId="0" applyNumberFormat="1" applyFont="1" applyFill="1" applyBorder="1" applyAlignment="1">
      <alignment horizontal="right"/>
    </xf>
    <xf numFmtId="4" fontId="2" fillId="5" borderId="333" xfId="0" applyNumberFormat="1" applyFont="1" applyFill="1" applyBorder="1" applyAlignment="1">
      <alignment horizontal="center"/>
    </xf>
    <xf numFmtId="14" fontId="3" fillId="5" borderId="333" xfId="0" applyNumberFormat="1" applyFont="1" applyFill="1" applyBorder="1" applyAlignment="1">
      <alignment horizontal="center"/>
    </xf>
    <xf numFmtId="172" fontId="3" fillId="6" borderId="333" xfId="0" applyNumberFormat="1" applyFont="1" applyFill="1" applyBorder="1" applyAlignment="1">
      <alignment horizontal="center"/>
    </xf>
    <xf numFmtId="176" fontId="3" fillId="5" borderId="333" xfId="0" applyNumberFormat="1" applyFont="1" applyFill="1" applyBorder="1" applyAlignment="1">
      <alignment horizontal="center"/>
    </xf>
    <xf numFmtId="180" fontId="3" fillId="5" borderId="333" xfId="0" applyNumberFormat="1" applyFont="1" applyFill="1" applyBorder="1" applyAlignment="1">
      <alignment horizontal="center"/>
    </xf>
    <xf numFmtId="2" fontId="3" fillId="5" borderId="333" xfId="0" applyNumberFormat="1" applyFont="1" applyFill="1" applyBorder="1" applyAlignment="1">
      <alignment horizontal="center"/>
    </xf>
    <xf numFmtId="172" fontId="3" fillId="5" borderId="333" xfId="0" applyNumberFormat="1" applyFont="1" applyFill="1" applyBorder="1" applyAlignment="1">
      <alignment horizontal="center"/>
    </xf>
    <xf numFmtId="4" fontId="3" fillId="5" borderId="334" xfId="0" applyNumberFormat="1" applyFont="1" applyFill="1" applyBorder="1" applyAlignment="1">
      <alignment horizontal="center"/>
    </xf>
    <xf numFmtId="4" fontId="0" fillId="3" borderId="0" xfId="0" applyNumberFormat="1" applyFill="1" applyAlignment="1">
      <alignment horizontal="center"/>
    </xf>
    <xf numFmtId="0" fontId="5" fillId="0" borderId="0" xfId="0" applyFont="1" applyAlignment="1">
      <alignment horizontal="center"/>
    </xf>
    <xf numFmtId="0" fontId="10" fillId="0" borderId="50" xfId="0" applyFont="1" applyBorder="1" applyAlignment="1" applyProtection="1">
      <alignment horizontal="center"/>
      <protection locked="0"/>
    </xf>
    <xf numFmtId="0" fontId="10" fillId="0" borderId="51" xfId="0" applyFont="1" applyBorder="1" applyAlignment="1" applyProtection="1">
      <alignment horizontal="center"/>
      <protection locked="0"/>
    </xf>
    <xf numFmtId="0" fontId="10" fillId="0" borderId="41" xfId="0" applyFont="1" applyBorder="1" applyAlignment="1" applyProtection="1">
      <alignment horizontal="center"/>
      <protection locked="0"/>
    </xf>
    <xf numFmtId="0" fontId="73" fillId="0" borderId="3" xfId="0" applyFont="1" applyBorder="1" applyAlignment="1" applyProtection="1">
      <alignment horizontal="center"/>
      <protection locked="0"/>
    </xf>
    <xf numFmtId="0" fontId="73" fillId="0" borderId="0" xfId="0" applyFont="1" applyAlignment="1" applyProtection="1">
      <alignment horizontal="center"/>
      <protection locked="0"/>
    </xf>
    <xf numFmtId="0" fontId="73" fillId="0" borderId="4" xfId="0" applyFont="1" applyBorder="1" applyAlignment="1" applyProtection="1">
      <alignment horizontal="center"/>
      <protection locked="0"/>
    </xf>
    <xf numFmtId="0" fontId="10" fillId="0" borderId="3" xfId="0" applyFont="1" applyBorder="1" applyAlignment="1" applyProtection="1">
      <alignment horizontal="center"/>
      <protection locked="0"/>
    </xf>
    <xf numFmtId="0" fontId="10" fillId="0" borderId="0" xfId="0" applyFont="1" applyAlignment="1" applyProtection="1">
      <alignment horizontal="center"/>
      <protection locked="0"/>
    </xf>
    <xf numFmtId="0" fontId="10" fillId="0" borderId="4" xfId="0" applyFont="1" applyBorder="1" applyAlignment="1" applyProtection="1">
      <alignment horizontal="center"/>
      <protection locked="0"/>
    </xf>
    <xf numFmtId="0" fontId="5" fillId="0" borderId="0" xfId="0" applyFont="1" applyAlignment="1" applyProtection="1">
      <alignment horizontal="center"/>
      <protection locked="0"/>
    </xf>
    <xf numFmtId="0" fontId="5" fillId="0" borderId="4" xfId="0" applyFont="1" applyBorder="1" applyAlignment="1" applyProtection="1">
      <alignment horizontal="center"/>
      <protection locked="0"/>
    </xf>
    <xf numFmtId="0" fontId="8" fillId="0" borderId="0" xfId="0" applyFont="1" applyAlignment="1" applyProtection="1">
      <alignment horizontal="left"/>
      <protection locked="0"/>
    </xf>
    <xf numFmtId="0" fontId="8" fillId="0" borderId="4" xfId="0" applyFont="1" applyBorder="1" applyAlignment="1" applyProtection="1">
      <alignment horizontal="left"/>
      <protection locked="0"/>
    </xf>
    <xf numFmtId="0" fontId="11" fillId="0" borderId="0" xfId="0" applyFont="1" applyAlignment="1" applyProtection="1">
      <alignment horizontal="center"/>
      <protection locked="0"/>
    </xf>
    <xf numFmtId="0" fontId="11" fillId="0" borderId="4" xfId="0" applyFont="1" applyBorder="1" applyAlignment="1" applyProtection="1">
      <alignment horizontal="center"/>
      <protection locked="0"/>
    </xf>
    <xf numFmtId="0" fontId="42" fillId="35" borderId="3" xfId="0" applyFont="1" applyFill="1" applyBorder="1" applyAlignment="1" applyProtection="1">
      <alignment horizontal="center"/>
      <protection locked="0"/>
    </xf>
    <xf numFmtId="0" fontId="42" fillId="35" borderId="0" xfId="0" applyFont="1" applyFill="1" applyAlignment="1" applyProtection="1">
      <alignment horizontal="center"/>
      <protection locked="0"/>
    </xf>
    <xf numFmtId="0" fontId="42" fillId="35" borderId="4" xfId="0" applyFont="1" applyFill="1" applyBorder="1" applyAlignment="1" applyProtection="1">
      <alignment horizontal="center"/>
      <protection locked="0"/>
    </xf>
    <xf numFmtId="0" fontId="8" fillId="0" borderId="0" xfId="0" applyFont="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124" fillId="36" borderId="265" xfId="0" applyFont="1" applyFill="1" applyBorder="1" applyAlignment="1">
      <alignment horizontal="center" vertical="center" wrapText="1"/>
    </xf>
    <xf numFmtId="0" fontId="124" fillId="36" borderId="0" xfId="0" applyFont="1" applyFill="1" applyAlignment="1">
      <alignment horizontal="center" vertical="center" wrapText="1"/>
    </xf>
    <xf numFmtId="0" fontId="31" fillId="0" borderId="0" xfId="0" applyFont="1" applyAlignment="1">
      <alignment horizontal="center"/>
    </xf>
    <xf numFmtId="0" fontId="148" fillId="0" borderId="54" xfId="0" applyFont="1" applyBorder="1" applyAlignment="1">
      <alignment vertical="center"/>
    </xf>
    <xf numFmtId="0" fontId="148" fillId="0" borderId="65" xfId="0" applyFont="1" applyBorder="1" applyAlignment="1">
      <alignment vertical="center"/>
    </xf>
    <xf numFmtId="0" fontId="129" fillId="44" borderId="85" xfId="0" applyFont="1" applyFill="1" applyBorder="1" applyAlignment="1">
      <alignment horizontal="center" vertical="center"/>
    </xf>
    <xf numFmtId="0" fontId="129" fillId="44" borderId="289" xfId="0" applyFont="1" applyFill="1" applyBorder="1" applyAlignment="1">
      <alignment horizontal="center" vertical="center"/>
    </xf>
    <xf numFmtId="0" fontId="129" fillId="44" borderId="84" xfId="0" applyFont="1" applyFill="1" applyBorder="1" applyAlignment="1">
      <alignment horizontal="center" vertical="center"/>
    </xf>
    <xf numFmtId="49" fontId="129" fillId="41" borderId="50" xfId="0" applyNumberFormat="1" applyFont="1" applyFill="1" applyBorder="1" applyAlignment="1">
      <alignment horizontal="center" vertical="center"/>
    </xf>
    <xf numFmtId="49" fontId="129" fillId="41" borderId="51" xfId="0" applyNumberFormat="1" applyFont="1" applyFill="1" applyBorder="1" applyAlignment="1">
      <alignment horizontal="center" vertical="center"/>
    </xf>
    <xf numFmtId="49" fontId="129" fillId="41" borderId="41" xfId="0" applyNumberFormat="1" applyFont="1" applyFill="1" applyBorder="1" applyAlignment="1">
      <alignment horizontal="center" vertical="center"/>
    </xf>
    <xf numFmtId="0" fontId="148" fillId="0" borderId="5" xfId="0" applyFont="1" applyBorder="1" applyAlignment="1">
      <alignment vertical="center"/>
    </xf>
    <xf numFmtId="0" fontId="148" fillId="0" borderId="7" xfId="0" applyFont="1" applyBorder="1" applyAlignment="1">
      <alignment vertical="center"/>
    </xf>
    <xf numFmtId="0" fontId="2" fillId="0" borderId="50" xfId="0" applyFont="1" applyBorder="1" applyAlignment="1">
      <alignment horizontal="center" vertical="center" wrapText="1"/>
    </xf>
    <xf numFmtId="0" fontId="2" fillId="0" borderId="51"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3" xfId="0" applyFont="1" applyBorder="1" applyAlignment="1">
      <alignment horizontal="center" vertical="center" wrapText="1"/>
    </xf>
    <xf numFmtId="0" fontId="2" fillId="0" borderId="0"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31" fillId="0" borderId="6" xfId="0" applyFont="1" applyBorder="1" applyAlignment="1">
      <alignment horizontal="center"/>
    </xf>
    <xf numFmtId="0" fontId="2" fillId="0" borderId="50" xfId="0" applyFont="1" applyBorder="1" applyAlignment="1">
      <alignment horizontal="center" vertical="center"/>
    </xf>
    <xf numFmtId="0" fontId="2" fillId="0" borderId="51" xfId="0" applyFont="1" applyBorder="1" applyAlignment="1">
      <alignment horizontal="center" vertical="center"/>
    </xf>
    <xf numFmtId="0" fontId="2" fillId="0" borderId="41" xfId="0" applyFont="1" applyBorder="1" applyAlignment="1">
      <alignment horizontal="center" vertical="center"/>
    </xf>
    <xf numFmtId="0" fontId="2" fillId="0" borderId="3" xfId="0" applyFont="1" applyBorder="1" applyAlignment="1">
      <alignment horizontal="center" vertical="center"/>
    </xf>
    <xf numFmtId="0" fontId="2" fillId="0" borderId="0"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138" fillId="0" borderId="147" xfId="0" applyFont="1" applyBorder="1" applyAlignment="1">
      <alignment horizontal="center" vertical="center" wrapText="1"/>
    </xf>
    <xf numFmtId="0" fontId="138" fillId="0" borderId="314" xfId="0" applyFont="1" applyBorder="1" applyAlignment="1">
      <alignment horizontal="center" vertical="center" wrapText="1"/>
    </xf>
    <xf numFmtId="0" fontId="138" fillId="0" borderId="316" xfId="0" applyFont="1" applyBorder="1" applyAlignment="1">
      <alignment horizontal="center" vertical="center" wrapText="1"/>
    </xf>
    <xf numFmtId="0" fontId="136" fillId="42" borderId="85" xfId="0" applyFont="1" applyFill="1" applyBorder="1" applyAlignment="1">
      <alignment horizontal="center" vertical="center" wrapText="1"/>
    </xf>
    <xf numFmtId="0" fontId="136" fillId="42" borderId="84" xfId="0" applyFont="1" applyFill="1" applyBorder="1" applyAlignment="1">
      <alignment horizontal="center" vertical="center" wrapText="1"/>
    </xf>
    <xf numFmtId="0" fontId="137" fillId="41" borderId="85" xfId="0" applyFont="1" applyFill="1" applyBorder="1" applyAlignment="1">
      <alignment horizontal="center" vertical="center" wrapText="1"/>
    </xf>
    <xf numFmtId="0" fontId="137" fillId="41" borderId="84" xfId="0" applyFont="1" applyFill="1" applyBorder="1" applyAlignment="1">
      <alignment horizontal="center" vertical="center" wrapText="1"/>
    </xf>
    <xf numFmtId="0" fontId="136" fillId="41" borderId="85" xfId="0" applyFont="1" applyFill="1" applyBorder="1" applyAlignment="1">
      <alignment horizontal="center" vertical="center" wrapText="1"/>
    </xf>
    <xf numFmtId="0" fontId="136" fillId="41" borderId="84" xfId="0" applyFont="1" applyFill="1" applyBorder="1" applyAlignment="1">
      <alignment horizontal="center" vertical="center" wrapText="1"/>
    </xf>
    <xf numFmtId="0" fontId="136" fillId="42" borderId="54" xfId="0" applyFont="1" applyFill="1" applyBorder="1" applyAlignment="1">
      <alignment horizontal="center" vertical="center" wrapText="1"/>
    </xf>
    <xf numFmtId="0" fontId="136" fillId="42" borderId="65" xfId="0" applyFont="1" applyFill="1" applyBorder="1" applyAlignment="1">
      <alignment horizontal="center" vertical="center" wrapText="1"/>
    </xf>
    <xf numFmtId="0" fontId="137" fillId="42" borderId="85" xfId="0" applyFont="1" applyFill="1" applyBorder="1" applyAlignment="1">
      <alignment horizontal="center" vertical="center" wrapText="1"/>
    </xf>
    <xf numFmtId="0" fontId="137" fillId="42" borderId="84" xfId="0" applyFont="1" applyFill="1" applyBorder="1" applyAlignment="1">
      <alignment horizontal="center" vertical="center" wrapText="1"/>
    </xf>
    <xf numFmtId="0" fontId="144" fillId="0" borderId="281" xfId="0" applyFont="1" applyBorder="1" applyAlignment="1">
      <alignment horizontal="justify" vertical="center" wrapText="1"/>
    </xf>
    <xf numFmtId="0" fontId="144" fillId="0" borderId="282" xfId="0" applyFont="1" applyBorder="1" applyAlignment="1">
      <alignment horizontal="justify" vertical="center" wrapText="1"/>
    </xf>
    <xf numFmtId="0" fontId="144" fillId="0" borderId="285" xfId="0" applyFont="1" applyBorder="1" applyAlignment="1">
      <alignment horizontal="justify" vertical="center" wrapText="1"/>
    </xf>
    <xf numFmtId="0" fontId="144" fillId="0" borderId="286" xfId="0" applyFont="1" applyBorder="1" applyAlignment="1">
      <alignment horizontal="left" vertical="center" wrapText="1"/>
    </xf>
    <xf numFmtId="0" fontId="144" fillId="0" borderId="287" xfId="0" applyFont="1" applyBorder="1" applyAlignment="1">
      <alignment horizontal="left" vertical="center" wrapText="1"/>
    </xf>
    <xf numFmtId="0" fontId="144" fillId="0" borderId="288" xfId="0" applyFont="1" applyBorder="1" applyAlignment="1">
      <alignment horizontal="left" vertical="center" wrapText="1"/>
    </xf>
    <xf numFmtId="0" fontId="144" fillId="0" borderId="5" xfId="0" applyFont="1" applyBorder="1" applyAlignment="1">
      <alignment horizontal="left" vertical="center" wrapText="1"/>
    </xf>
    <xf numFmtId="0" fontId="144" fillId="0" borderId="6" xfId="0" applyFont="1" applyBorder="1" applyAlignment="1">
      <alignment horizontal="left" vertical="center" wrapText="1"/>
    </xf>
    <xf numFmtId="0" fontId="144" fillId="0" borderId="7" xfId="0" applyFont="1" applyBorder="1" applyAlignment="1">
      <alignment horizontal="left" vertical="center" wrapText="1"/>
    </xf>
    <xf numFmtId="0" fontId="144" fillId="0" borderId="114" xfId="0" applyFont="1" applyBorder="1" applyAlignment="1">
      <alignment horizontal="justify" vertical="center" wrapText="1"/>
    </xf>
    <xf numFmtId="0" fontId="144" fillId="0" borderId="149" xfId="0" applyFont="1" applyBorder="1" applyAlignment="1">
      <alignment horizontal="justify" vertical="center" wrapText="1"/>
    </xf>
    <xf numFmtId="0" fontId="144" fillId="0" borderId="136" xfId="0" applyFont="1" applyBorder="1" applyAlignment="1">
      <alignment horizontal="justify" vertical="center" wrapText="1"/>
    </xf>
    <xf numFmtId="0" fontId="144" fillId="0" borderId="250" xfId="0" applyFont="1" applyBorder="1" applyAlignment="1">
      <alignment horizontal="justify" vertical="center" wrapText="1"/>
    </xf>
    <xf numFmtId="0" fontId="144" fillId="0" borderId="280" xfId="0" applyFont="1" applyBorder="1" applyAlignment="1">
      <alignment horizontal="justify" vertical="center" wrapText="1"/>
    </xf>
    <xf numFmtId="0" fontId="144" fillId="0" borderId="284" xfId="0" applyFont="1" applyBorder="1" applyAlignment="1">
      <alignment horizontal="justify" vertical="center" wrapText="1"/>
    </xf>
    <xf numFmtId="0" fontId="144" fillId="0" borderId="54" xfId="0" applyFont="1" applyBorder="1" applyAlignment="1">
      <alignment horizontal="justify" vertical="center" wrapText="1"/>
    </xf>
    <xf numFmtId="0" fontId="144" fillId="0" borderId="55" xfId="0" applyFont="1" applyBorder="1" applyAlignment="1">
      <alignment horizontal="justify" vertical="center" wrapText="1"/>
    </xf>
    <xf numFmtId="0" fontId="144" fillId="0" borderId="65" xfId="0" applyFont="1" applyBorder="1" applyAlignment="1">
      <alignment horizontal="justify" vertical="center" wrapText="1"/>
    </xf>
    <xf numFmtId="0" fontId="140" fillId="43" borderId="50" xfId="0" applyFont="1" applyFill="1" applyBorder="1" applyAlignment="1">
      <alignment horizontal="center" vertical="center" wrapText="1"/>
    </xf>
    <xf numFmtId="0" fontId="140" fillId="43" borderId="51" xfId="0" applyFont="1" applyFill="1" applyBorder="1" applyAlignment="1">
      <alignment horizontal="center" vertical="center" wrapText="1"/>
    </xf>
    <xf numFmtId="0" fontId="140" fillId="43" borderId="5" xfId="0" applyFont="1" applyFill="1" applyBorder="1" applyAlignment="1">
      <alignment horizontal="center" vertical="center" wrapText="1"/>
    </xf>
    <xf numFmtId="0" fontId="140" fillId="43" borderId="6" xfId="0" applyFont="1" applyFill="1" applyBorder="1" applyAlignment="1">
      <alignment horizontal="center" vertical="center" wrapText="1"/>
    </xf>
    <xf numFmtId="0" fontId="140" fillId="43" borderId="7" xfId="0" applyFont="1" applyFill="1" applyBorder="1" applyAlignment="1">
      <alignment horizontal="center" vertical="center" wrapText="1"/>
    </xf>
    <xf numFmtId="0" fontId="144" fillId="0" borderId="3" xfId="0" applyFont="1" applyBorder="1" applyAlignment="1">
      <alignment horizontal="left" vertical="center" wrapText="1"/>
    </xf>
    <xf numFmtId="0" fontId="144" fillId="0" borderId="0" xfId="0" applyFont="1" applyAlignment="1">
      <alignment horizontal="left" vertical="center" wrapText="1"/>
    </xf>
    <xf numFmtId="0" fontId="140" fillId="38" borderId="3" xfId="0" applyFont="1" applyFill="1" applyBorder="1" applyAlignment="1">
      <alignment horizontal="center" vertical="center" wrapText="1"/>
    </xf>
    <xf numFmtId="0" fontId="140" fillId="38" borderId="0" xfId="0" applyFont="1" applyFill="1" applyAlignment="1">
      <alignment horizontal="center" vertical="center" wrapText="1"/>
    </xf>
    <xf numFmtId="0" fontId="140" fillId="38" borderId="4" xfId="0" applyFont="1" applyFill="1" applyBorder="1" applyAlignment="1">
      <alignment horizontal="center" vertical="center" wrapText="1"/>
    </xf>
    <xf numFmtId="0" fontId="140" fillId="43" borderId="54" xfId="0" applyFont="1" applyFill="1" applyBorder="1" applyAlignment="1">
      <alignment horizontal="center" vertical="center" wrapText="1"/>
    </xf>
    <xf numFmtId="0" fontId="140" fillId="43" borderId="55" xfId="0" applyFont="1" applyFill="1" applyBorder="1" applyAlignment="1">
      <alignment horizontal="center" vertical="center" wrapText="1"/>
    </xf>
    <xf numFmtId="0" fontId="140" fillId="43" borderId="65" xfId="0" applyFont="1" applyFill="1" applyBorder="1" applyAlignment="1">
      <alignment horizontal="center" vertical="center" wrapText="1"/>
    </xf>
    <xf numFmtId="0" fontId="144" fillId="0" borderId="72" xfId="0" applyFont="1" applyBorder="1" applyAlignment="1">
      <alignment horizontal="center" vertical="center" wrapText="1"/>
    </xf>
    <xf numFmtId="0" fontId="144" fillId="0" borderId="17" xfId="0" applyFont="1" applyBorder="1" applyAlignment="1">
      <alignment horizontal="center" vertical="center" wrapText="1"/>
    </xf>
    <xf numFmtId="0" fontId="144" fillId="0" borderId="79" xfId="0" applyFont="1" applyBorder="1" applyAlignment="1">
      <alignment horizontal="center" vertical="center" wrapText="1"/>
    </xf>
    <xf numFmtId="0" fontId="144" fillId="0" borderId="95" xfId="0" applyFont="1" applyBorder="1" applyAlignment="1">
      <alignment horizontal="center" vertical="center" wrapText="1"/>
    </xf>
    <xf numFmtId="0" fontId="144" fillId="0" borderId="103" xfId="0" applyFont="1" applyBorder="1" applyAlignment="1">
      <alignment horizontal="center" vertical="center" wrapText="1"/>
    </xf>
    <xf numFmtId="0" fontId="144" fillId="0" borderId="78" xfId="0" applyFont="1" applyBorder="1" applyAlignment="1">
      <alignment horizontal="center" vertical="center" wrapText="1"/>
    </xf>
    <xf numFmtId="0" fontId="128" fillId="0" borderId="95" xfId="0" applyFont="1" applyBorder="1" applyAlignment="1">
      <alignment vertical="center" wrapText="1"/>
    </xf>
    <xf numFmtId="0" fontId="144" fillId="0" borderId="5" xfId="0" applyFont="1" applyBorder="1" applyAlignment="1">
      <alignment horizontal="justify" vertical="center" wrapText="1"/>
    </xf>
    <xf numFmtId="0" fontId="144" fillId="0" borderId="6" xfId="0" applyFont="1" applyBorder="1" applyAlignment="1">
      <alignment horizontal="justify" vertical="center" wrapText="1"/>
    </xf>
    <xf numFmtId="0" fontId="128" fillId="0" borderId="72" xfId="0" applyFont="1" applyBorder="1" applyAlignment="1">
      <alignment vertical="center" wrapText="1"/>
    </xf>
    <xf numFmtId="0" fontId="144" fillId="0" borderId="4" xfId="0" applyFont="1" applyBorder="1" applyAlignment="1">
      <alignment horizontal="left" vertical="center" wrapText="1"/>
    </xf>
    <xf numFmtId="0" fontId="145" fillId="0" borderId="250" xfId="0" applyFont="1" applyBorder="1" applyAlignment="1">
      <alignment horizontal="left" vertical="center" wrapText="1"/>
    </xf>
    <xf numFmtId="0" fontId="143" fillId="0" borderId="280" xfId="0" applyFont="1" applyBorder="1" applyAlignment="1">
      <alignment horizontal="left" vertical="center" wrapText="1"/>
    </xf>
    <xf numFmtId="0" fontId="143" fillId="0" borderId="284" xfId="0" applyFont="1" applyBorder="1" applyAlignment="1">
      <alignment horizontal="left" vertical="center" wrapText="1"/>
    </xf>
    <xf numFmtId="0" fontId="145" fillId="0" borderId="298" xfId="0" applyFont="1" applyBorder="1" applyAlignment="1">
      <alignment horizontal="left" vertical="center" wrapText="1"/>
    </xf>
    <xf numFmtId="0" fontId="145" fillId="0" borderId="299" xfId="0" applyFont="1" applyBorder="1" applyAlignment="1">
      <alignment horizontal="left" vertical="center" wrapText="1"/>
    </xf>
    <xf numFmtId="0" fontId="145" fillId="0" borderId="300" xfId="0" applyFont="1" applyBorder="1" applyAlignment="1">
      <alignment horizontal="left" vertical="center" wrapText="1"/>
    </xf>
    <xf numFmtId="0" fontId="145" fillId="0" borderId="5" xfId="0" applyFont="1" applyBorder="1" applyAlignment="1">
      <alignment horizontal="left" vertical="center" wrapText="1"/>
    </xf>
    <xf numFmtId="0" fontId="145" fillId="0" borderId="6" xfId="0" applyFont="1" applyBorder="1" applyAlignment="1">
      <alignment horizontal="left" vertical="center" wrapText="1"/>
    </xf>
    <xf numFmtId="0" fontId="145" fillId="0" borderId="7" xfId="0" applyFont="1" applyBorder="1" applyAlignment="1">
      <alignment horizontal="left" vertical="center" wrapText="1"/>
    </xf>
    <xf numFmtId="0" fontId="144" fillId="0" borderId="131" xfId="0" applyFont="1" applyBorder="1" applyAlignment="1">
      <alignment horizontal="center" vertical="center" wrapText="1"/>
    </xf>
    <xf numFmtId="0" fontId="141" fillId="0" borderId="72" xfId="0" applyFont="1" applyBorder="1" applyAlignment="1">
      <alignment horizontal="justify" vertical="center" wrapText="1"/>
    </xf>
    <xf numFmtId="0" fontId="145" fillId="0" borderId="72" xfId="0" applyFont="1" applyBorder="1" applyAlignment="1">
      <alignment horizontal="justify" vertical="center" wrapText="1"/>
    </xf>
    <xf numFmtId="0" fontId="144" fillId="0" borderId="101" xfId="0" applyFont="1" applyBorder="1" applyAlignment="1">
      <alignment horizontal="center" vertical="center" wrapText="1"/>
    </xf>
    <xf numFmtId="0" fontId="144" fillId="0" borderId="77" xfId="0" applyFont="1" applyBorder="1" applyAlignment="1">
      <alignment horizontal="center" vertical="center" wrapText="1"/>
    </xf>
    <xf numFmtId="0" fontId="144" fillId="0" borderId="72" xfId="0" applyFont="1" applyBorder="1" applyAlignment="1">
      <alignment horizontal="justify" vertical="center" wrapText="1"/>
    </xf>
    <xf numFmtId="0" fontId="144" fillId="0" borderId="17" xfId="0" applyFont="1" applyBorder="1" applyAlignment="1">
      <alignment horizontal="justify" vertical="center" wrapText="1"/>
    </xf>
    <xf numFmtId="0" fontId="144" fillId="0" borderId="79" xfId="0" applyFont="1" applyBorder="1" applyAlignment="1">
      <alignment horizontal="justify" vertical="center" wrapText="1"/>
    </xf>
    <xf numFmtId="0" fontId="143" fillId="0" borderId="72" xfId="0" applyFont="1" applyBorder="1" applyAlignment="1">
      <alignment horizontal="justify" vertical="center" wrapText="1"/>
    </xf>
    <xf numFmtId="0" fontId="143" fillId="0" borderId="17" xfId="0" applyFont="1" applyBorder="1" applyAlignment="1">
      <alignment horizontal="justify" vertical="center" wrapText="1"/>
    </xf>
    <xf numFmtId="0" fontId="143" fillId="0" borderId="79" xfId="0" applyFont="1" applyBorder="1" applyAlignment="1">
      <alignment horizontal="justify" vertical="center" wrapText="1"/>
    </xf>
    <xf numFmtId="0" fontId="128" fillId="0" borderId="94" xfId="0" applyFont="1" applyBorder="1" applyAlignment="1">
      <alignment vertical="center" wrapText="1"/>
    </xf>
    <xf numFmtId="0" fontId="144" fillId="0" borderId="93" xfId="0" applyFont="1" applyBorder="1" applyAlignment="1">
      <alignment horizontal="center" vertical="center" wrapText="1"/>
    </xf>
    <xf numFmtId="0" fontId="144" fillId="0" borderId="91" xfId="0" applyFont="1" applyBorder="1" applyAlignment="1">
      <alignment horizontal="center" vertical="center" wrapText="1"/>
    </xf>
    <xf numFmtId="0" fontId="141" fillId="0" borderId="93" xfId="0" applyFont="1" applyBorder="1" applyAlignment="1">
      <alignment horizontal="justify" vertical="center" wrapText="1"/>
    </xf>
    <xf numFmtId="0" fontId="145" fillId="0" borderId="93" xfId="0" applyFont="1" applyBorder="1" applyAlignment="1">
      <alignment horizontal="justify" vertical="center" wrapText="1"/>
    </xf>
    <xf numFmtId="0" fontId="128" fillId="0" borderId="93" xfId="0" applyFont="1" applyBorder="1" applyAlignment="1">
      <alignment vertical="center" wrapText="1"/>
    </xf>
    <xf numFmtId="0" fontId="128" fillId="0" borderId="0" xfId="0" applyFont="1" applyAlignment="1">
      <alignment vertical="center"/>
    </xf>
    <xf numFmtId="0" fontId="142" fillId="43" borderId="85" xfId="0" applyFont="1" applyFill="1" applyBorder="1" applyAlignment="1">
      <alignment horizontal="center" vertical="center" wrapText="1"/>
    </xf>
    <xf numFmtId="0" fontId="142" fillId="43" borderId="84" xfId="0" applyFont="1" applyFill="1" applyBorder="1" applyAlignment="1">
      <alignment horizontal="center" vertical="center" wrapText="1"/>
    </xf>
    <xf numFmtId="0" fontId="142" fillId="43" borderId="50" xfId="0" applyFont="1" applyFill="1" applyBorder="1" applyAlignment="1">
      <alignment horizontal="center" vertical="center" wrapText="1"/>
    </xf>
    <xf numFmtId="0" fontId="142" fillId="43" borderId="41" xfId="0" applyFont="1" applyFill="1" applyBorder="1" applyAlignment="1">
      <alignment horizontal="center" vertical="center" wrapText="1"/>
    </xf>
    <xf numFmtId="0" fontId="142" fillId="43" borderId="5" xfId="0" applyFont="1" applyFill="1" applyBorder="1" applyAlignment="1">
      <alignment horizontal="center" vertical="center" wrapText="1"/>
    </xf>
    <xf numFmtId="0" fontId="142" fillId="43" borderId="7" xfId="0" applyFont="1" applyFill="1" applyBorder="1" applyAlignment="1">
      <alignment horizontal="center" vertical="center" wrapText="1"/>
    </xf>
    <xf numFmtId="0" fontId="140" fillId="43" borderId="3" xfId="0" applyFont="1" applyFill="1" applyBorder="1" applyAlignment="1">
      <alignment horizontal="center" vertical="center" wrapText="1"/>
    </xf>
    <xf numFmtId="0" fontId="140" fillId="43" borderId="0" xfId="0" applyFont="1" applyFill="1" applyAlignment="1">
      <alignment horizontal="center" vertical="center" wrapText="1"/>
    </xf>
    <xf numFmtId="0" fontId="140" fillId="43" borderId="4" xfId="0" applyFont="1" applyFill="1" applyBorder="1" applyAlignment="1">
      <alignment horizontal="center" vertical="center" wrapText="1"/>
    </xf>
    <xf numFmtId="0" fontId="34" fillId="0" borderId="301" xfId="0" applyFont="1" applyBorder="1" applyAlignment="1">
      <alignment horizontal="center" vertical="center" wrapText="1"/>
    </xf>
    <xf numFmtId="14" fontId="29" fillId="0" borderId="302" xfId="0" applyNumberFormat="1" applyFont="1" applyBorder="1" applyAlignment="1">
      <alignment horizontal="center" vertical="center" wrapText="1"/>
    </xf>
    <xf numFmtId="0" fontId="29" fillId="0" borderId="302" xfId="0" applyFont="1" applyBorder="1" applyAlignment="1">
      <alignment horizontal="center" vertical="center" wrapText="1"/>
    </xf>
    <xf numFmtId="0" fontId="29" fillId="0" borderId="303" xfId="0" applyFont="1" applyBorder="1" applyAlignment="1">
      <alignment horizontal="center" vertical="center" wrapText="1"/>
    </xf>
    <xf numFmtId="0" fontId="133" fillId="0" borderId="155" xfId="0" applyFont="1" applyBorder="1" applyAlignment="1">
      <alignment horizontal="center" vertical="center"/>
    </xf>
    <xf numFmtId="0" fontId="157" fillId="45" borderId="314" xfId="0" applyFont="1" applyFill="1" applyBorder="1" applyAlignment="1">
      <alignment vertical="center"/>
    </xf>
    <xf numFmtId="8" fontId="131" fillId="0" borderId="314" xfId="0" applyNumberFormat="1" applyFont="1" applyBorder="1" applyAlignment="1">
      <alignment vertical="center"/>
    </xf>
    <xf numFmtId="0" fontId="130" fillId="0" borderId="314" xfId="0" applyFont="1" applyBorder="1" applyAlignment="1">
      <alignment vertical="center"/>
    </xf>
    <xf numFmtId="0" fontId="29" fillId="0" borderId="314" xfId="0" applyFont="1" applyBorder="1" applyAlignment="1">
      <alignment vertical="center"/>
    </xf>
    <xf numFmtId="0" fontId="154" fillId="0" borderId="314" xfId="0" applyFont="1" applyBorder="1" applyAlignment="1">
      <alignment vertical="center"/>
    </xf>
    <xf numFmtId="0" fontId="129" fillId="40" borderId="85" xfId="0" applyFont="1" applyFill="1" applyBorder="1" applyAlignment="1">
      <alignment horizontal="center" vertical="center" wrapText="1"/>
    </xf>
    <xf numFmtId="0" fontId="129" fillId="40" borderId="84" xfId="0" applyFont="1" applyFill="1" applyBorder="1" applyAlignment="1">
      <alignment horizontal="center" vertical="center" wrapText="1"/>
    </xf>
    <xf numFmtId="0" fontId="129" fillId="40" borderId="85" xfId="0" applyFont="1" applyFill="1" applyBorder="1" applyAlignment="1">
      <alignment horizontal="center" vertical="center"/>
    </xf>
    <xf numFmtId="0" fontId="129" fillId="40" borderId="84" xfId="0" applyFont="1" applyFill="1" applyBorder="1" applyAlignment="1">
      <alignment horizontal="center" vertical="center"/>
    </xf>
    <xf numFmtId="0" fontId="132" fillId="0" borderId="276" xfId="0" applyFont="1" applyBorder="1" applyAlignment="1">
      <alignment horizontal="center" vertical="center" wrapText="1"/>
    </xf>
    <xf numFmtId="0" fontId="3" fillId="0" borderId="72" xfId="0" applyFont="1" applyBorder="1" applyAlignment="1">
      <alignment horizontal="center"/>
    </xf>
    <xf numFmtId="0" fontId="3" fillId="3" borderId="72" xfId="0" applyFont="1" applyFill="1" applyBorder="1" applyAlignment="1">
      <alignment horizontal="center"/>
    </xf>
    <xf numFmtId="0" fontId="3" fillId="3" borderId="20" xfId="0" applyFont="1" applyFill="1" applyBorder="1" applyAlignment="1">
      <alignment horizontal="left" vertical="center" wrapText="1"/>
    </xf>
    <xf numFmtId="0" fontId="3" fillId="3" borderId="21" xfId="0" applyFont="1" applyFill="1" applyBorder="1" applyAlignment="1">
      <alignment horizontal="left" vertical="center" wrapText="1"/>
    </xf>
    <xf numFmtId="0" fontId="3" fillId="3" borderId="15" xfId="0" applyFont="1" applyFill="1" applyBorder="1" applyAlignment="1">
      <alignment horizontal="left" vertical="center" wrapText="1"/>
    </xf>
    <xf numFmtId="0" fontId="3" fillId="3" borderId="25" xfId="0" applyFont="1" applyFill="1" applyBorder="1" applyAlignment="1">
      <alignment horizontal="left" vertical="center" wrapText="1"/>
    </xf>
    <xf numFmtId="0" fontId="8" fillId="0" borderId="15" xfId="0" applyFont="1" applyBorder="1" applyAlignment="1" applyProtection="1">
      <alignment horizontal="left" vertical="center" wrapText="1"/>
      <protection locked="0"/>
    </xf>
    <xf numFmtId="0" fontId="8" fillId="0" borderId="0" xfId="0" applyFont="1" applyAlignment="1" applyProtection="1">
      <alignment horizontal="left" vertical="center" wrapText="1"/>
      <protection locked="0"/>
    </xf>
    <xf numFmtId="0" fontId="9" fillId="3" borderId="11" xfId="0" applyFont="1" applyFill="1" applyBorder="1" applyAlignment="1">
      <alignment horizontal="left"/>
    </xf>
    <xf numFmtId="0" fontId="9" fillId="3" borderId="13" xfId="0" applyFont="1" applyFill="1" applyBorder="1" applyAlignment="1">
      <alignment horizontal="left"/>
    </xf>
    <xf numFmtId="0" fontId="9" fillId="3" borderId="29" xfId="0" applyFont="1" applyFill="1" applyBorder="1" applyAlignment="1">
      <alignment horizontal="left"/>
    </xf>
    <xf numFmtId="0" fontId="44" fillId="6" borderId="90" xfId="0" applyFont="1" applyFill="1" applyBorder="1" applyAlignment="1">
      <alignment horizontal="left" vertical="center"/>
    </xf>
    <xf numFmtId="0" fontId="44" fillId="6" borderId="66" xfId="0" applyFont="1" applyFill="1" applyBorder="1" applyAlignment="1">
      <alignment horizontal="left" vertical="center"/>
    </xf>
    <xf numFmtId="0" fontId="23" fillId="6" borderId="0" xfId="0" applyFont="1" applyFill="1" applyAlignment="1">
      <alignment horizontal="center" vertical="center" wrapText="1"/>
    </xf>
    <xf numFmtId="0" fontId="23" fillId="6" borderId="0" xfId="0" applyFont="1" applyFill="1" applyAlignment="1">
      <alignment horizontal="center"/>
    </xf>
    <xf numFmtId="0" fontId="6" fillId="2" borderId="72" xfId="0" applyFont="1" applyFill="1" applyBorder="1" applyAlignment="1">
      <alignment horizontal="left"/>
    </xf>
    <xf numFmtId="0" fontId="42" fillId="2" borderId="0" xfId="0" applyFont="1" applyFill="1" applyAlignment="1">
      <alignment horizontal="center" vertical="center" wrapText="1"/>
    </xf>
    <xf numFmtId="0" fontId="13" fillId="2" borderId="0" xfId="0" applyFont="1" applyFill="1" applyAlignment="1">
      <alignment horizontal="center" vertical="center" wrapText="1"/>
    </xf>
    <xf numFmtId="49" fontId="6" fillId="2" borderId="0" xfId="0" applyNumberFormat="1" applyFont="1" applyFill="1" applyAlignment="1">
      <alignment horizontal="left"/>
    </xf>
    <xf numFmtId="0" fontId="11" fillId="0" borderId="0" xfId="0" applyFont="1" applyAlignment="1" applyProtection="1">
      <alignment horizontal="left" vertical="center" wrapText="1"/>
      <protection locked="0"/>
    </xf>
    <xf numFmtId="49" fontId="3" fillId="10" borderId="85" xfId="0" applyNumberFormat="1" applyFont="1" applyFill="1" applyBorder="1" applyAlignment="1">
      <alignment horizontal="center" textRotation="90" wrapText="1"/>
    </xf>
    <xf numFmtId="49" fontId="3" fillId="10" borderId="84" xfId="0" applyNumberFormat="1" applyFont="1" applyFill="1" applyBorder="1" applyAlignment="1">
      <alignment horizontal="center" textRotation="90" wrapText="1"/>
    </xf>
    <xf numFmtId="4" fontId="6" fillId="2" borderId="72" xfId="0" applyNumberFormat="1" applyFont="1" applyFill="1" applyBorder="1" applyAlignment="1">
      <alignment horizontal="left"/>
    </xf>
    <xf numFmtId="0" fontId="14" fillId="10" borderId="50" xfId="0" applyFont="1" applyFill="1" applyBorder="1" applyAlignment="1">
      <alignment horizontal="center" vertical="center"/>
    </xf>
    <xf numFmtId="0" fontId="14" fillId="10" borderId="51" xfId="0" applyFont="1" applyFill="1" applyBorder="1" applyAlignment="1">
      <alignment horizontal="center" vertical="center"/>
    </xf>
    <xf numFmtId="0" fontId="14" fillId="10" borderId="41" xfId="0" applyFont="1" applyFill="1" applyBorder="1" applyAlignment="1">
      <alignment horizontal="center" vertical="center"/>
    </xf>
    <xf numFmtId="0" fontId="14" fillId="10" borderId="5" xfId="0" applyFont="1" applyFill="1" applyBorder="1" applyAlignment="1">
      <alignment horizontal="center" vertical="center"/>
    </xf>
    <xf numFmtId="0" fontId="14" fillId="10" borderId="6" xfId="0" applyFont="1" applyFill="1" applyBorder="1" applyAlignment="1">
      <alignment horizontal="center" vertical="center"/>
    </xf>
    <xf numFmtId="0" fontId="14" fillId="10" borderId="7" xfId="0" applyFont="1" applyFill="1" applyBorder="1" applyAlignment="1">
      <alignment horizontal="center" vertical="center"/>
    </xf>
    <xf numFmtId="171" fontId="14" fillId="10" borderId="85" xfId="0" applyNumberFormat="1" applyFont="1" applyFill="1" applyBorder="1" applyAlignment="1">
      <alignment horizontal="center" vertical="center" wrapText="1"/>
    </xf>
    <xf numFmtId="171" fontId="14" fillId="10" borderId="84" xfId="0" applyNumberFormat="1" applyFont="1" applyFill="1" applyBorder="1" applyAlignment="1">
      <alignment horizontal="center" vertical="center" wrapText="1"/>
    </xf>
    <xf numFmtId="4" fontId="14" fillId="10" borderId="85" xfId="0" applyNumberFormat="1" applyFont="1" applyFill="1" applyBorder="1" applyAlignment="1">
      <alignment horizontal="center" vertical="center" wrapText="1"/>
    </xf>
    <xf numFmtId="4" fontId="14" fillId="10" borderId="84" xfId="0" applyNumberFormat="1" applyFont="1" applyFill="1" applyBorder="1" applyAlignment="1">
      <alignment horizontal="center" vertical="center" wrapText="1"/>
    </xf>
    <xf numFmtId="0" fontId="31" fillId="3" borderId="73" xfId="0" applyFont="1" applyFill="1" applyBorder="1" applyAlignment="1">
      <alignment horizontal="center" vertical="center" wrapText="1"/>
    </xf>
    <xf numFmtId="0" fontId="31" fillId="14" borderId="91" xfId="0" applyFont="1" applyFill="1" applyBorder="1" applyAlignment="1">
      <alignment horizontal="center" vertical="center" textRotation="90" wrapText="1"/>
    </xf>
    <xf numFmtId="0" fontId="31" fillId="14" borderId="131" xfId="0" applyFont="1" applyFill="1" applyBorder="1" applyAlignment="1">
      <alignment horizontal="center" vertical="center" textRotation="90" wrapText="1"/>
    </xf>
    <xf numFmtId="0" fontId="2" fillId="3" borderId="85" xfId="0" applyFont="1" applyFill="1" applyBorder="1" applyAlignment="1">
      <alignment horizontal="center" vertical="center" wrapText="1"/>
    </xf>
    <xf numFmtId="0" fontId="2" fillId="3" borderId="84" xfId="0" applyFont="1" applyFill="1" applyBorder="1" applyAlignment="1">
      <alignment horizontal="center" vertical="center" wrapText="1"/>
    </xf>
    <xf numFmtId="0" fontId="2" fillId="3" borderId="131" xfId="0" applyFont="1" applyFill="1" applyBorder="1" applyAlignment="1">
      <alignment horizontal="center" vertical="center"/>
    </xf>
    <xf numFmtId="0" fontId="0" fillId="3" borderId="131" xfId="0" applyFill="1" applyBorder="1" applyAlignment="1">
      <alignment horizontal="center" vertical="center"/>
    </xf>
    <xf numFmtId="0" fontId="0" fillId="3" borderId="77" xfId="0" applyFill="1" applyBorder="1" applyAlignment="1">
      <alignment horizontal="center" vertical="center"/>
    </xf>
    <xf numFmtId="0" fontId="59" fillId="11" borderId="93" xfId="0" applyFont="1" applyFill="1" applyBorder="1" applyAlignment="1">
      <alignment horizontal="center" vertical="justify"/>
    </xf>
    <xf numFmtId="0" fontId="59" fillId="11" borderId="72" xfId="0" applyFont="1" applyFill="1" applyBorder="1" applyAlignment="1">
      <alignment horizontal="center" vertical="justify"/>
    </xf>
    <xf numFmtId="0" fontId="17" fillId="6" borderId="72" xfId="0" applyFont="1" applyFill="1" applyBorder="1" applyAlignment="1">
      <alignment horizontal="left" vertical="center" wrapText="1"/>
    </xf>
    <xf numFmtId="0" fontId="17" fillId="6" borderId="79" xfId="0" applyFont="1" applyFill="1" applyBorder="1" applyAlignment="1">
      <alignment horizontal="left" vertical="center" wrapText="1"/>
    </xf>
    <xf numFmtId="0" fontId="9" fillId="16" borderId="54" xfId="0" applyFont="1" applyFill="1" applyBorder="1" applyAlignment="1">
      <alignment horizontal="left"/>
    </xf>
    <xf numFmtId="0" fontId="9" fillId="16" borderId="55" xfId="0" applyFont="1" applyFill="1" applyBorder="1" applyAlignment="1">
      <alignment horizontal="left"/>
    </xf>
    <xf numFmtId="0" fontId="9" fillId="16" borderId="65" xfId="0" applyFont="1" applyFill="1" applyBorder="1" applyAlignment="1">
      <alignment horizontal="left"/>
    </xf>
    <xf numFmtId="0" fontId="24" fillId="6" borderId="6" xfId="0" applyFont="1" applyFill="1" applyBorder="1" applyAlignment="1">
      <alignment horizontal="left"/>
    </xf>
    <xf numFmtId="4" fontId="17" fillId="9" borderId="93" xfId="0" applyNumberFormat="1" applyFont="1" applyFill="1" applyBorder="1" applyAlignment="1">
      <alignment horizontal="center" vertical="center"/>
    </xf>
    <xf numFmtId="4" fontId="17" fillId="9" borderId="72" xfId="0" applyNumberFormat="1" applyFont="1" applyFill="1" applyBorder="1" applyAlignment="1">
      <alignment horizontal="center" vertical="center"/>
    </xf>
    <xf numFmtId="0" fontId="17" fillId="9" borderId="93" xfId="0" applyFont="1" applyFill="1" applyBorder="1" applyAlignment="1">
      <alignment horizontal="center" vertical="center"/>
    </xf>
    <xf numFmtId="0" fontId="17" fillId="9" borderId="72" xfId="0" applyFont="1" applyFill="1" applyBorder="1" applyAlignment="1">
      <alignment horizontal="center" vertical="center"/>
    </xf>
    <xf numFmtId="0" fontId="59" fillId="11" borderId="94" xfId="0" applyFont="1" applyFill="1" applyBorder="1" applyAlignment="1">
      <alignment horizontal="center" vertical="justify"/>
    </xf>
    <xf numFmtId="0" fontId="59" fillId="11" borderId="95" xfId="0" applyFont="1" applyFill="1" applyBorder="1" applyAlignment="1">
      <alignment horizontal="center" vertical="justify"/>
    </xf>
    <xf numFmtId="16" fontId="63" fillId="6" borderId="17" xfId="0" applyNumberFormat="1" applyFont="1" applyFill="1" applyBorder="1" applyAlignment="1">
      <alignment horizontal="center" vertical="center"/>
    </xf>
    <xf numFmtId="16" fontId="63" fillId="6" borderId="8" xfId="0" applyNumberFormat="1" applyFont="1" applyFill="1" applyBorder="1" applyAlignment="1">
      <alignment horizontal="center" vertical="center"/>
    </xf>
    <xf numFmtId="0" fontId="43" fillId="6" borderId="0" xfId="0" applyFont="1" applyFill="1" applyAlignment="1">
      <alignment horizontal="justify" vertical="justify"/>
    </xf>
    <xf numFmtId="0" fontId="76" fillId="6" borderId="0" xfId="0" applyFont="1" applyFill="1" applyAlignment="1">
      <alignment horizontal="center"/>
    </xf>
    <xf numFmtId="0" fontId="63" fillId="6" borderId="17" xfId="0" quotePrefix="1" applyFont="1" applyFill="1" applyBorder="1" applyAlignment="1">
      <alignment horizontal="left" vertical="center" wrapText="1"/>
    </xf>
    <xf numFmtId="0" fontId="63" fillId="6" borderId="150" xfId="0" quotePrefix="1" applyFont="1" applyFill="1" applyBorder="1" applyAlignment="1">
      <alignment horizontal="left" vertical="center" wrapText="1"/>
    </xf>
    <xf numFmtId="0" fontId="63" fillId="6" borderId="87" xfId="0" quotePrefix="1" applyFont="1" applyFill="1" applyBorder="1" applyAlignment="1">
      <alignment horizontal="left" vertical="center" wrapText="1"/>
    </xf>
    <xf numFmtId="0" fontId="43" fillId="6" borderId="0" xfId="0" applyFont="1" applyFill="1" applyAlignment="1">
      <alignment horizontal="center"/>
    </xf>
    <xf numFmtId="0" fontId="63" fillId="6" borderId="74" xfId="0" applyFont="1" applyFill="1" applyBorder="1" applyAlignment="1">
      <alignment horizontal="center" vertical="center" wrapText="1"/>
    </xf>
    <xf numFmtId="0" fontId="63" fillId="6" borderId="76" xfId="0" applyFont="1" applyFill="1" applyBorder="1" applyAlignment="1">
      <alignment horizontal="center" vertical="center" wrapText="1"/>
    </xf>
    <xf numFmtId="0" fontId="106" fillId="13" borderId="74" xfId="0" applyFont="1" applyFill="1" applyBorder="1" applyAlignment="1">
      <alignment horizontal="center" vertical="center"/>
    </xf>
    <xf numFmtId="0" fontId="106" fillId="13" borderId="98" xfId="0" applyFont="1" applyFill="1" applyBorder="1" applyAlignment="1">
      <alignment horizontal="center" vertical="center"/>
    </xf>
    <xf numFmtId="0" fontId="106" fillId="13" borderId="75" xfId="0" applyFont="1" applyFill="1" applyBorder="1" applyAlignment="1">
      <alignment horizontal="center" vertical="center"/>
    </xf>
    <xf numFmtId="0" fontId="106" fillId="13" borderId="73" xfId="0" applyFont="1" applyFill="1" applyBorder="1" applyAlignment="1">
      <alignment horizontal="center" vertical="center"/>
    </xf>
    <xf numFmtId="0" fontId="106" fillId="13" borderId="76" xfId="0" applyFont="1" applyFill="1" applyBorder="1" applyAlignment="1">
      <alignment horizontal="center" vertical="center"/>
    </xf>
    <xf numFmtId="0" fontId="106" fillId="13" borderId="99" xfId="0" applyFont="1" applyFill="1" applyBorder="1" applyAlignment="1">
      <alignment horizontal="center" vertical="center"/>
    </xf>
    <xf numFmtId="0" fontId="106" fillId="3" borderId="74" xfId="0" applyFont="1" applyFill="1" applyBorder="1" applyAlignment="1">
      <alignment horizontal="center" vertical="center" wrapText="1"/>
    </xf>
    <xf numFmtId="0" fontId="106" fillId="3" borderId="98" xfId="0" applyFont="1" applyFill="1" applyBorder="1" applyAlignment="1">
      <alignment horizontal="center" vertical="center" wrapText="1"/>
    </xf>
    <xf numFmtId="0" fontId="106" fillId="3" borderId="75" xfId="0" applyFont="1" applyFill="1" applyBorder="1" applyAlignment="1">
      <alignment horizontal="center" vertical="center" wrapText="1"/>
    </xf>
    <xf numFmtId="0" fontId="106" fillId="3" borderId="73" xfId="0" applyFont="1" applyFill="1" applyBorder="1" applyAlignment="1">
      <alignment horizontal="center" vertical="center" wrapText="1"/>
    </xf>
    <xf numFmtId="0" fontId="106" fillId="3" borderId="76" xfId="0" applyFont="1" applyFill="1" applyBorder="1" applyAlignment="1">
      <alignment horizontal="center" vertical="center" wrapText="1"/>
    </xf>
    <xf numFmtId="0" fontId="106" fillId="3" borderId="99" xfId="0" applyFont="1" applyFill="1" applyBorder="1" applyAlignment="1">
      <alignment horizontal="center" vertical="center" wrapText="1"/>
    </xf>
    <xf numFmtId="10" fontId="106" fillId="3" borderId="17" xfId="0" applyNumberFormat="1" applyFont="1" applyFill="1" applyBorder="1" applyAlignment="1">
      <alignment horizontal="center" vertical="center" wrapText="1"/>
    </xf>
    <xf numFmtId="10" fontId="106" fillId="3" borderId="52" xfId="0" applyNumberFormat="1" applyFont="1" applyFill="1" applyBorder="1" applyAlignment="1">
      <alignment horizontal="center" vertical="center" wrapText="1"/>
    </xf>
    <xf numFmtId="10" fontId="106" fillId="3" borderId="8" xfId="0" applyNumberFormat="1" applyFont="1" applyFill="1" applyBorder="1" applyAlignment="1">
      <alignment horizontal="center" vertical="center" wrapText="1"/>
    </xf>
    <xf numFmtId="0" fontId="106" fillId="13" borderId="72" xfId="0" applyFont="1" applyFill="1" applyBorder="1" applyAlignment="1">
      <alignment horizontal="center" vertical="center" wrapText="1"/>
    </xf>
    <xf numFmtId="0" fontId="106" fillId="13" borderId="72" xfId="0" applyFont="1" applyFill="1" applyBorder="1" applyAlignment="1">
      <alignment horizontal="center" wrapText="1"/>
    </xf>
    <xf numFmtId="10" fontId="106" fillId="3" borderId="76" xfId="0" applyNumberFormat="1" applyFont="1" applyFill="1" applyBorder="1" applyAlignment="1">
      <alignment horizontal="center" vertical="center" wrapText="1"/>
    </xf>
    <xf numFmtId="10" fontId="106" fillId="3" borderId="99" xfId="0" applyNumberFormat="1" applyFont="1" applyFill="1" applyBorder="1" applyAlignment="1">
      <alignment horizontal="center" vertical="center" wrapText="1"/>
    </xf>
    <xf numFmtId="0" fontId="106" fillId="3" borderId="151" xfId="0" applyFont="1" applyFill="1" applyBorder="1" applyAlignment="1">
      <alignment horizontal="center" vertical="center" wrapText="1"/>
    </xf>
    <xf numFmtId="0" fontId="31" fillId="9" borderId="85" xfId="0" applyFont="1" applyFill="1" applyBorder="1" applyAlignment="1">
      <alignment horizontal="center" vertical="center"/>
    </xf>
    <xf numFmtId="0" fontId="31" fillId="9" borderId="83" xfId="0" applyFont="1" applyFill="1" applyBorder="1" applyAlignment="1">
      <alignment horizontal="center" vertical="center"/>
    </xf>
    <xf numFmtId="172" fontId="9" fillId="9" borderId="20" xfId="0" applyNumberFormat="1" applyFont="1" applyFill="1" applyBorder="1" applyAlignment="1">
      <alignment horizontal="center"/>
    </xf>
    <xf numFmtId="172" fontId="9" fillId="9" borderId="21" xfId="0" applyNumberFormat="1" applyFont="1" applyFill="1" applyBorder="1" applyAlignment="1">
      <alignment horizontal="center"/>
    </xf>
    <xf numFmtId="0" fontId="14" fillId="3" borderId="58" xfId="0" applyFont="1" applyFill="1" applyBorder="1" applyAlignment="1">
      <alignment horizontal="left" vertical="center"/>
    </xf>
    <xf numFmtId="0" fontId="14" fillId="3" borderId="66" xfId="0" applyFont="1" applyFill="1" applyBorder="1" applyAlignment="1">
      <alignment horizontal="left" vertical="center"/>
    </xf>
    <xf numFmtId="17" fontId="3" fillId="3" borderId="216" xfId="0" applyNumberFormat="1" applyFont="1" applyFill="1" applyBorder="1" applyAlignment="1">
      <alignment horizontal="left" vertical="center"/>
    </xf>
    <xf numFmtId="17" fontId="3" fillId="3" borderId="217" xfId="0" applyNumberFormat="1" applyFont="1" applyFill="1" applyBorder="1" applyAlignment="1">
      <alignment horizontal="left" vertical="center"/>
    </xf>
    <xf numFmtId="17" fontId="3" fillId="3" borderId="179" xfId="0" applyNumberFormat="1" applyFont="1" applyFill="1" applyBorder="1" applyAlignment="1">
      <alignment horizontal="left" vertical="center"/>
    </xf>
    <xf numFmtId="17" fontId="3" fillId="3" borderId="154" xfId="0" applyNumberFormat="1" applyFont="1" applyFill="1" applyBorder="1" applyAlignment="1">
      <alignment horizontal="left" vertical="center"/>
    </xf>
    <xf numFmtId="0" fontId="91" fillId="3" borderId="0" xfId="0" applyFont="1" applyFill="1" applyAlignment="1">
      <alignment horizontal="center" vertical="center"/>
    </xf>
    <xf numFmtId="17" fontId="3" fillId="3" borderId="218" xfId="0" applyNumberFormat="1" applyFont="1" applyFill="1" applyBorder="1" applyAlignment="1">
      <alignment horizontal="left" vertical="center"/>
    </xf>
    <xf numFmtId="17" fontId="3" fillId="3" borderId="219" xfId="0" applyNumberFormat="1" applyFont="1" applyFill="1" applyBorder="1" applyAlignment="1">
      <alignment horizontal="left" vertical="center"/>
    </xf>
    <xf numFmtId="0" fontId="9" fillId="9" borderId="50" xfId="0" applyFont="1" applyFill="1" applyBorder="1" applyAlignment="1">
      <alignment horizontal="center" vertical="center"/>
    </xf>
    <xf numFmtId="0" fontId="9" fillId="9" borderId="107" xfId="0" applyFont="1" applyFill="1" applyBorder="1" applyAlignment="1">
      <alignment horizontal="center" vertical="center"/>
    </xf>
    <xf numFmtId="0" fontId="9" fillId="9" borderId="3" xfId="0" applyFont="1" applyFill="1" applyBorder="1" applyAlignment="1">
      <alignment horizontal="center" vertical="center"/>
    </xf>
    <xf numFmtId="0" fontId="9" fillId="9" borderId="25" xfId="0" applyFont="1" applyFill="1" applyBorder="1" applyAlignment="1">
      <alignment horizontal="center" vertical="center"/>
    </xf>
    <xf numFmtId="0" fontId="0" fillId="9" borderId="90" xfId="0" applyFill="1" applyBorder="1" applyAlignment="1">
      <alignment horizontal="center" vertical="center" wrapText="1"/>
    </xf>
    <xf numFmtId="0" fontId="0" fillId="9" borderId="66" xfId="0" applyFill="1" applyBorder="1" applyAlignment="1">
      <alignment horizontal="center" vertical="center" wrapText="1"/>
    </xf>
    <xf numFmtId="17" fontId="3" fillId="3" borderId="204" xfId="0" applyNumberFormat="1" applyFont="1" applyFill="1" applyBorder="1" applyAlignment="1">
      <alignment horizontal="left" vertical="center"/>
    </xf>
    <xf numFmtId="17" fontId="3" fillId="3" borderId="224" xfId="0" applyNumberFormat="1" applyFont="1" applyFill="1" applyBorder="1" applyAlignment="1">
      <alignment horizontal="left" vertical="center"/>
    </xf>
    <xf numFmtId="172" fontId="9" fillId="9" borderId="23" xfId="0" applyNumberFormat="1" applyFont="1" applyFill="1" applyBorder="1" applyAlignment="1">
      <alignment horizontal="center"/>
    </xf>
    <xf numFmtId="172" fontId="9" fillId="9" borderId="74" xfId="0" applyNumberFormat="1" applyFont="1" applyFill="1" applyBorder="1" applyAlignment="1">
      <alignment horizontal="center"/>
    </xf>
    <xf numFmtId="172" fontId="9" fillId="9" borderId="98" xfId="0" applyNumberFormat="1" applyFont="1" applyFill="1" applyBorder="1" applyAlignment="1">
      <alignment horizontal="center"/>
    </xf>
    <xf numFmtId="4" fontId="9" fillId="9" borderId="40" xfId="0" applyNumberFormat="1" applyFont="1" applyFill="1" applyBorder="1" applyAlignment="1">
      <alignment horizontal="center" vertical="center" wrapText="1"/>
    </xf>
    <xf numFmtId="4" fontId="9" fillId="9" borderId="51" xfId="0" applyNumberFormat="1" applyFont="1" applyFill="1" applyBorder="1" applyAlignment="1">
      <alignment horizontal="center" vertical="center" wrapText="1"/>
    </xf>
    <xf numFmtId="4" fontId="9" fillId="9" borderId="107" xfId="0" applyNumberFormat="1" applyFont="1" applyFill="1" applyBorder="1" applyAlignment="1">
      <alignment horizontal="center" vertical="center" wrapText="1"/>
    </xf>
    <xf numFmtId="4" fontId="9" fillId="9" borderId="1" xfId="0" applyNumberFormat="1" applyFont="1" applyFill="1" applyBorder="1" applyAlignment="1">
      <alignment horizontal="center" vertical="center" wrapText="1"/>
    </xf>
    <xf numFmtId="4" fontId="9" fillId="9" borderId="2" xfId="0" applyNumberFormat="1" applyFont="1" applyFill="1" applyBorder="1" applyAlignment="1">
      <alignment horizontal="center" vertical="center" wrapText="1"/>
    </xf>
    <xf numFmtId="4" fontId="9" fillId="9" borderId="57" xfId="0" applyNumberFormat="1" applyFont="1" applyFill="1" applyBorder="1" applyAlignment="1">
      <alignment horizontal="center" vertical="center" wrapText="1"/>
    </xf>
    <xf numFmtId="4" fontId="9" fillId="9" borderId="222" xfId="0" applyNumberFormat="1" applyFont="1" applyFill="1" applyBorder="1" applyAlignment="1">
      <alignment horizontal="center" vertical="center"/>
    </xf>
    <xf numFmtId="4" fontId="9" fillId="9" borderId="223" xfId="0" applyNumberFormat="1" applyFont="1" applyFill="1" applyBorder="1" applyAlignment="1">
      <alignment horizontal="center" vertical="center"/>
    </xf>
    <xf numFmtId="4" fontId="9" fillId="9" borderId="15" xfId="0" applyNumberFormat="1" applyFont="1" applyFill="1" applyBorder="1" applyAlignment="1">
      <alignment horizontal="center" vertical="center"/>
    </xf>
    <xf numFmtId="4" fontId="9" fillId="9" borderId="0" xfId="0" applyNumberFormat="1" applyFont="1" applyFill="1" applyAlignment="1">
      <alignment horizontal="center" vertical="center"/>
    </xf>
    <xf numFmtId="0" fontId="23" fillId="3" borderId="0" xfId="0" applyFont="1" applyFill="1" applyAlignment="1">
      <alignment horizontal="center"/>
    </xf>
    <xf numFmtId="174" fontId="14" fillId="3" borderId="0" xfId="0" applyNumberFormat="1" applyFont="1" applyFill="1" applyAlignment="1">
      <alignment horizontal="left"/>
    </xf>
    <xf numFmtId="4" fontId="9" fillId="9" borderId="90" xfId="0" applyNumberFormat="1" applyFont="1" applyFill="1" applyBorder="1" applyAlignment="1">
      <alignment horizontal="center" vertical="center"/>
    </xf>
    <xf numFmtId="4" fontId="9" fillId="9" borderId="66" xfId="0" applyNumberFormat="1" applyFont="1" applyFill="1" applyBorder="1" applyAlignment="1">
      <alignment horizontal="center" vertical="center"/>
    </xf>
    <xf numFmtId="4" fontId="0" fillId="3" borderId="90" xfId="0" applyNumberFormat="1" applyFill="1" applyBorder="1" applyAlignment="1">
      <alignment horizontal="center"/>
    </xf>
    <xf numFmtId="4" fontId="0" fillId="3" borderId="66" xfId="0" applyNumberFormat="1" applyFill="1" applyBorder="1" applyAlignment="1">
      <alignment horizontal="center"/>
    </xf>
    <xf numFmtId="0" fontId="9" fillId="3" borderId="0" xfId="0" applyFont="1" applyFill="1" applyAlignment="1">
      <alignment horizontal="left" vertical="justify"/>
    </xf>
    <xf numFmtId="0" fontId="9" fillId="9" borderId="90" xfId="0" applyFont="1" applyFill="1" applyBorder="1" applyAlignment="1">
      <alignment horizontal="center" vertical="center" wrapText="1"/>
    </xf>
    <xf numFmtId="0" fontId="9" fillId="9" borderId="66" xfId="0" applyFont="1" applyFill="1" applyBorder="1" applyAlignment="1">
      <alignment horizontal="center" vertical="center" wrapText="1"/>
    </xf>
    <xf numFmtId="4" fontId="9" fillId="3" borderId="90" xfId="0" applyNumberFormat="1" applyFont="1" applyFill="1" applyBorder="1" applyAlignment="1">
      <alignment horizontal="center" vertical="center"/>
    </xf>
    <xf numFmtId="4" fontId="9" fillId="3" borderId="66" xfId="0" applyNumberFormat="1" applyFont="1" applyFill="1" applyBorder="1" applyAlignment="1">
      <alignment horizontal="center" vertical="center"/>
    </xf>
    <xf numFmtId="0" fontId="18" fillId="3" borderId="0" xfId="0" applyFont="1" applyFill="1" applyAlignment="1">
      <alignment horizontal="center" vertical="center" wrapText="1"/>
    </xf>
    <xf numFmtId="0" fontId="2" fillId="3" borderId="17" xfId="0" applyFont="1" applyFill="1" applyBorder="1" applyAlignment="1">
      <alignment horizontal="center" vertical="center" wrapText="1"/>
    </xf>
    <xf numFmtId="0" fontId="0" fillId="3" borderId="8" xfId="0" applyFill="1" applyBorder="1" applyAlignment="1">
      <alignment horizontal="center" vertical="center" wrapText="1"/>
    </xf>
    <xf numFmtId="4" fontId="9" fillId="3" borderId="90" xfId="0" applyNumberFormat="1" applyFont="1" applyFill="1" applyBorder="1" applyAlignment="1">
      <alignment horizontal="center"/>
    </xf>
    <xf numFmtId="4" fontId="9" fillId="3" borderId="66" xfId="0" applyNumberFormat="1" applyFont="1" applyFill="1" applyBorder="1" applyAlignment="1">
      <alignment horizontal="center"/>
    </xf>
    <xf numFmtId="4" fontId="3" fillId="3" borderId="90" xfId="0" applyNumberFormat="1" applyFont="1" applyFill="1" applyBorder="1" applyAlignment="1">
      <alignment horizontal="center"/>
    </xf>
    <xf numFmtId="4" fontId="3" fillId="3" borderId="66" xfId="0" applyNumberFormat="1" applyFont="1" applyFill="1" applyBorder="1" applyAlignment="1">
      <alignment horizontal="center"/>
    </xf>
    <xf numFmtId="4" fontId="9" fillId="9" borderId="72" xfId="0" applyNumberFormat="1" applyFont="1" applyFill="1" applyBorder="1" applyAlignment="1">
      <alignment horizontal="center" vertical="center"/>
    </xf>
    <xf numFmtId="4" fontId="3" fillId="3" borderId="72" xfId="0" applyNumberFormat="1" applyFont="1" applyFill="1" applyBorder="1" applyAlignment="1">
      <alignment horizontal="center"/>
    </xf>
    <xf numFmtId="4" fontId="9" fillId="3" borderId="72" xfId="0" applyNumberFormat="1" applyFont="1" applyFill="1" applyBorder="1" applyAlignment="1">
      <alignment horizontal="center"/>
    </xf>
    <xf numFmtId="4" fontId="9" fillId="3" borderId="72" xfId="0" applyNumberFormat="1" applyFont="1" applyFill="1" applyBorder="1" applyAlignment="1">
      <alignment horizontal="center" vertical="center"/>
    </xf>
    <xf numFmtId="0" fontId="43" fillId="8" borderId="55" xfId="0" applyFont="1" applyFill="1" applyBorder="1" applyAlignment="1">
      <alignment horizontal="center" vertical="center"/>
    </xf>
    <xf numFmtId="0" fontId="43" fillId="8" borderId="65" xfId="0" applyFont="1" applyFill="1" applyBorder="1" applyAlignment="1">
      <alignment horizontal="center" vertical="center"/>
    </xf>
    <xf numFmtId="4" fontId="44" fillId="3" borderId="0" xfId="0" applyNumberFormat="1" applyFont="1" applyFill="1" applyAlignment="1">
      <alignment horizontal="left"/>
    </xf>
    <xf numFmtId="0" fontId="43" fillId="8" borderId="90" xfId="0" applyFont="1" applyFill="1" applyBorder="1" applyAlignment="1">
      <alignment horizontal="center" vertical="center"/>
    </xf>
    <xf numFmtId="0" fontId="43" fillId="8" borderId="59" xfId="0" applyFont="1" applyFill="1" applyBorder="1" applyAlignment="1">
      <alignment horizontal="center" vertical="center"/>
    </xf>
    <xf numFmtId="0" fontId="43" fillId="8" borderId="66" xfId="0" applyFont="1" applyFill="1" applyBorder="1" applyAlignment="1">
      <alignment horizontal="center" vertical="center"/>
    </xf>
    <xf numFmtId="0" fontId="46" fillId="3" borderId="0" xfId="0" applyFont="1" applyFill="1" applyAlignment="1">
      <alignment horizontal="left" vertical="justify"/>
    </xf>
    <xf numFmtId="0" fontId="43" fillId="3" borderId="50" xfId="0" applyFont="1" applyFill="1" applyBorder="1" applyAlignment="1">
      <alignment horizontal="center" vertical="center" wrapText="1"/>
    </xf>
    <xf numFmtId="0" fontId="43" fillId="3" borderId="51" xfId="0" applyFont="1" applyFill="1" applyBorder="1" applyAlignment="1">
      <alignment horizontal="center" vertical="center" wrapText="1"/>
    </xf>
    <xf numFmtId="0" fontId="43" fillId="3" borderId="41" xfId="0" applyFont="1" applyFill="1" applyBorder="1" applyAlignment="1">
      <alignment horizontal="center" vertical="center" wrapText="1"/>
    </xf>
    <xf numFmtId="0" fontId="43" fillId="3" borderId="3" xfId="0" applyFont="1" applyFill="1" applyBorder="1" applyAlignment="1">
      <alignment horizontal="center" vertical="center" wrapText="1"/>
    </xf>
    <xf numFmtId="0" fontId="43" fillId="3" borderId="0" xfId="0" applyFont="1" applyFill="1" applyAlignment="1">
      <alignment horizontal="center" vertical="center" wrapText="1"/>
    </xf>
    <xf numFmtId="0" fontId="43" fillId="3" borderId="4" xfId="0" applyFont="1" applyFill="1" applyBorder="1" applyAlignment="1">
      <alignment horizontal="center" vertical="center" wrapText="1"/>
    </xf>
    <xf numFmtId="0" fontId="43" fillId="3" borderId="47" xfId="0" applyFont="1" applyFill="1" applyBorder="1" applyAlignment="1">
      <alignment horizontal="center" vertical="center" wrapText="1"/>
    </xf>
    <xf numFmtId="0" fontId="43" fillId="3" borderId="30" xfId="0" applyFont="1" applyFill="1" applyBorder="1" applyAlignment="1">
      <alignment horizontal="center" vertical="center" wrapText="1"/>
    </xf>
    <xf numFmtId="0" fontId="43" fillId="3" borderId="140" xfId="0" applyFont="1" applyFill="1" applyBorder="1" applyAlignment="1">
      <alignment horizontal="center" vertical="center" wrapText="1"/>
    </xf>
    <xf numFmtId="0" fontId="46" fillId="9" borderId="50" xfId="0" applyFont="1" applyFill="1" applyBorder="1" applyAlignment="1">
      <alignment horizontal="center" vertical="center" wrapText="1"/>
    </xf>
    <xf numFmtId="0" fontId="46" fillId="9" borderId="106" xfId="0" applyFont="1" applyFill="1" applyBorder="1" applyAlignment="1">
      <alignment horizontal="center" vertical="center" wrapText="1"/>
    </xf>
    <xf numFmtId="0" fontId="46" fillId="6" borderId="0" xfId="0" applyFont="1" applyFill="1" applyAlignment="1">
      <alignment horizontal="center" vertical="center" wrapText="1"/>
    </xf>
    <xf numFmtId="4" fontId="46" fillId="6" borderId="0" xfId="0" applyNumberFormat="1" applyFont="1" applyFill="1" applyAlignment="1">
      <alignment horizontal="center" vertical="center" wrapText="1"/>
    </xf>
    <xf numFmtId="4" fontId="46" fillId="9" borderId="55" xfId="0" applyNumberFormat="1" applyFont="1" applyFill="1" applyBorder="1" applyAlignment="1">
      <alignment horizontal="center" vertical="center" wrapText="1"/>
    </xf>
    <xf numFmtId="4" fontId="46" fillId="9" borderId="65" xfId="0" applyNumberFormat="1" applyFont="1" applyFill="1" applyBorder="1" applyAlignment="1">
      <alignment horizontal="center" vertical="center" wrapText="1"/>
    </xf>
    <xf numFmtId="4" fontId="46" fillId="9" borderId="54" xfId="0" applyNumberFormat="1" applyFont="1" applyFill="1" applyBorder="1" applyAlignment="1">
      <alignment horizontal="center" vertical="center" wrapText="1"/>
    </xf>
    <xf numFmtId="0" fontId="101" fillId="3" borderId="0" xfId="0" applyFont="1" applyFill="1" applyAlignment="1">
      <alignment horizontal="center" wrapText="1"/>
    </xf>
    <xf numFmtId="0" fontId="43" fillId="3" borderId="0" xfId="0" applyFont="1" applyFill="1" applyAlignment="1">
      <alignment horizontal="center"/>
    </xf>
    <xf numFmtId="0" fontId="46" fillId="3" borderId="0" xfId="0" applyFont="1" applyFill="1" applyAlignment="1">
      <alignment horizontal="justify" vertical="justify"/>
    </xf>
    <xf numFmtId="49" fontId="102" fillId="3" borderId="0" xfId="0" applyNumberFormat="1" applyFont="1" applyFill="1" applyAlignment="1">
      <alignment horizontal="center"/>
    </xf>
    <xf numFmtId="4" fontId="46" fillId="17" borderId="54" xfId="0" applyNumberFormat="1" applyFont="1" applyFill="1" applyBorder="1" applyAlignment="1">
      <alignment horizontal="center" vertical="center" wrapText="1"/>
    </xf>
    <xf numFmtId="4" fontId="46" fillId="17" borderId="65" xfId="0" applyNumberFormat="1" applyFont="1" applyFill="1" applyBorder="1" applyAlignment="1">
      <alignment horizontal="center" vertical="center" wrapText="1"/>
    </xf>
    <xf numFmtId="0" fontId="43" fillId="3" borderId="17" xfId="0" applyFont="1" applyFill="1" applyBorder="1" applyAlignment="1">
      <alignment horizontal="center" vertical="center" wrapText="1"/>
    </xf>
    <xf numFmtId="0" fontId="43" fillId="3" borderId="8" xfId="0" applyFont="1" applyFill="1" applyBorder="1" applyAlignment="1">
      <alignment horizontal="center" vertical="center" wrapText="1"/>
    </xf>
    <xf numFmtId="4" fontId="46" fillId="17" borderId="55" xfId="0" applyNumberFormat="1" applyFont="1" applyFill="1" applyBorder="1" applyAlignment="1">
      <alignment horizontal="center" vertical="center" wrapText="1"/>
    </xf>
    <xf numFmtId="0" fontId="43" fillId="9" borderId="54" xfId="0" applyFont="1" applyFill="1" applyBorder="1" applyAlignment="1">
      <alignment horizontal="center" vertical="center"/>
    </xf>
    <xf numFmtId="0" fontId="43" fillId="9" borderId="55" xfId="0" applyFont="1" applyFill="1" applyBorder="1" applyAlignment="1">
      <alignment horizontal="center" vertical="center"/>
    </xf>
    <xf numFmtId="0" fontId="43" fillId="9" borderId="65" xfId="0" applyFont="1" applyFill="1" applyBorder="1" applyAlignment="1">
      <alignment horizontal="center" vertical="center"/>
    </xf>
    <xf numFmtId="0" fontId="70" fillId="38" borderId="102" xfId="0" applyFont="1" applyFill="1" applyBorder="1" applyAlignment="1">
      <alignment horizontal="center" vertical="center"/>
    </xf>
    <xf numFmtId="0" fontId="70" fillId="38" borderId="98" xfId="0" applyFont="1" applyFill="1" applyBorder="1" applyAlignment="1">
      <alignment horizontal="center" vertical="center"/>
    </xf>
    <xf numFmtId="0" fontId="70" fillId="38" borderId="30" xfId="0" applyFont="1" applyFill="1" applyBorder="1" applyAlignment="1">
      <alignment horizontal="center" vertical="center"/>
    </xf>
    <xf numFmtId="0" fontId="70" fillId="38" borderId="99" xfId="0" applyFont="1" applyFill="1" applyBorder="1" applyAlignment="1">
      <alignment horizontal="center" vertical="center"/>
    </xf>
    <xf numFmtId="0" fontId="70" fillId="38" borderId="186" xfId="0" applyFont="1" applyFill="1" applyBorder="1" applyAlignment="1">
      <alignment horizontal="center" vertical="center"/>
    </xf>
    <xf numFmtId="0" fontId="70" fillId="38" borderId="187" xfId="0" applyFont="1" applyFill="1" applyBorder="1" applyAlignment="1">
      <alignment horizontal="center" vertical="center"/>
    </xf>
    <xf numFmtId="2" fontId="74" fillId="3" borderId="0" xfId="0" applyNumberFormat="1" applyFont="1" applyFill="1" applyAlignment="1">
      <alignment horizontal="justify" vertical="justify"/>
    </xf>
    <xf numFmtId="2" fontId="84" fillId="3" borderId="0" xfId="0" applyNumberFormat="1" applyFont="1" applyFill="1" applyAlignment="1">
      <alignment horizontal="justify" vertical="justify"/>
    </xf>
    <xf numFmtId="0" fontId="50" fillId="6" borderId="0" xfId="0" applyFont="1" applyFill="1" applyAlignment="1">
      <alignment horizontal="center"/>
    </xf>
    <xf numFmtId="0" fontId="84" fillId="6" borderId="0" xfId="0" applyFont="1" applyFill="1" applyAlignment="1">
      <alignment horizontal="center"/>
    </xf>
    <xf numFmtId="49" fontId="43" fillId="3" borderId="0" xfId="0" applyNumberFormat="1" applyFont="1" applyFill="1" applyAlignment="1">
      <alignment horizontal="center"/>
    </xf>
    <xf numFmtId="49" fontId="98" fillId="3" borderId="0" xfId="0" applyNumberFormat="1" applyFont="1" applyFill="1" applyAlignment="1">
      <alignment horizontal="center"/>
    </xf>
    <xf numFmtId="0" fontId="70" fillId="38" borderId="59" xfId="0" applyFont="1" applyFill="1" applyBorder="1" applyAlignment="1">
      <alignment horizontal="center" vertical="center"/>
    </xf>
    <xf numFmtId="0" fontId="70" fillId="38" borderId="17" xfId="0" applyFont="1" applyFill="1" applyBorder="1" applyAlignment="1">
      <alignment horizontal="center" vertical="center"/>
    </xf>
    <xf numFmtId="0" fontId="70" fillId="38" borderId="150" xfId="0" applyFont="1" applyFill="1" applyBorder="1" applyAlignment="1">
      <alignment horizontal="center" vertical="center"/>
    </xf>
    <xf numFmtId="0" fontId="70" fillId="38" borderId="8" xfId="0" applyFont="1" applyFill="1" applyBorder="1" applyAlignment="1">
      <alignment horizontal="center" vertical="center"/>
    </xf>
    <xf numFmtId="0" fontId="70" fillId="38" borderId="98" xfId="0" applyFont="1" applyFill="1" applyBorder="1" applyAlignment="1">
      <alignment horizontal="center" vertical="center" wrapText="1"/>
    </xf>
    <xf numFmtId="0" fontId="70" fillId="38" borderId="73" xfId="0" applyFont="1" applyFill="1" applyBorder="1" applyAlignment="1">
      <alignment horizontal="center" vertical="center" wrapText="1"/>
    </xf>
    <xf numFmtId="0" fontId="70" fillId="38" borderId="99" xfId="0" applyFont="1" applyFill="1" applyBorder="1" applyAlignment="1">
      <alignment horizontal="center" vertical="center" wrapText="1"/>
    </xf>
    <xf numFmtId="0" fontId="70" fillId="38" borderId="74" xfId="0" applyFont="1" applyFill="1" applyBorder="1" applyAlignment="1">
      <alignment horizontal="center" vertical="center"/>
    </xf>
    <xf numFmtId="0" fontId="70" fillId="38" borderId="151" xfId="0" applyFont="1" applyFill="1" applyBorder="1" applyAlignment="1">
      <alignment horizontal="center" vertical="center"/>
    </xf>
    <xf numFmtId="0" fontId="70" fillId="38" borderId="76" xfId="0" applyFont="1" applyFill="1" applyBorder="1" applyAlignment="1">
      <alignment horizontal="center" vertical="center"/>
    </xf>
    <xf numFmtId="49" fontId="102" fillId="3" borderId="0" xfId="0" applyNumberFormat="1" applyFont="1" applyFill="1" applyAlignment="1">
      <alignment horizontal="center" vertical="center"/>
    </xf>
    <xf numFmtId="0" fontId="43" fillId="4" borderId="91" xfId="0" applyFont="1" applyFill="1" applyBorder="1" applyAlignment="1">
      <alignment horizontal="center"/>
    </xf>
    <xf numFmtId="0" fontId="43" fillId="4" borderId="93" xfId="0" applyFont="1" applyFill="1" applyBorder="1" applyAlignment="1">
      <alignment horizontal="center"/>
    </xf>
    <xf numFmtId="0" fontId="43" fillId="4" borderId="94" xfId="0" applyFont="1" applyFill="1" applyBorder="1" applyAlignment="1">
      <alignment horizontal="center"/>
    </xf>
    <xf numFmtId="190" fontId="74" fillId="3" borderId="0" xfId="1" applyNumberFormat="1" applyFont="1" applyFill="1" applyAlignment="1">
      <alignment horizontal="center"/>
    </xf>
    <xf numFmtId="0" fontId="43" fillId="4" borderId="91" xfId="0" applyFont="1" applyFill="1" applyBorder="1" applyAlignment="1">
      <alignment horizontal="left" vertical="center"/>
    </xf>
    <xf numFmtId="0" fontId="43" fillId="4" borderId="77" xfId="0" applyFont="1" applyFill="1" applyBorder="1" applyAlignment="1">
      <alignment horizontal="left" vertical="center"/>
    </xf>
    <xf numFmtId="0" fontId="53" fillId="4" borderId="119" xfId="0" applyFont="1" applyFill="1" applyBorder="1" applyAlignment="1">
      <alignment horizontal="center"/>
    </xf>
    <xf numFmtId="0" fontId="53" fillId="4" borderId="91" xfId="0" applyFont="1" applyFill="1" applyBorder="1" applyAlignment="1">
      <alignment horizontal="center"/>
    </xf>
    <xf numFmtId="0" fontId="53" fillId="4" borderId="93" xfId="0" applyFont="1" applyFill="1" applyBorder="1" applyAlignment="1">
      <alignment horizontal="center"/>
    </xf>
    <xf numFmtId="0" fontId="53" fillId="4" borderId="94" xfId="0" applyFont="1" applyFill="1" applyBorder="1" applyAlignment="1">
      <alignment horizontal="center"/>
    </xf>
    <xf numFmtId="4" fontId="43" fillId="4" borderId="91" xfId="0" applyNumberFormat="1" applyFont="1" applyFill="1" applyBorder="1" applyAlignment="1">
      <alignment horizontal="center"/>
    </xf>
    <xf numFmtId="4" fontId="43" fillId="4" borderId="94" xfId="0" applyNumberFormat="1" applyFont="1" applyFill="1" applyBorder="1" applyAlignment="1">
      <alignment horizontal="center"/>
    </xf>
    <xf numFmtId="166" fontId="74" fillId="3" borderId="0" xfId="1" applyFont="1" applyFill="1" applyAlignment="1">
      <alignment horizontal="center"/>
    </xf>
    <xf numFmtId="0" fontId="83" fillId="6" borderId="3" xfId="0" applyFont="1" applyFill="1" applyBorder="1" applyAlignment="1" applyProtection="1">
      <alignment horizontal="left" vertical="center" wrapText="1"/>
      <protection locked="0"/>
    </xf>
    <xf numFmtId="0" fontId="81" fillId="6" borderId="3" xfId="0" applyFont="1" applyFill="1" applyBorder="1" applyAlignment="1" applyProtection="1">
      <alignment horizontal="left" vertical="center" wrapText="1"/>
      <protection locked="0"/>
    </xf>
    <xf numFmtId="0" fontId="81" fillId="6" borderId="5" xfId="0" applyFont="1" applyFill="1" applyBorder="1" applyAlignment="1" applyProtection="1">
      <alignment horizontal="left" vertical="center" wrapText="1"/>
      <protection locked="0"/>
    </xf>
    <xf numFmtId="49" fontId="103" fillId="3" borderId="0" xfId="0" applyNumberFormat="1" applyFont="1" applyFill="1" applyAlignment="1">
      <alignment horizontal="center"/>
    </xf>
    <xf numFmtId="4" fontId="84" fillId="0" borderId="3" xfId="0" applyNumberFormat="1" applyFont="1" applyBorder="1" applyAlignment="1">
      <alignment horizontal="left"/>
    </xf>
    <xf numFmtId="4" fontId="84" fillId="0" borderId="0" xfId="0" applyNumberFormat="1" applyFont="1" applyAlignment="1">
      <alignment horizontal="left"/>
    </xf>
    <xf numFmtId="0" fontId="92" fillId="0" borderId="6" xfId="0" applyFont="1" applyBorder="1" applyAlignment="1">
      <alignment horizontal="center"/>
    </xf>
    <xf numFmtId="0" fontId="17" fillId="8" borderId="108" xfId="0" applyFont="1" applyFill="1" applyBorder="1" applyAlignment="1">
      <alignment horizontal="center"/>
    </xf>
    <xf numFmtId="0" fontId="17" fillId="8" borderId="14" xfId="0" applyFont="1" applyFill="1" applyBorder="1" applyAlignment="1">
      <alignment horizontal="center"/>
    </xf>
    <xf numFmtId="0" fontId="17" fillId="8" borderId="109" xfId="0" applyFont="1" applyFill="1" applyBorder="1" applyAlignment="1">
      <alignment horizontal="center"/>
    </xf>
    <xf numFmtId="0" fontId="2" fillId="0" borderId="101" xfId="7" applyFont="1" applyBorder="1" applyAlignment="1">
      <alignment horizontal="center" vertical="center" wrapText="1"/>
    </xf>
    <xf numFmtId="0" fontId="2" fillId="0" borderId="67" xfId="7" applyFont="1" applyBorder="1" applyAlignment="1">
      <alignment horizontal="center" vertical="center" wrapText="1"/>
    </xf>
    <xf numFmtId="0" fontId="2" fillId="0" borderId="104" xfId="7" applyFont="1" applyBorder="1" applyAlignment="1">
      <alignment horizontal="center" vertical="center" wrapText="1"/>
    </xf>
    <xf numFmtId="0" fontId="3" fillId="0" borderId="101" xfId="0" applyFont="1" applyBorder="1" applyAlignment="1">
      <alignment horizontal="center" vertical="center"/>
    </xf>
    <xf numFmtId="0" fontId="3" fillId="0" borderId="67" xfId="0" applyFont="1" applyBorder="1" applyAlignment="1">
      <alignment horizontal="center" vertical="center"/>
    </xf>
    <xf numFmtId="0" fontId="3" fillId="0" borderId="104" xfId="0" applyFont="1" applyBorder="1" applyAlignment="1">
      <alignment horizontal="center" vertical="center"/>
    </xf>
    <xf numFmtId="191" fontId="1" fillId="0" borderId="17" xfId="0" applyNumberFormat="1" applyFont="1" applyBorder="1" applyAlignment="1">
      <alignment horizontal="center" vertical="center"/>
    </xf>
    <xf numFmtId="191" fontId="1" fillId="0" borderId="52" xfId="0" applyNumberFormat="1" applyFont="1" applyBorder="1" applyAlignment="1">
      <alignment horizontal="center" vertical="center"/>
    </xf>
    <xf numFmtId="191" fontId="1" fillId="0" borderId="8" xfId="0" applyNumberFormat="1" applyFont="1" applyBorder="1" applyAlignment="1">
      <alignment horizontal="center" vertical="center"/>
    </xf>
    <xf numFmtId="168" fontId="3" fillId="0" borderId="95" xfId="0" applyNumberFormat="1" applyFont="1" applyBorder="1" applyAlignment="1">
      <alignment horizontal="center" vertical="center" wrapText="1"/>
    </xf>
    <xf numFmtId="0" fontId="2" fillId="0" borderId="17" xfId="0" applyFont="1" applyBorder="1" applyAlignment="1">
      <alignment horizontal="center" vertical="center" wrapText="1"/>
    </xf>
    <xf numFmtId="0" fontId="2" fillId="0" borderId="150" xfId="0" applyFont="1" applyBorder="1" applyAlignment="1">
      <alignment horizontal="center" vertical="center" wrapText="1"/>
    </xf>
    <xf numFmtId="0" fontId="2" fillId="0" borderId="8" xfId="0" applyFont="1" applyBorder="1" applyAlignment="1">
      <alignment horizontal="center" vertical="center" wrapText="1"/>
    </xf>
    <xf numFmtId="168" fontId="3" fillId="0" borderId="103" xfId="0" applyNumberFormat="1" applyFont="1" applyBorder="1" applyAlignment="1">
      <alignment horizontal="center" vertical="center" wrapText="1"/>
    </xf>
    <xf numFmtId="168" fontId="3" fillId="0" borderId="68" xfId="0" applyNumberFormat="1" applyFont="1" applyBorder="1" applyAlignment="1">
      <alignment horizontal="center" vertical="center" wrapText="1"/>
    </xf>
    <xf numFmtId="168" fontId="3" fillId="0" borderId="100" xfId="0" applyNumberFormat="1" applyFont="1" applyBorder="1" applyAlignment="1">
      <alignment horizontal="center" vertical="center" wrapText="1"/>
    </xf>
    <xf numFmtId="17" fontId="14" fillId="8" borderId="132" xfId="0" applyNumberFormat="1" applyFont="1" applyFill="1" applyBorder="1" applyAlignment="1">
      <alignment horizontal="center"/>
    </xf>
    <xf numFmtId="0" fontId="14" fillId="8" borderId="32" xfId="0" applyFont="1" applyFill="1" applyBorder="1" applyAlignment="1">
      <alignment horizontal="center"/>
    </xf>
    <xf numFmtId="191" fontId="1" fillId="0" borderId="17" xfId="0" applyNumberFormat="1" applyFont="1" applyBorder="1" applyAlignment="1">
      <alignment horizontal="center" vertical="center" wrapText="1"/>
    </xf>
    <xf numFmtId="191" fontId="1" fillId="0" borderId="52" xfId="0" applyNumberFormat="1" applyFont="1" applyBorder="1" applyAlignment="1">
      <alignment horizontal="center" vertical="center" wrapText="1"/>
    </xf>
    <xf numFmtId="191" fontId="1" fillId="0" borderId="8" xfId="0" applyNumberFormat="1" applyFont="1" applyBorder="1" applyAlignment="1">
      <alignment horizontal="center" vertical="center" wrapText="1"/>
    </xf>
    <xf numFmtId="0" fontId="23" fillId="0" borderId="0" xfId="0" applyFont="1" applyAlignment="1">
      <alignment horizontal="center"/>
    </xf>
    <xf numFmtId="0" fontId="17" fillId="8" borderId="91" xfId="0" applyFont="1" applyFill="1" applyBorder="1" applyAlignment="1">
      <alignment horizontal="center"/>
    </xf>
    <xf numFmtId="0" fontId="17" fillId="8" borderId="94" xfId="0" applyFont="1" applyFill="1" applyBorder="1" applyAlignment="1">
      <alignment horizontal="center"/>
    </xf>
    <xf numFmtId="0" fontId="17" fillId="8" borderId="96" xfId="0" applyFont="1" applyFill="1" applyBorder="1" applyAlignment="1">
      <alignment horizontal="center"/>
    </xf>
    <xf numFmtId="0" fontId="17" fillId="8" borderId="141" xfId="0" applyFont="1" applyFill="1" applyBorder="1" applyAlignment="1">
      <alignment horizontal="center"/>
    </xf>
    <xf numFmtId="0" fontId="17" fillId="8" borderId="97" xfId="0" applyFont="1" applyFill="1" applyBorder="1" applyAlignment="1">
      <alignment horizontal="center"/>
    </xf>
    <xf numFmtId="0" fontId="126" fillId="38" borderId="54" xfId="0" quotePrefix="1" applyFont="1" applyFill="1" applyBorder="1" applyAlignment="1">
      <alignment horizontal="center" vertical="center"/>
    </xf>
    <xf numFmtId="0" fontId="126" fillId="38" borderId="55" xfId="0" applyFont="1" applyFill="1" applyBorder="1" applyAlignment="1">
      <alignment horizontal="center" vertical="center"/>
    </xf>
    <xf numFmtId="0" fontId="126" fillId="38" borderId="65" xfId="0" applyFont="1" applyFill="1" applyBorder="1" applyAlignment="1">
      <alignment horizontal="center" vertical="center"/>
    </xf>
    <xf numFmtId="49" fontId="21" fillId="0" borderId="0" xfId="0" applyNumberFormat="1" applyFont="1" applyAlignment="1">
      <alignment horizontal="left"/>
    </xf>
    <xf numFmtId="180" fontId="5" fillId="0" borderId="0" xfId="0" applyNumberFormat="1" applyFont="1" applyAlignment="1">
      <alignment horizontal="center"/>
    </xf>
    <xf numFmtId="0" fontId="12" fillId="0" borderId="0" xfId="0" applyFont="1" applyAlignment="1">
      <alignment horizontal="center" vertical="center" wrapText="1"/>
    </xf>
    <xf numFmtId="0" fontId="21" fillId="0" borderId="0" xfId="0" applyFont="1" applyAlignment="1">
      <alignment horizontal="left" vertical="center" wrapText="1"/>
    </xf>
    <xf numFmtId="17" fontId="14" fillId="8" borderId="130" xfId="0" applyNumberFormat="1" applyFont="1" applyFill="1" applyBorder="1" applyAlignment="1">
      <alignment horizontal="center"/>
    </xf>
    <xf numFmtId="17" fontId="9" fillId="8" borderId="132" xfId="0" applyNumberFormat="1" applyFont="1" applyFill="1" applyBorder="1" applyAlignment="1">
      <alignment horizontal="center"/>
    </xf>
    <xf numFmtId="0" fontId="21" fillId="8" borderId="50" xfId="0" applyFont="1" applyFill="1" applyBorder="1" applyAlignment="1">
      <alignment horizontal="center"/>
    </xf>
    <xf numFmtId="0" fontId="17" fillId="8" borderId="41" xfId="0" applyFont="1" applyFill="1" applyBorder="1" applyAlignment="1">
      <alignment horizontal="center"/>
    </xf>
    <xf numFmtId="0" fontId="21" fillId="8" borderId="51" xfId="0" applyFont="1" applyFill="1" applyBorder="1" applyAlignment="1">
      <alignment horizontal="center"/>
    </xf>
    <xf numFmtId="0" fontId="21" fillId="0" borderId="0" xfId="0" applyFont="1" applyAlignment="1">
      <alignment horizontal="center" vertical="center" wrapText="1"/>
    </xf>
    <xf numFmtId="191" fontId="104" fillId="0" borderId="17" xfId="0" applyNumberFormat="1" applyFont="1" applyBorder="1" applyAlignment="1">
      <alignment horizontal="center" vertical="center" wrapText="1"/>
    </xf>
    <xf numFmtId="191" fontId="104" fillId="0" borderId="52" xfId="0" applyNumberFormat="1" applyFont="1" applyBorder="1" applyAlignment="1">
      <alignment horizontal="center" vertical="center" wrapText="1"/>
    </xf>
    <xf numFmtId="191" fontId="104" fillId="0" borderId="8" xfId="0" applyNumberFormat="1" applyFont="1" applyBorder="1" applyAlignment="1">
      <alignment horizontal="center" vertical="center" wrapText="1"/>
    </xf>
    <xf numFmtId="0" fontId="9" fillId="0" borderId="90" xfId="0" applyFont="1" applyBorder="1" applyAlignment="1">
      <alignment horizontal="center" vertical="center" wrapText="1"/>
    </xf>
    <xf numFmtId="0" fontId="9" fillId="0" borderId="59" xfId="0" applyFont="1" applyBorder="1" applyAlignment="1">
      <alignment horizontal="center" vertical="center" wrapText="1"/>
    </xf>
    <xf numFmtId="0" fontId="9" fillId="0" borderId="66" xfId="0" applyFont="1" applyBorder="1" applyAlignment="1">
      <alignment horizontal="center" vertical="center" wrapText="1"/>
    </xf>
    <xf numFmtId="168" fontId="3" fillId="0" borderId="52" xfId="0" applyNumberFormat="1" applyFont="1" applyBorder="1" applyAlignment="1">
      <alignment horizontal="center" vertical="center" wrapText="1"/>
    </xf>
    <xf numFmtId="0" fontId="26" fillId="5" borderId="0" xfId="0" applyFont="1" applyFill="1" applyAlignment="1">
      <alignment horizontal="center"/>
    </xf>
    <xf numFmtId="0" fontId="17" fillId="5" borderId="0" xfId="0" applyFont="1" applyFill="1" applyAlignment="1">
      <alignment horizontal="justify" vertical="justify"/>
    </xf>
    <xf numFmtId="0" fontId="4" fillId="10" borderId="112" xfId="0" applyFont="1" applyFill="1" applyBorder="1" applyAlignment="1">
      <alignment horizontal="center"/>
    </xf>
    <xf numFmtId="0" fontId="12" fillId="5" borderId="0" xfId="0" applyFont="1" applyFill="1" applyAlignment="1">
      <alignment horizontal="center"/>
    </xf>
    <xf numFmtId="0" fontId="21" fillId="5" borderId="0" xfId="0" applyFont="1" applyFill="1" applyAlignment="1">
      <alignment horizontal="center"/>
    </xf>
    <xf numFmtId="0" fontId="9" fillId="10" borderId="94" xfId="0" applyFont="1" applyFill="1" applyBorder="1" applyAlignment="1">
      <alignment horizontal="center" vertical="center"/>
    </xf>
    <xf numFmtId="0" fontId="9" fillId="10" borderId="95" xfId="0" applyFont="1" applyFill="1" applyBorder="1" applyAlignment="1">
      <alignment horizontal="center" vertical="center"/>
    </xf>
    <xf numFmtId="0" fontId="9" fillId="10" borderId="78" xfId="0" applyFont="1" applyFill="1" applyBorder="1" applyAlignment="1">
      <alignment horizontal="center" vertical="center"/>
    </xf>
    <xf numFmtId="0" fontId="4" fillId="10" borderId="258" xfId="0" applyFont="1" applyFill="1" applyBorder="1" applyAlignment="1">
      <alignment horizontal="center"/>
    </xf>
    <xf numFmtId="0" fontId="4" fillId="10" borderId="259" xfId="0" applyFont="1" applyFill="1" applyBorder="1" applyAlignment="1">
      <alignment horizontal="center"/>
    </xf>
    <xf numFmtId="0" fontId="4" fillId="10" borderId="48" xfId="0" applyFont="1" applyFill="1" applyBorder="1" applyAlignment="1">
      <alignment horizontal="center"/>
    </xf>
    <xf numFmtId="0" fontId="4" fillId="10" borderId="260" xfId="0" applyFont="1" applyFill="1" applyBorder="1" applyAlignment="1">
      <alignment horizontal="center"/>
    </xf>
    <xf numFmtId="0" fontId="4" fillId="10" borderId="20" xfId="0" applyFont="1" applyFill="1" applyBorder="1" applyAlignment="1">
      <alignment horizontal="center"/>
    </xf>
    <xf numFmtId="0" fontId="4" fillId="10" borderId="23" xfId="0" applyFont="1" applyFill="1" applyBorder="1" applyAlignment="1">
      <alignment horizontal="center"/>
    </xf>
    <xf numFmtId="0" fontId="4" fillId="10" borderId="72" xfId="0" applyFont="1" applyFill="1" applyBorder="1" applyAlignment="1">
      <alignment horizontal="center"/>
    </xf>
    <xf numFmtId="0" fontId="4" fillId="10" borderId="40" xfId="0" applyFont="1" applyFill="1" applyBorder="1" applyAlignment="1">
      <alignment horizontal="center"/>
    </xf>
    <xf numFmtId="0" fontId="4" fillId="10" borderId="51" xfId="0" applyFont="1" applyFill="1" applyBorder="1" applyAlignment="1">
      <alignment horizontal="center"/>
    </xf>
    <xf numFmtId="0" fontId="4" fillId="10" borderId="92" xfId="0" applyFont="1" applyFill="1" applyBorder="1" applyAlignment="1">
      <alignment horizontal="center"/>
    </xf>
    <xf numFmtId="0" fontId="4" fillId="10" borderId="119" xfId="0" applyFont="1" applyFill="1" applyBorder="1" applyAlignment="1">
      <alignment horizontal="center"/>
    </xf>
    <xf numFmtId="0" fontId="4" fillId="10" borderId="111" xfId="0" applyFont="1" applyFill="1" applyBorder="1" applyAlignment="1">
      <alignment horizontal="center"/>
    </xf>
    <xf numFmtId="0" fontId="4" fillId="10" borderId="243" xfId="0" applyFont="1" applyFill="1" applyBorder="1" applyAlignment="1">
      <alignment horizontal="center"/>
    </xf>
    <xf numFmtId="0" fontId="4" fillId="10" borderId="242" xfId="0" applyFont="1" applyFill="1" applyBorder="1" applyAlignment="1">
      <alignment horizontal="center"/>
    </xf>
    <xf numFmtId="0" fontId="24" fillId="5" borderId="0" xfId="0" applyFont="1" applyFill="1" applyAlignment="1">
      <alignment horizontal="center"/>
    </xf>
    <xf numFmtId="49" fontId="17" fillId="5" borderId="0" xfId="0" applyNumberFormat="1" applyFont="1" applyFill="1" applyAlignment="1">
      <alignment horizontal="left" wrapText="1"/>
    </xf>
    <xf numFmtId="164" fontId="9" fillId="5" borderId="0" xfId="0" applyNumberFormat="1" applyFont="1" applyFill="1" applyAlignment="1">
      <alignment horizontal="left" wrapText="1"/>
    </xf>
    <xf numFmtId="0" fontId="4" fillId="10" borderId="117" xfId="0" applyFont="1" applyFill="1" applyBorder="1" applyAlignment="1">
      <alignment horizontal="center"/>
    </xf>
    <xf numFmtId="0" fontId="4" fillId="10" borderId="39" xfId="0" applyFont="1" applyFill="1" applyBorder="1" applyAlignment="1">
      <alignment horizontal="center"/>
    </xf>
    <xf numFmtId="164" fontId="24" fillId="5" borderId="0" xfId="0" applyNumberFormat="1" applyFont="1" applyFill="1" applyAlignment="1">
      <alignment horizontal="left" wrapText="1"/>
    </xf>
    <xf numFmtId="0" fontId="31" fillId="6" borderId="23" xfId="0" applyFont="1" applyFill="1" applyBorder="1" applyAlignment="1">
      <alignment horizontal="center" vertical="center"/>
    </xf>
    <xf numFmtId="0" fontId="31" fillId="6" borderId="0" xfId="0" applyFont="1" applyFill="1" applyAlignment="1">
      <alignment horizontal="center" vertical="center"/>
    </xf>
    <xf numFmtId="4" fontId="31" fillId="37" borderId="274" xfId="0" applyNumberFormat="1" applyFont="1" applyFill="1" applyBorder="1" applyAlignment="1">
      <alignment horizontal="center" vertical="center"/>
    </xf>
    <xf numFmtId="4" fontId="31" fillId="37" borderId="35" xfId="0" applyNumberFormat="1" applyFont="1" applyFill="1" applyBorder="1" applyAlignment="1">
      <alignment horizontal="center" vertical="center"/>
    </xf>
    <xf numFmtId="39" fontId="96" fillId="6" borderId="72" xfId="0" applyNumberFormat="1" applyFont="1" applyFill="1" applyBorder="1" applyAlignment="1">
      <alignment horizontal="left"/>
    </xf>
    <xf numFmtId="0" fontId="69" fillId="6" borderId="0" xfId="0" applyFont="1" applyFill="1" applyAlignment="1">
      <alignment horizontal="justify" vertical="justify"/>
    </xf>
    <xf numFmtId="0" fontId="70" fillId="9" borderId="111" xfId="0" applyFont="1" applyFill="1" applyBorder="1" applyAlignment="1">
      <alignment horizontal="center"/>
    </xf>
    <xf numFmtId="0" fontId="70" fillId="9" borderId="117" xfId="0" applyFont="1" applyFill="1" applyBorder="1" applyAlignment="1">
      <alignment horizontal="center"/>
    </xf>
    <xf numFmtId="0" fontId="70" fillId="9" borderId="118" xfId="0" applyFont="1" applyFill="1" applyBorder="1" applyAlignment="1">
      <alignment horizontal="center"/>
    </xf>
    <xf numFmtId="0" fontId="93" fillId="6" borderId="0" xfId="0" applyFont="1" applyFill="1" applyAlignment="1">
      <alignment horizontal="center"/>
    </xf>
    <xf numFmtId="0" fontId="94" fillId="6" borderId="0" xfId="0" applyFont="1" applyFill="1" applyAlignment="1">
      <alignment horizontal="center"/>
    </xf>
    <xf numFmtId="0" fontId="95" fillId="6" borderId="0" xfId="0" applyFont="1" applyFill="1" applyAlignment="1">
      <alignment horizontal="center"/>
    </xf>
    <xf numFmtId="0" fontId="96" fillId="6" borderId="90" xfId="0" applyFont="1" applyFill="1" applyBorder="1" applyAlignment="1">
      <alignment horizontal="center" vertical="center"/>
    </xf>
    <xf numFmtId="0" fontId="96" fillId="6" borderId="59" xfId="0" applyFont="1" applyFill="1" applyBorder="1" applyAlignment="1">
      <alignment horizontal="center" vertical="center"/>
    </xf>
    <xf numFmtId="0" fontId="96" fillId="6" borderId="66" xfId="0" applyFont="1" applyFill="1" applyBorder="1" applyAlignment="1">
      <alignment horizontal="center" vertical="center"/>
    </xf>
    <xf numFmtId="39" fontId="96" fillId="6" borderId="72" xfId="0" applyNumberFormat="1" applyFont="1" applyFill="1" applyBorder="1" applyAlignment="1">
      <alignment horizontal="left" vertical="center"/>
    </xf>
    <xf numFmtId="0" fontId="96" fillId="6" borderId="250" xfId="0" applyFont="1" applyFill="1" applyBorder="1" applyAlignment="1">
      <alignment horizontal="center" vertical="center"/>
    </xf>
    <xf numFmtId="0" fontId="96" fillId="6" borderId="292" xfId="0" applyFont="1" applyFill="1" applyBorder="1" applyAlignment="1">
      <alignment horizontal="center" vertical="center"/>
    </xf>
    <xf numFmtId="0" fontId="96" fillId="6" borderId="293" xfId="0" applyFont="1" applyFill="1" applyBorder="1" applyAlignment="1">
      <alignment horizontal="center" vertical="center"/>
    </xf>
    <xf numFmtId="0" fontId="70" fillId="9" borderId="294" xfId="0" applyFont="1" applyFill="1" applyBorder="1" applyAlignment="1">
      <alignment horizontal="center" vertical="center"/>
    </xf>
    <xf numFmtId="0" fontId="70" fillId="9" borderId="295" xfId="0" applyFont="1" applyFill="1" applyBorder="1" applyAlignment="1">
      <alignment horizontal="center" vertical="center"/>
    </xf>
    <xf numFmtId="0" fontId="70" fillId="9" borderId="22" xfId="0" applyFont="1" applyFill="1" applyBorder="1" applyAlignment="1">
      <alignment horizontal="center" vertical="center"/>
    </xf>
    <xf numFmtId="0" fontId="70" fillId="9" borderId="33" xfId="0" applyFont="1" applyFill="1" applyBorder="1" applyAlignment="1">
      <alignment horizontal="center" vertical="center"/>
    </xf>
    <xf numFmtId="0" fontId="70" fillId="9" borderId="22" xfId="0" applyFont="1" applyFill="1" applyBorder="1" applyAlignment="1">
      <alignment horizontal="center" vertical="center" wrapText="1"/>
    </xf>
    <xf numFmtId="0" fontId="70" fillId="9" borderId="33" xfId="0" applyFont="1" applyFill="1" applyBorder="1" applyAlignment="1">
      <alignment horizontal="center" vertical="center" wrapText="1"/>
    </xf>
    <xf numFmtId="0" fontId="70" fillId="9" borderId="39" xfId="0" applyFont="1" applyFill="1" applyBorder="1" applyAlignment="1">
      <alignment horizontal="center" vertical="center" wrapText="1"/>
    </xf>
    <xf numFmtId="0" fontId="70" fillId="9" borderId="14" xfId="0" applyFont="1" applyFill="1" applyBorder="1" applyAlignment="1">
      <alignment horizontal="center" vertical="center" wrapText="1"/>
    </xf>
    <xf numFmtId="4" fontId="2" fillId="6" borderId="90" xfId="0" applyNumberFormat="1" applyFont="1" applyFill="1" applyBorder="1" applyAlignment="1">
      <alignment horizontal="left"/>
    </xf>
    <xf numFmtId="4" fontId="2" fillId="6" borderId="66" xfId="0" applyNumberFormat="1" applyFont="1" applyFill="1" applyBorder="1" applyAlignment="1">
      <alignment horizontal="left"/>
    </xf>
    <xf numFmtId="0" fontId="70" fillId="6" borderId="111" xfId="0" applyFont="1" applyFill="1" applyBorder="1" applyAlignment="1">
      <alignment horizontal="center"/>
    </xf>
    <xf numFmtId="0" fontId="70" fillId="6" borderId="117" xfId="0" applyFont="1" applyFill="1" applyBorder="1" applyAlignment="1">
      <alignment horizontal="center"/>
    </xf>
    <xf numFmtId="0" fontId="70" fillId="6" borderId="118" xfId="0" applyFont="1" applyFill="1" applyBorder="1" applyAlignment="1">
      <alignment horizontal="center"/>
    </xf>
    <xf numFmtId="0" fontId="77" fillId="9" borderId="90" xfId="0" applyFont="1" applyFill="1" applyBorder="1" applyAlignment="1">
      <alignment horizontal="center"/>
    </xf>
    <xf numFmtId="0" fontId="77" fillId="9" borderId="66" xfId="0" applyFont="1" applyFill="1" applyBorder="1" applyAlignment="1">
      <alignment horizontal="center"/>
    </xf>
    <xf numFmtId="0" fontId="31" fillId="9" borderId="17" xfId="0" applyFont="1" applyFill="1" applyBorder="1" applyAlignment="1">
      <alignment horizontal="center"/>
    </xf>
    <xf numFmtId="0" fontId="31" fillId="9" borderId="8" xfId="0" applyFont="1" applyFill="1" applyBorder="1" applyAlignment="1">
      <alignment horizontal="center"/>
    </xf>
    <xf numFmtId="0" fontId="70" fillId="6" borderId="112" xfId="0" applyFont="1" applyFill="1" applyBorder="1" applyAlignment="1">
      <alignment horizontal="center"/>
    </xf>
    <xf numFmtId="0" fontId="69" fillId="6" borderId="0" xfId="0" applyFont="1" applyFill="1" applyAlignment="1">
      <alignment horizontal="left" vertical="justify"/>
    </xf>
    <xf numFmtId="0" fontId="111" fillId="6" borderId="72" xfId="0" applyFont="1" applyFill="1" applyBorder="1" applyAlignment="1">
      <alignment horizontal="center"/>
    </xf>
    <xf numFmtId="0" fontId="111" fillId="26" borderId="163" xfId="0" applyFont="1" applyFill="1" applyBorder="1" applyAlignment="1">
      <alignment horizontal="center" vertical="center"/>
    </xf>
    <xf numFmtId="0" fontId="2" fillId="9" borderId="159" xfId="0" applyFont="1" applyFill="1" applyBorder="1"/>
    <xf numFmtId="0" fontId="2" fillId="9" borderId="167" xfId="0" applyFont="1" applyFill="1" applyBorder="1"/>
    <xf numFmtId="0" fontId="2" fillId="9" borderId="168" xfId="0" applyFont="1" applyFill="1" applyBorder="1"/>
    <xf numFmtId="0" fontId="111" fillId="27" borderId="161" xfId="0" applyFont="1" applyFill="1" applyBorder="1" applyAlignment="1">
      <alignment horizontal="center" vertical="center"/>
    </xf>
    <xf numFmtId="0" fontId="2" fillId="9" borderId="162" xfId="0" applyFont="1" applyFill="1" applyBorder="1" applyAlignment="1">
      <alignment vertical="center"/>
    </xf>
    <xf numFmtId="0" fontId="111" fillId="28" borderId="161" xfId="0" applyFont="1" applyFill="1" applyBorder="1" applyAlignment="1">
      <alignment horizontal="center" vertical="center"/>
    </xf>
    <xf numFmtId="0" fontId="111" fillId="29" borderId="161" xfId="0" applyFont="1" applyFill="1" applyBorder="1" applyAlignment="1">
      <alignment horizontal="center" vertical="center"/>
    </xf>
    <xf numFmtId="0" fontId="111" fillId="6" borderId="158" xfId="0" applyFont="1" applyFill="1" applyBorder="1" applyAlignment="1">
      <alignment horizontal="center"/>
    </xf>
    <xf numFmtId="0" fontId="111" fillId="6" borderId="173" xfId="0" applyFont="1" applyFill="1" applyBorder="1" applyAlignment="1">
      <alignment horizontal="center"/>
    </xf>
    <xf numFmtId="0" fontId="111" fillId="24" borderId="158" xfId="0" applyFont="1" applyFill="1" applyBorder="1" applyAlignment="1">
      <alignment horizontal="center" vertical="center"/>
    </xf>
    <xf numFmtId="0" fontId="2" fillId="9" borderId="164" xfId="0" applyFont="1" applyFill="1" applyBorder="1"/>
    <xf numFmtId="0" fontId="2" fillId="9" borderId="169" xfId="0" applyFont="1" applyFill="1" applyBorder="1"/>
    <xf numFmtId="0" fontId="2" fillId="9" borderId="165" xfId="0" applyFont="1" applyFill="1" applyBorder="1"/>
    <xf numFmtId="0" fontId="111" fillId="24" borderId="160" xfId="0" applyFont="1" applyFill="1" applyBorder="1" applyAlignment="1">
      <alignment horizontal="center" vertical="center"/>
    </xf>
    <xf numFmtId="0" fontId="2" fillId="9" borderId="166" xfId="0" applyFont="1" applyFill="1" applyBorder="1"/>
    <xf numFmtId="0" fontId="2" fillId="9" borderId="170" xfId="0" applyFont="1" applyFill="1" applyBorder="1"/>
    <xf numFmtId="0" fontId="111" fillId="24" borderId="160" xfId="0" applyFont="1" applyFill="1" applyBorder="1" applyAlignment="1">
      <alignment horizontal="center" vertical="center" wrapText="1"/>
    </xf>
    <xf numFmtId="0" fontId="111" fillId="25" borderId="161" xfId="0" applyFont="1" applyFill="1" applyBorder="1" applyAlignment="1">
      <alignment horizontal="center" vertical="center"/>
    </xf>
    <xf numFmtId="0" fontId="2" fillId="9" borderId="161" xfId="0" applyFont="1" applyFill="1" applyBorder="1"/>
    <xf numFmtId="0" fontId="2" fillId="9" borderId="162" xfId="0" applyFont="1" applyFill="1" applyBorder="1"/>
    <xf numFmtId="0" fontId="111" fillId="6" borderId="0" xfId="0" applyFont="1" applyFill="1" applyAlignment="1">
      <alignment horizontal="center"/>
    </xf>
    <xf numFmtId="0" fontId="114" fillId="6" borderId="0" xfId="0" applyFont="1" applyFill="1" applyAlignment="1">
      <alignment horizontal="center"/>
    </xf>
    <xf numFmtId="0" fontId="111" fillId="26" borderId="0" xfId="0" applyFont="1" applyFill="1" applyAlignment="1">
      <alignment horizontal="center" vertical="center"/>
    </xf>
    <xf numFmtId="0" fontId="2" fillId="9" borderId="0" xfId="0" applyFont="1" applyFill="1"/>
    <xf numFmtId="0" fontId="111" fillId="27" borderId="0" xfId="0" applyFont="1" applyFill="1" applyAlignment="1">
      <alignment horizontal="center" vertical="center"/>
    </xf>
    <xf numFmtId="0" fontId="2" fillId="9" borderId="0" xfId="0" applyFont="1" applyFill="1" applyAlignment="1">
      <alignment vertical="center"/>
    </xf>
    <xf numFmtId="0" fontId="111" fillId="28" borderId="0" xfId="0" applyFont="1" applyFill="1" applyAlignment="1">
      <alignment horizontal="center" vertical="center"/>
    </xf>
    <xf numFmtId="0" fontId="111" fillId="29" borderId="0" xfId="0" applyFont="1" applyFill="1" applyAlignment="1">
      <alignment horizontal="center" vertical="center"/>
    </xf>
    <xf numFmtId="0" fontId="111" fillId="30" borderId="0" xfId="0" applyFont="1" applyFill="1" applyAlignment="1">
      <alignment horizontal="center" vertical="center"/>
    </xf>
    <xf numFmtId="0" fontId="2" fillId="6" borderId="0" xfId="0" applyFont="1" applyFill="1"/>
    <xf numFmtId="0" fontId="111" fillId="24" borderId="0" xfId="0" applyFont="1" applyFill="1" applyAlignment="1">
      <alignment horizontal="center" vertical="center"/>
    </xf>
    <xf numFmtId="0" fontId="111" fillId="24" borderId="0" xfId="0" applyFont="1" applyFill="1" applyAlignment="1">
      <alignment horizontal="center" vertical="center" wrapText="1"/>
    </xf>
    <xf numFmtId="0" fontId="111" fillId="25" borderId="0" xfId="0" applyFont="1" applyFill="1" applyAlignment="1">
      <alignment horizontal="center" vertical="center"/>
    </xf>
    <xf numFmtId="0" fontId="9" fillId="3" borderId="0" xfId="0" applyFont="1" applyFill="1" applyAlignment="1">
      <alignment horizontal="center" vertical="center" wrapText="1"/>
    </xf>
    <xf numFmtId="0" fontId="9" fillId="3" borderId="25" xfId="0" applyFont="1" applyFill="1" applyBorder="1" applyAlignment="1">
      <alignment horizontal="center" vertical="center" wrapText="1"/>
    </xf>
    <xf numFmtId="0" fontId="32" fillId="3" borderId="0" xfId="0" applyFont="1" applyFill="1" applyAlignment="1">
      <alignment horizontal="center"/>
    </xf>
    <xf numFmtId="0" fontId="17" fillId="9" borderId="40" xfId="0" applyFont="1" applyFill="1" applyBorder="1" applyAlignment="1">
      <alignment horizontal="center" vertical="center" wrapText="1"/>
    </xf>
    <xf numFmtId="0" fontId="17" fillId="9" borderId="51" xfId="0" applyFont="1" applyFill="1" applyBorder="1" applyAlignment="1">
      <alignment horizontal="center" vertical="center" wrapText="1"/>
    </xf>
    <xf numFmtId="0" fontId="17" fillId="9" borderId="107" xfId="0" applyFont="1" applyFill="1" applyBorder="1" applyAlignment="1">
      <alignment horizontal="center" vertical="center" wrapText="1"/>
    </xf>
    <xf numFmtId="0" fontId="17" fillId="9" borderId="1" xfId="0" applyFont="1" applyFill="1" applyBorder="1" applyAlignment="1">
      <alignment horizontal="center" vertical="center" wrapText="1"/>
    </xf>
    <xf numFmtId="0" fontId="17" fillId="9" borderId="2" xfId="0" applyFont="1" applyFill="1" applyBorder="1" applyAlignment="1">
      <alignment horizontal="center" vertical="center" wrapText="1"/>
    </xf>
    <xf numFmtId="0" fontId="17" fillId="9" borderId="57" xfId="0" applyFont="1" applyFill="1" applyBorder="1" applyAlignment="1">
      <alignment horizontal="center" vertical="center" wrapText="1"/>
    </xf>
    <xf numFmtId="0" fontId="4" fillId="9" borderId="3" xfId="0" applyFont="1" applyFill="1" applyBorder="1" applyAlignment="1">
      <alignment horizontal="center"/>
    </xf>
    <xf numFmtId="0" fontId="4" fillId="9" borderId="18" xfId="0" applyFont="1" applyFill="1" applyBorder="1" applyAlignment="1">
      <alignment horizontal="center"/>
    </xf>
    <xf numFmtId="0" fontId="4" fillId="9" borderId="120" xfId="0" applyFont="1" applyFill="1" applyBorder="1" applyAlignment="1">
      <alignment horizontal="center"/>
    </xf>
    <xf numFmtId="0" fontId="4" fillId="9" borderId="121" xfId="0" applyFont="1" applyFill="1" applyBorder="1" applyAlignment="1">
      <alignment horizontal="center"/>
    </xf>
    <xf numFmtId="0" fontId="12" fillId="3" borderId="0" xfId="0" applyFont="1" applyFill="1" applyAlignment="1">
      <alignment horizontal="center"/>
    </xf>
    <xf numFmtId="0" fontId="35" fillId="3" borderId="0" xfId="0" applyFont="1" applyFill="1" applyAlignment="1">
      <alignment horizontal="center"/>
    </xf>
    <xf numFmtId="0" fontId="9" fillId="3" borderId="0" xfId="0" applyFont="1" applyFill="1" applyAlignment="1">
      <alignment horizontal="justify" vertical="justify"/>
    </xf>
    <xf numFmtId="0" fontId="26" fillId="3" borderId="0" xfId="0" applyFont="1" applyFill="1" applyAlignment="1">
      <alignment horizontal="center"/>
    </xf>
  </cellXfs>
  <cellStyles count="14">
    <cellStyle name="Millares" xfId="1" builtinId="3"/>
    <cellStyle name="Millares 2" xfId="13"/>
    <cellStyle name="Normal" xfId="0" builtinId="0"/>
    <cellStyle name="Normal 2" xfId="2"/>
    <cellStyle name="Normal 2 2" xfId="3"/>
    <cellStyle name="Normal 2 3" xfId="10"/>
    <cellStyle name="Normal 3" xfId="4"/>
    <cellStyle name="Normal 3 2" xfId="11"/>
    <cellStyle name="Normal 4" xfId="5"/>
    <cellStyle name="Normal 4 2" xfId="12"/>
    <cellStyle name="Normal 5" xfId="9"/>
    <cellStyle name="Normal_CRONOGRAMA-Ccolluryty" xfId="6"/>
    <cellStyle name="Normal_Modelo de Valorizaciones - CUSCO" xfId="7"/>
    <cellStyle name="Porcentaje" xfId="8" builtinId="5"/>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0000FF"/>
      <rgbColor rgb="00969696"/>
      <rgbColor rgb="00B3B3B3"/>
      <rgbColor rgb="00C0C0C0"/>
      <rgbColor rgb="00FFFFFF"/>
      <rgbColor rgb="00FFFF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F99"/>
      <color rgb="FFFA5F12"/>
      <color rgb="FFFF9933"/>
      <color rgb="FFFFFFCC"/>
      <color rgb="FFCC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600" b="1" i="0" u="none" strike="noStrike" baseline="0">
                <a:solidFill>
                  <a:srgbClr val="000000"/>
                </a:solidFill>
                <a:latin typeface="Times New Roman"/>
                <a:ea typeface="Times New Roman"/>
                <a:cs typeface="Times New Roman"/>
              </a:defRPr>
            </a:pPr>
            <a:r>
              <a:rPr lang="es-PE" sz="1600"/>
              <a:t>PROGRAMADO vs EJECUTADO</a:t>
            </a:r>
          </a:p>
        </c:rich>
      </c:tx>
      <c:layout>
        <c:manualLayout>
          <c:xMode val="edge"/>
          <c:yMode val="edge"/>
          <c:x val="0.33955355291571215"/>
          <c:y val="6.2950969886160682E-2"/>
        </c:manualLayout>
      </c:layout>
      <c:overlay val="0"/>
      <c:spPr>
        <a:noFill/>
        <a:ln w="25400">
          <a:noFill/>
        </a:ln>
      </c:spPr>
    </c:title>
    <c:autoTitleDeleted val="0"/>
    <c:plotArea>
      <c:layout>
        <c:manualLayout>
          <c:layoutTarget val="inner"/>
          <c:xMode val="edge"/>
          <c:yMode val="edge"/>
          <c:x val="0.10640041024708292"/>
          <c:y val="0.11689545761646288"/>
          <c:w val="0.88135176025844897"/>
          <c:h val="0.73614870566651769"/>
        </c:manualLayout>
      </c:layout>
      <c:barChart>
        <c:barDir val="col"/>
        <c:grouping val="clustered"/>
        <c:varyColors val="0"/>
        <c:ser>
          <c:idx val="0"/>
          <c:order val="0"/>
          <c:spPr>
            <a:solidFill>
              <a:srgbClr val="C0C0C0"/>
            </a:solidFill>
            <a:ln w="12700">
              <a:solidFill>
                <a:srgbClr val="000000"/>
              </a:solidFill>
              <a:prstDash val="solid"/>
            </a:ln>
          </c:spPr>
          <c:invertIfNegative val="0"/>
          <c:dLbls>
            <c:dLbl>
              <c:idx val="0"/>
              <c:layout>
                <c:manualLayout>
                  <c:x val="-3.009392182620552E-3"/>
                  <c:y val="-5.6806252505155739E-4"/>
                </c:manualLayout>
              </c:layout>
              <c:numFmt formatCode="#,##0.00" sourceLinked="0"/>
              <c:spPr>
                <a:noFill/>
                <a:ln w="25400">
                  <a:noFill/>
                </a:ln>
              </c:spPr>
              <c:txPr>
                <a:bodyPr/>
                <a:lstStyle/>
                <a:p>
                  <a:pPr>
                    <a:defRPr sz="700" b="0" i="0" u="none" strike="noStrike" baseline="0">
                      <a:solidFill>
                        <a:srgbClr val="000000"/>
                      </a:solidFill>
                      <a:latin typeface="Times New Roman"/>
                      <a:ea typeface="Times New Roman"/>
                      <a:cs typeface="Times New Roman"/>
                    </a:defRPr>
                  </a:pPr>
                  <a:endParaRPr lang="es-PE"/>
                </a:p>
              </c:txPr>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2A-4B10-8B23-77CECEAC3326}"/>
                </c:ext>
              </c:extLst>
            </c:dLbl>
            <c:dLbl>
              <c:idx val="1"/>
              <c:layout>
                <c:manualLayout>
                  <c:x val="-1.1681920441762984E-2"/>
                  <c:y val="2.0659297911073344E-3"/>
                </c:manualLayout>
              </c:layout>
              <c:numFmt formatCode="#,##0.00" sourceLinked="0"/>
              <c:spPr>
                <a:noFill/>
                <a:ln w="25400">
                  <a:noFill/>
                </a:ln>
              </c:spPr>
              <c:txPr>
                <a:bodyPr/>
                <a:lstStyle/>
                <a:p>
                  <a:pPr>
                    <a:defRPr sz="700" b="0" i="0" u="none" strike="noStrike" baseline="0">
                      <a:solidFill>
                        <a:srgbClr val="000000"/>
                      </a:solidFill>
                      <a:latin typeface="Times New Roman"/>
                      <a:ea typeface="Times New Roman"/>
                      <a:cs typeface="Times New Roman"/>
                    </a:defRPr>
                  </a:pPr>
                  <a:endParaRPr lang="es-PE"/>
                </a:p>
              </c:txPr>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32A-4B10-8B23-77CECEAC3326}"/>
                </c:ext>
              </c:extLst>
            </c:dLbl>
            <c:dLbl>
              <c:idx val="2"/>
              <c:layout>
                <c:manualLayout>
                  <c:x val="-1.2690065839672185E-2"/>
                  <c:y val="1.4751447650538842E-3"/>
                </c:manualLayout>
              </c:layout>
              <c:numFmt formatCode="#,##0.00" sourceLinked="0"/>
              <c:spPr>
                <a:noFill/>
                <a:ln w="25400">
                  <a:noFill/>
                </a:ln>
              </c:spPr>
              <c:txPr>
                <a:bodyPr/>
                <a:lstStyle/>
                <a:p>
                  <a:pPr>
                    <a:defRPr sz="700" b="0" i="0" u="none" strike="noStrike" baseline="0">
                      <a:solidFill>
                        <a:srgbClr val="000000"/>
                      </a:solidFill>
                      <a:latin typeface="Times New Roman"/>
                      <a:ea typeface="Times New Roman"/>
                      <a:cs typeface="Times New Roman"/>
                    </a:defRPr>
                  </a:pPr>
                  <a:endParaRPr lang="es-PE"/>
                </a:p>
              </c:txPr>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32A-4B10-8B23-77CECEAC3326}"/>
                </c:ext>
              </c:extLst>
            </c:dLbl>
            <c:dLbl>
              <c:idx val="3"/>
              <c:layout>
                <c:manualLayout>
                  <c:x val="-6.1074752019633907E-3"/>
                  <c:y val="7.4606150890131253E-3"/>
                </c:manualLayout>
              </c:layout>
              <c:numFmt formatCode="#,##0.00" sourceLinked="0"/>
              <c:spPr>
                <a:noFill/>
                <a:ln w="25400">
                  <a:noFill/>
                </a:ln>
              </c:spPr>
              <c:txPr>
                <a:bodyPr/>
                <a:lstStyle/>
                <a:p>
                  <a:pPr>
                    <a:defRPr sz="700" b="0" i="0" u="none" strike="noStrike" baseline="0">
                      <a:solidFill>
                        <a:srgbClr val="000000"/>
                      </a:solidFill>
                      <a:latin typeface="Times New Roman"/>
                      <a:ea typeface="Times New Roman"/>
                      <a:cs typeface="Times New Roman"/>
                    </a:defRPr>
                  </a:pPr>
                  <a:endParaRPr lang="es-PE"/>
                </a:p>
              </c:txPr>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32A-4B10-8B23-77CECEAC3326}"/>
                </c:ext>
              </c:extLst>
            </c:dLbl>
            <c:dLbl>
              <c:idx val="4"/>
              <c:layout>
                <c:manualLayout>
                  <c:x val="-3.0242887034225618E-2"/>
                  <c:y val="2.6897987786200415E-3"/>
                </c:manualLayout>
              </c:layout>
              <c:numFmt formatCode="#,##0.00" sourceLinked="0"/>
              <c:spPr>
                <a:noFill/>
                <a:ln w="25400">
                  <a:noFill/>
                </a:ln>
              </c:spPr>
              <c:txPr>
                <a:bodyPr/>
                <a:lstStyle/>
                <a:p>
                  <a:pPr>
                    <a:defRPr sz="700" b="0" i="0" u="none" strike="noStrike" baseline="0">
                      <a:solidFill>
                        <a:srgbClr val="000000"/>
                      </a:solidFill>
                      <a:latin typeface="Times New Roman"/>
                      <a:ea typeface="Times New Roman"/>
                      <a:cs typeface="Times New Roman"/>
                    </a:defRPr>
                  </a:pPr>
                  <a:endParaRPr lang="es-PE"/>
                </a:p>
              </c:txPr>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E32A-4B10-8B23-77CECEAC3326}"/>
                </c:ext>
              </c:extLst>
            </c:dLbl>
            <c:dLbl>
              <c:idx val="5"/>
              <c:layout>
                <c:manualLayout>
                  <c:x val="-3.8783263980114377E-2"/>
                  <c:y val="1.0457985641197083E-2"/>
                </c:manualLayout>
              </c:layout>
              <c:numFmt formatCode="#,##0.00" sourceLinked="0"/>
              <c:spPr>
                <a:noFill/>
                <a:ln w="25400">
                  <a:noFill/>
                </a:ln>
              </c:spPr>
              <c:txPr>
                <a:bodyPr/>
                <a:lstStyle/>
                <a:p>
                  <a:pPr>
                    <a:defRPr sz="700" b="0" i="0" u="none" strike="noStrike" baseline="0">
                      <a:solidFill>
                        <a:srgbClr val="000000"/>
                      </a:solidFill>
                      <a:latin typeface="Times New Roman"/>
                      <a:ea typeface="Times New Roman"/>
                      <a:cs typeface="Times New Roman"/>
                    </a:defRPr>
                  </a:pPr>
                  <a:endParaRPr lang="es-PE"/>
                </a:p>
              </c:txPr>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32A-4B10-8B23-77CECEAC3326}"/>
                </c:ext>
              </c:extLst>
            </c:dLbl>
            <c:dLbl>
              <c:idx val="6"/>
              <c:layout>
                <c:manualLayout>
                  <c:x val="-2.8669165480189104E-3"/>
                  <c:y val="-9.1744370045926719E-4"/>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F77-4795-A803-2011F627E129}"/>
                </c:ext>
              </c:extLst>
            </c:dLbl>
            <c:dLbl>
              <c:idx val="7"/>
              <c:layout>
                <c:manualLayout>
                  <c:x val="-1.6607408339691803E-2"/>
                  <c:y val="-1.06488546496144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DF77-4795-A803-2011F627E129}"/>
                </c:ext>
              </c:extLst>
            </c:dLbl>
            <c:dLbl>
              <c:idx val="8"/>
              <c:layout>
                <c:manualLayout>
                  <c:x val="-2.8141055144936962E-3"/>
                  <c:y val="-3.0922643456688798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DF77-4795-A803-2011F627E129}"/>
                </c:ext>
              </c:extLst>
            </c:dLbl>
            <c:dLbl>
              <c:idx val="9"/>
              <c:layout>
                <c:manualLayout>
                  <c:x val="-2.5360466305348196E-2"/>
                  <c:y val="-1.522771127154206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A2D3-4D5D-910B-BB0DE108737F}"/>
                </c:ext>
              </c:extLst>
            </c:dLbl>
            <c:dLbl>
              <c:idx val="10"/>
              <c:layout>
                <c:manualLayout>
                  <c:x val="-2.5498517230800787E-2"/>
                  <c:y val="-6.2302371047535414E-3"/>
                </c:manualLayout>
              </c:layout>
              <c:numFmt formatCode="#,##0.00" sourceLinked="0"/>
              <c:spPr>
                <a:noFill/>
                <a:ln w="25400">
                  <a:noFill/>
                </a:ln>
              </c:spPr>
              <c:txPr>
                <a:bodyPr wrap="square" lIns="38100" tIns="19050" rIns="38100" bIns="19050" anchor="ctr">
                  <a:noAutofit/>
                </a:bodyPr>
                <a:lstStyle/>
                <a:p>
                  <a:pPr>
                    <a:defRPr sz="700" b="0" i="0" u="none" strike="noStrike" baseline="0">
                      <a:solidFill>
                        <a:srgbClr val="000000"/>
                      </a:solidFill>
                      <a:latin typeface="Times New Roman"/>
                      <a:ea typeface="Times New Roman"/>
                      <a:cs typeface="Times New Roman"/>
                    </a:defRPr>
                  </a:pPr>
                  <a:endParaRPr lang="es-PE"/>
                </a:p>
              </c:txPr>
              <c:showLegendKey val="0"/>
              <c:showVal val="1"/>
              <c:showCatName val="0"/>
              <c:showSerName val="0"/>
              <c:showPercent val="0"/>
              <c:showBubbleSize val="0"/>
              <c:extLst>
                <c:ext xmlns:c15="http://schemas.microsoft.com/office/drawing/2012/chart" uri="{CE6537A1-D6FC-4f65-9D91-7224C49458BB}">
                  <c15:layout>
                    <c:manualLayout>
                      <c:w val="5.7754745254745256E-2"/>
                      <c:h val="3.2435915730423877E-2"/>
                    </c:manualLayout>
                  </c15:layout>
                </c:ext>
                <c:ext xmlns:c16="http://schemas.microsoft.com/office/drawing/2014/chart" uri="{C3380CC4-5D6E-409C-BE32-E72D297353CC}">
                  <c16:uniqueId val="{00000009-A2D3-4D5D-910B-BB0DE108737F}"/>
                </c:ext>
              </c:extLst>
            </c:dLbl>
            <c:dLbl>
              <c:idx val="11"/>
              <c:layout>
                <c:manualLayout>
                  <c:x val="-1.176225349453705E-2"/>
                  <c:y val="-3.093423108419959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A2D3-4D5D-910B-BB0DE108737F}"/>
                </c:ext>
              </c:extLst>
            </c:dLbl>
            <c:dLbl>
              <c:idx val="12"/>
              <c:layout>
                <c:manualLayout>
                  <c:x val="-9.2993620552675668E-3"/>
                  <c:y val="-1.431026757108280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2D3-4D5D-910B-BB0DE108737F}"/>
                </c:ext>
              </c:extLst>
            </c:dLbl>
            <c:dLbl>
              <c:idx val="13"/>
              <c:layout>
                <c:manualLayout>
                  <c:x val="2.5665704202759064E-2"/>
                  <c:y val="-2.77234163544144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A2D3-4D5D-910B-BB0DE108737F}"/>
                </c:ext>
              </c:extLst>
            </c:dLbl>
            <c:dLbl>
              <c:idx val="14"/>
              <c:layout>
                <c:manualLayout>
                  <c:x val="2.6948989412897015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2D3-4D5D-910B-BB0DE108737F}"/>
                </c:ext>
              </c:extLst>
            </c:dLbl>
            <c:dLbl>
              <c:idx val="15"/>
              <c:layout>
                <c:manualLayout>
                  <c:x val="2.8232274623034875E-2"/>
                  <c:y val="2.77234163544144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A2D3-4D5D-910B-BB0DE108737F}"/>
                </c:ext>
              </c:extLst>
            </c:dLbl>
            <c:dLbl>
              <c:idx val="16"/>
              <c:layout>
                <c:manualLayout>
                  <c:x val="2.6948989412897015E-2"/>
                  <c:y val="-1.0165135234775626E-16"/>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2D3-4D5D-910B-BB0DE108737F}"/>
                </c:ext>
              </c:extLst>
            </c:dLbl>
            <c:dLbl>
              <c:idx val="17"/>
              <c:layout>
                <c:manualLayout>
                  <c:x val="3.2082130253448832E-2"/>
                  <c:y val="4.1585124531621108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2D3-4D5D-910B-BB0DE108737F}"/>
                </c:ext>
              </c:extLst>
            </c:dLbl>
            <c:dLbl>
              <c:idx val="18"/>
              <c:layout>
                <c:manualLayout>
                  <c:x val="3.2082130253448832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2D3-4D5D-910B-BB0DE108737F}"/>
                </c:ext>
              </c:extLst>
            </c:dLbl>
            <c:dLbl>
              <c:idx val="19"/>
              <c:layout>
                <c:manualLayout>
                  <c:x val="2.30991337824831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2D3-4D5D-910B-BB0DE108737F}"/>
                </c:ext>
              </c:extLst>
            </c:dLbl>
            <c:numFmt formatCode="#,##0.00" sourceLinked="0"/>
            <c:spPr>
              <a:noFill/>
              <a:ln w="25400">
                <a:noFill/>
              </a:ln>
            </c:spPr>
            <c:txPr>
              <a:bodyPr wrap="square" lIns="38100" tIns="19050" rIns="38100" bIns="19050" anchor="ctr">
                <a:spAutoFit/>
              </a:bodyPr>
              <a:lstStyle/>
              <a:p>
                <a:pPr>
                  <a:defRPr sz="700" b="0" i="0" u="none" strike="noStrike" baseline="0">
                    <a:solidFill>
                      <a:srgbClr val="000000"/>
                    </a:solidFill>
                    <a:latin typeface="Times New Roman"/>
                    <a:ea typeface="Times New Roman"/>
                    <a:cs typeface="Times New Roman"/>
                  </a:defRPr>
                </a:pPr>
                <a:endParaRPr lang="es-PE"/>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'CURVA S'!$D$13:$S$14</c:f>
              <c:multiLvlStrCache>
                <c:ptCount val="16"/>
                <c:lvl>
                  <c:pt idx="0">
                    <c:v>11</c:v>
                  </c:pt>
                  <c:pt idx="1">
                    <c:v>31</c:v>
                  </c:pt>
                  <c:pt idx="2">
                    <c:v>30</c:v>
                  </c:pt>
                  <c:pt idx="3">
                    <c:v>31</c:v>
                  </c:pt>
                  <c:pt idx="4">
                    <c:v>31</c:v>
                  </c:pt>
                  <c:pt idx="5">
                    <c:v>30</c:v>
                  </c:pt>
                  <c:pt idx="6">
                    <c:v>31</c:v>
                  </c:pt>
                  <c:pt idx="7">
                    <c:v>30</c:v>
                  </c:pt>
                  <c:pt idx="8">
                    <c:v>31</c:v>
                  </c:pt>
                  <c:pt idx="9">
                    <c:v>31</c:v>
                  </c:pt>
                  <c:pt idx="10">
                    <c:v>28</c:v>
                  </c:pt>
                  <c:pt idx="11">
                    <c:v>31</c:v>
                  </c:pt>
                  <c:pt idx="12">
                    <c:v>30</c:v>
                  </c:pt>
                  <c:pt idx="13">
                    <c:v>31</c:v>
                  </c:pt>
                  <c:pt idx="14">
                    <c:v>30</c:v>
                  </c:pt>
                  <c:pt idx="15">
                    <c:v>27</c:v>
                  </c:pt>
                </c:lvl>
                <c:lvl>
                  <c:pt idx="0">
                    <c:v>20 AL 30 ABRIL             2022</c:v>
                  </c:pt>
                  <c:pt idx="1">
                    <c:v>01 AL 31 MAY. 2022</c:v>
                  </c:pt>
                  <c:pt idx="2">
                    <c:v>01 AL 30  JUN. 2022</c:v>
                  </c:pt>
                  <c:pt idx="3">
                    <c:v>01 AL 31 JUL.      2022</c:v>
                  </c:pt>
                  <c:pt idx="4">
                    <c:v>01 AL 31 AGOS. 2022</c:v>
                  </c:pt>
                  <c:pt idx="5">
                    <c:v>01 AL 30 SEPT. 2022</c:v>
                  </c:pt>
                  <c:pt idx="6">
                    <c:v>01 AL 31 OCT. 2022</c:v>
                  </c:pt>
                  <c:pt idx="7">
                    <c:v>01 AL 30 NOV. 2022</c:v>
                  </c:pt>
                  <c:pt idx="8">
                    <c:v>01 AL 31 DIC.   2022</c:v>
                  </c:pt>
                  <c:pt idx="9">
                    <c:v>01 AL 31 ENE.    2023</c:v>
                  </c:pt>
                  <c:pt idx="10">
                    <c:v>01 AL 28 FEB.   2023</c:v>
                  </c:pt>
                  <c:pt idx="11">
                    <c:v>01 AL 31 MARZ 2023</c:v>
                  </c:pt>
                  <c:pt idx="12">
                    <c:v>01 AL 30 DE ABRIL 2023</c:v>
                  </c:pt>
                  <c:pt idx="13">
                    <c:v>01 AL 31 DE MAYO 2023</c:v>
                  </c:pt>
                  <c:pt idx="14">
                    <c:v>01 AL 30 DE JUNIO 2023</c:v>
                  </c:pt>
                  <c:pt idx="15">
                    <c:v>01 AL 27 DE JULIO 2023</c:v>
                  </c:pt>
                </c:lvl>
              </c:multiLvlStrCache>
            </c:multiLvlStrRef>
          </c:cat>
          <c:val>
            <c:numRef>
              <c:f>'CURVA S'!$D$24:$S$24</c:f>
              <c:numCache>
                <c:formatCode>#,##0.00</c:formatCode>
                <c:ptCount val="16"/>
                <c:pt idx="0">
                  <c:v>1994.0265400000001</c:v>
                </c:pt>
                <c:pt idx="1">
                  <c:v>169926.10332263261</c:v>
                </c:pt>
                <c:pt idx="2">
                  <c:v>375399.06402770989</c:v>
                </c:pt>
                <c:pt idx="3">
                  <c:v>1178626.771477106</c:v>
                </c:pt>
                <c:pt idx="4">
                  <c:v>3019843.479555178</c:v>
                </c:pt>
                <c:pt idx="5">
                  <c:v>4989626.6139351781</c:v>
                </c:pt>
                <c:pt idx="6">
                  <c:v>5148335.5472151786</c:v>
                </c:pt>
                <c:pt idx="7">
                  <c:v>6816442.5072151786</c:v>
                </c:pt>
                <c:pt idx="8">
                  <c:v>6961505.7772151781</c:v>
                </c:pt>
                <c:pt idx="9">
                  <c:v>8052713.9572151778</c:v>
                </c:pt>
                <c:pt idx="10">
                  <c:v>9827896.8372151759</c:v>
                </c:pt>
                <c:pt idx="11">
                  <c:v>11499672.097215177</c:v>
                </c:pt>
                <c:pt idx="12">
                  <c:v>13559232.077215178</c:v>
                </c:pt>
                <c:pt idx="13">
                  <c:v>15049530.747215176</c:v>
                </c:pt>
                <c:pt idx="14">
                  <c:v>16466848.507215178</c:v>
                </c:pt>
                <c:pt idx="15">
                  <c:v>17878272.107215177</c:v>
                </c:pt>
              </c:numCache>
            </c:numRef>
          </c:val>
          <c:extLst>
            <c:ext xmlns:c16="http://schemas.microsoft.com/office/drawing/2014/chart" uri="{C3380CC4-5D6E-409C-BE32-E72D297353CC}">
              <c16:uniqueId val="{00000006-E32A-4B10-8B23-77CECEAC3326}"/>
            </c:ext>
          </c:extLst>
        </c:ser>
        <c:ser>
          <c:idx val="1"/>
          <c:order val="1"/>
          <c:spPr>
            <a:solidFill>
              <a:srgbClr val="993366"/>
            </a:solidFill>
            <a:ln w="12700">
              <a:solidFill>
                <a:srgbClr val="000000"/>
              </a:solidFill>
              <a:prstDash val="solid"/>
            </a:ln>
          </c:spPr>
          <c:invertIfNegative val="0"/>
          <c:dLbls>
            <c:dLbl>
              <c:idx val="0"/>
              <c:layout>
                <c:manualLayout>
                  <c:x val="-1.898298551841859E-2"/>
                  <c:y val="-2.0416803380381029E-2"/>
                </c:manualLayout>
              </c:layout>
              <c:spPr>
                <a:noFill/>
                <a:ln w="25400">
                  <a:noFill/>
                </a:ln>
              </c:spPr>
              <c:txPr>
                <a:bodyPr/>
                <a:lstStyle/>
                <a:p>
                  <a:pPr>
                    <a:defRPr sz="700" b="0" i="0" u="none" strike="noStrike" baseline="0">
                      <a:solidFill>
                        <a:srgbClr val="FF0000"/>
                      </a:solidFill>
                      <a:latin typeface="Times New Roman"/>
                      <a:ea typeface="Times New Roman"/>
                      <a:cs typeface="Times New Roman"/>
                    </a:defRPr>
                  </a:pPr>
                  <a:endParaRPr lang="es-PE"/>
                </a:p>
              </c:txPr>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32A-4B10-8B23-77CECEAC3326}"/>
                </c:ext>
              </c:extLst>
            </c:dLbl>
            <c:dLbl>
              <c:idx val="1"/>
              <c:layout>
                <c:manualLayout>
                  <c:x val="-2.0511427548829123E-2"/>
                  <c:y val="-1.6474631236531239E-2"/>
                </c:manualLayout>
              </c:layout>
              <c:spPr>
                <a:noFill/>
                <a:ln w="25400">
                  <a:noFill/>
                </a:ln>
              </c:spPr>
              <c:txPr>
                <a:bodyPr wrap="square" lIns="38100" tIns="19050" rIns="38100" bIns="19050" anchor="ctr" anchorCtr="0">
                  <a:noAutofit/>
                </a:bodyPr>
                <a:lstStyle/>
                <a:p>
                  <a:pPr algn="ctr" rtl="0">
                    <a:defRPr lang="en-US" sz="700" b="0" i="0" u="none" strike="noStrike" kern="1200" baseline="0">
                      <a:solidFill>
                        <a:srgbClr val="FF0000"/>
                      </a:solidFill>
                      <a:latin typeface="Times New Roman"/>
                      <a:ea typeface="Times New Roman"/>
                      <a:cs typeface="Times New Roman"/>
                    </a:defRPr>
                  </a:pPr>
                  <a:endParaRPr lang="es-PE"/>
                </a:p>
              </c:txPr>
              <c:showLegendKey val="0"/>
              <c:showVal val="1"/>
              <c:showCatName val="0"/>
              <c:showSerName val="0"/>
              <c:showPercent val="0"/>
              <c:showBubbleSize val="0"/>
              <c:extLst>
                <c:ext xmlns:c15="http://schemas.microsoft.com/office/drawing/2012/chart" uri="{CE6537A1-D6FC-4f65-9D91-7224C49458BB}">
                  <c15:layout>
                    <c:manualLayout>
                      <c:w val="5.5876685934489405E-2"/>
                      <c:h val="2.6200466200466201E-2"/>
                    </c:manualLayout>
                  </c15:layout>
                </c:ext>
                <c:ext xmlns:c16="http://schemas.microsoft.com/office/drawing/2014/chart" uri="{C3380CC4-5D6E-409C-BE32-E72D297353CC}">
                  <c16:uniqueId val="{00000003-DF77-4795-A803-2011F627E129}"/>
                </c:ext>
              </c:extLst>
            </c:dLbl>
            <c:dLbl>
              <c:idx val="2"/>
              <c:layout>
                <c:manualLayout>
                  <c:x val="-2.7929157456716511E-2"/>
                  <c:y val="-2.567369943221014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DF77-4795-A803-2011F627E129}"/>
                </c:ext>
              </c:extLst>
            </c:dLbl>
            <c:dLbl>
              <c:idx val="3"/>
              <c:layout>
                <c:manualLayout>
                  <c:x val="-2.6861327648729224E-2"/>
                  <c:y val="-2.008269172564678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F77-4795-A803-2011F627E129}"/>
                </c:ext>
              </c:extLst>
            </c:dLbl>
            <c:dLbl>
              <c:idx val="4"/>
              <c:layout>
                <c:manualLayout>
                  <c:x val="-5.0559381563318573E-2"/>
                  <c:y val="-3.0879333521778608E-2"/>
                </c:manualLayout>
              </c:layout>
              <c:spPr>
                <a:noFill/>
                <a:ln w="25400">
                  <a:noFill/>
                </a:ln>
              </c:spPr>
              <c:txPr>
                <a:bodyPr/>
                <a:lstStyle/>
                <a:p>
                  <a:pPr>
                    <a:defRPr sz="700" b="0" i="0" u="none" strike="noStrike" baseline="0">
                      <a:solidFill>
                        <a:srgbClr val="FF0000"/>
                      </a:solidFill>
                      <a:latin typeface="Times New Roman"/>
                      <a:ea typeface="Times New Roman"/>
                      <a:cs typeface="Times New Roman"/>
                    </a:defRPr>
                  </a:pPr>
                  <a:endParaRPr lang="es-PE"/>
                </a:p>
              </c:txPr>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E32A-4B10-8B23-77CECEAC3326}"/>
                </c:ext>
              </c:extLst>
            </c:dLbl>
            <c:dLbl>
              <c:idx val="5"/>
              <c:layout>
                <c:manualLayout>
                  <c:x val="-5.4627164174408223E-2"/>
                  <c:y val="-1.766501761902727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DF77-4795-A803-2011F627E129}"/>
                </c:ext>
              </c:extLst>
            </c:dLbl>
            <c:dLbl>
              <c:idx val="6"/>
              <c:layout>
                <c:manualLayout>
                  <c:x val="-1.9820337143171881E-2"/>
                  <c:y val="-3.417046056691731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F77-4795-A803-2011F627E129}"/>
                </c:ext>
              </c:extLst>
            </c:dLbl>
            <c:dLbl>
              <c:idx val="7"/>
              <c:layout>
                <c:manualLayout>
                  <c:x val="-4.4775598417330698E-2"/>
                  <c:y val="-3.118436037523029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DF77-4795-A803-2011F627E129}"/>
                </c:ext>
              </c:extLst>
            </c:dLbl>
            <c:dLbl>
              <c:idx val="8"/>
              <c:layout>
                <c:manualLayout>
                  <c:x val="-2.4618651413575908E-2"/>
                  <c:y val="-2.340111857346789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044-4700-9C6F-4C9EC97E626C}"/>
                </c:ext>
              </c:extLst>
            </c:dLbl>
            <c:dLbl>
              <c:idx val="9"/>
              <c:layout>
                <c:manualLayout>
                  <c:x val="-3.5908543193409775E-2"/>
                  <c:y val="2.7225704627736732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DF77-4795-A803-2011F627E129}"/>
                </c:ext>
              </c:extLst>
            </c:dLbl>
            <c:dLbl>
              <c:idx val="10"/>
              <c:layout>
                <c:manualLayout>
                  <c:x val="5.1331408405518126E-3"/>
                  <c:y val="-9.7031957240450422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55B-449C-82FB-C4BE43C8DFF9}"/>
                </c:ext>
              </c:extLst>
            </c:dLbl>
            <c:dLbl>
              <c:idx val="11"/>
              <c:layout>
                <c:manualLayout>
                  <c:x val="-7.6997112608277185E-2"/>
                  <c:y val="-1.386170817720720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044-4700-9C6F-4C9EC97E626C}"/>
                </c:ext>
              </c:extLst>
            </c:dLbl>
            <c:dLbl>
              <c:idx val="12"/>
              <c:layout>
                <c:manualLayout>
                  <c:x val="1.6685383402015263E-2"/>
                  <c:y val="6.8950128426400626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AD7-4A44-8B23-FF8FA1DCA6B7}"/>
                </c:ext>
              </c:extLst>
            </c:dLbl>
            <c:spPr>
              <a:noFill/>
              <a:ln w="25400">
                <a:noFill/>
              </a:ln>
            </c:spPr>
            <c:txPr>
              <a:bodyPr wrap="square" lIns="38100" tIns="19050" rIns="38100" bIns="19050" anchor="ctr">
                <a:spAutoFit/>
              </a:bodyPr>
              <a:lstStyle/>
              <a:p>
                <a:pPr>
                  <a:defRPr sz="700" b="0" i="0" u="none" strike="noStrike" baseline="0">
                    <a:solidFill>
                      <a:srgbClr val="FF0000"/>
                    </a:solidFill>
                    <a:latin typeface="Times New Roman"/>
                    <a:ea typeface="Times New Roman"/>
                    <a:cs typeface="Times New Roman"/>
                  </a:defRPr>
                </a:pPr>
                <a:endParaRPr lang="es-PE"/>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'CURVA S'!$D$13:$S$14</c:f>
              <c:multiLvlStrCache>
                <c:ptCount val="16"/>
                <c:lvl>
                  <c:pt idx="0">
                    <c:v>11</c:v>
                  </c:pt>
                  <c:pt idx="1">
                    <c:v>31</c:v>
                  </c:pt>
                  <c:pt idx="2">
                    <c:v>30</c:v>
                  </c:pt>
                  <c:pt idx="3">
                    <c:v>31</c:v>
                  </c:pt>
                  <c:pt idx="4">
                    <c:v>31</c:v>
                  </c:pt>
                  <c:pt idx="5">
                    <c:v>30</c:v>
                  </c:pt>
                  <c:pt idx="6">
                    <c:v>31</c:v>
                  </c:pt>
                  <c:pt idx="7">
                    <c:v>30</c:v>
                  </c:pt>
                  <c:pt idx="8">
                    <c:v>31</c:v>
                  </c:pt>
                  <c:pt idx="9">
                    <c:v>31</c:v>
                  </c:pt>
                  <c:pt idx="10">
                    <c:v>28</c:v>
                  </c:pt>
                  <c:pt idx="11">
                    <c:v>31</c:v>
                  </c:pt>
                  <c:pt idx="12">
                    <c:v>30</c:v>
                  </c:pt>
                  <c:pt idx="13">
                    <c:v>31</c:v>
                  </c:pt>
                  <c:pt idx="14">
                    <c:v>30</c:v>
                  </c:pt>
                  <c:pt idx="15">
                    <c:v>27</c:v>
                  </c:pt>
                </c:lvl>
                <c:lvl>
                  <c:pt idx="0">
                    <c:v>20 AL 30 ABRIL             2022</c:v>
                  </c:pt>
                  <c:pt idx="1">
                    <c:v>01 AL 31 MAY. 2022</c:v>
                  </c:pt>
                  <c:pt idx="2">
                    <c:v>01 AL 30  JUN. 2022</c:v>
                  </c:pt>
                  <c:pt idx="3">
                    <c:v>01 AL 31 JUL.      2022</c:v>
                  </c:pt>
                  <c:pt idx="4">
                    <c:v>01 AL 31 AGOS. 2022</c:v>
                  </c:pt>
                  <c:pt idx="5">
                    <c:v>01 AL 30 SEPT. 2022</c:v>
                  </c:pt>
                  <c:pt idx="6">
                    <c:v>01 AL 31 OCT. 2022</c:v>
                  </c:pt>
                  <c:pt idx="7">
                    <c:v>01 AL 30 NOV. 2022</c:v>
                  </c:pt>
                  <c:pt idx="8">
                    <c:v>01 AL 31 DIC.   2022</c:v>
                  </c:pt>
                  <c:pt idx="9">
                    <c:v>01 AL 31 ENE.    2023</c:v>
                  </c:pt>
                  <c:pt idx="10">
                    <c:v>01 AL 28 FEB.   2023</c:v>
                  </c:pt>
                  <c:pt idx="11">
                    <c:v>01 AL 31 MARZ 2023</c:v>
                  </c:pt>
                  <c:pt idx="12">
                    <c:v>01 AL 30 DE ABRIL 2023</c:v>
                  </c:pt>
                  <c:pt idx="13">
                    <c:v>01 AL 31 DE MAYO 2023</c:v>
                  </c:pt>
                  <c:pt idx="14">
                    <c:v>01 AL 30 DE JUNIO 2023</c:v>
                  </c:pt>
                  <c:pt idx="15">
                    <c:v>01 AL 27 DE JULIO 2023</c:v>
                  </c:pt>
                </c:lvl>
              </c:multiLvlStrCache>
            </c:multiLvlStrRef>
          </c:cat>
          <c:val>
            <c:numRef>
              <c:f>'CURVA S'!$D$26:$S$26</c:f>
              <c:numCache>
                <c:formatCode>#,##0.00</c:formatCode>
                <c:ptCount val="16"/>
                <c:pt idx="0">
                  <c:v>1994.0229999999997</c:v>
                </c:pt>
                <c:pt idx="1">
                  <c:v>169926.10059999998</c:v>
                </c:pt>
                <c:pt idx="2">
                  <c:v>375399.06400000001</c:v>
                </c:pt>
                <c:pt idx="3">
                  <c:v>1178626.7749999999</c:v>
                </c:pt>
                <c:pt idx="4">
                  <c:v>3019843.4919999996</c:v>
                </c:pt>
                <c:pt idx="5">
                  <c:v>4989626.6151999999</c:v>
                </c:pt>
                <c:pt idx="6">
                  <c:v>5148335.5631999997</c:v>
                </c:pt>
                <c:pt idx="7">
                  <c:v>6816442.5277999993</c:v>
                </c:pt>
                <c:pt idx="8">
                  <c:v>7068482.0317999991</c:v>
                </c:pt>
              </c:numCache>
            </c:numRef>
          </c:val>
          <c:extLst>
            <c:ext xmlns:c16="http://schemas.microsoft.com/office/drawing/2014/chart" uri="{C3380CC4-5D6E-409C-BE32-E72D297353CC}">
              <c16:uniqueId val="{00000009-E32A-4B10-8B23-77CECEAC3326}"/>
            </c:ext>
          </c:extLst>
        </c:ser>
        <c:dLbls>
          <c:showLegendKey val="0"/>
          <c:showVal val="0"/>
          <c:showCatName val="0"/>
          <c:showSerName val="0"/>
          <c:showPercent val="0"/>
          <c:showBubbleSize val="0"/>
        </c:dLbls>
        <c:gapWidth val="150"/>
        <c:axId val="1589402624"/>
        <c:axId val="1589403168"/>
      </c:barChart>
      <c:catAx>
        <c:axId val="1589402624"/>
        <c:scaling>
          <c:orientation val="minMax"/>
        </c:scaling>
        <c:delete val="0"/>
        <c:axPos val="b"/>
        <c:title>
          <c:tx>
            <c:rich>
              <a:bodyPr/>
              <a:lstStyle/>
              <a:p>
                <a:pPr>
                  <a:defRPr sz="1600" b="1" i="0" u="none" strike="noStrike" baseline="0">
                    <a:solidFill>
                      <a:srgbClr val="000000"/>
                    </a:solidFill>
                    <a:latin typeface="Times New Roman"/>
                    <a:ea typeface="Times New Roman"/>
                    <a:cs typeface="Times New Roman"/>
                  </a:defRPr>
                </a:pPr>
                <a:r>
                  <a:rPr lang="es-PE"/>
                  <a:t>PLAZO CONTRACTUAL</a:t>
                </a:r>
              </a:p>
            </c:rich>
          </c:tx>
          <c:layout>
            <c:manualLayout>
              <c:xMode val="edge"/>
              <c:yMode val="edge"/>
              <c:x val="0.41959350042243065"/>
              <c:y val="0.94250474149042274"/>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700" b="0" i="0" u="none" strike="noStrike" baseline="0">
                <a:solidFill>
                  <a:srgbClr val="000000"/>
                </a:solidFill>
                <a:latin typeface="Times New Roman"/>
                <a:ea typeface="Times New Roman"/>
                <a:cs typeface="Times New Roman"/>
              </a:defRPr>
            </a:pPr>
            <a:endParaRPr lang="es-PE"/>
          </a:p>
        </c:txPr>
        <c:crossAx val="1589403168"/>
        <c:crosses val="autoZero"/>
        <c:auto val="1"/>
        <c:lblAlgn val="ctr"/>
        <c:lblOffset val="100"/>
        <c:tickLblSkip val="1"/>
        <c:tickMarkSkip val="1"/>
        <c:noMultiLvlLbl val="0"/>
      </c:catAx>
      <c:valAx>
        <c:axId val="1589403168"/>
        <c:scaling>
          <c:orientation val="minMax"/>
        </c:scaling>
        <c:delete val="0"/>
        <c:axPos val="l"/>
        <c:majorGridlines>
          <c:spPr>
            <a:ln w="3175">
              <a:solidFill>
                <a:srgbClr val="000000"/>
              </a:solidFill>
              <a:prstDash val="solid"/>
            </a:ln>
          </c:spPr>
        </c:majorGridlines>
        <c:title>
          <c:tx>
            <c:rich>
              <a:bodyPr/>
              <a:lstStyle/>
              <a:p>
                <a:pPr>
                  <a:defRPr sz="1200" b="1" i="0" u="none" strike="noStrike" baseline="0">
                    <a:solidFill>
                      <a:srgbClr val="000000"/>
                    </a:solidFill>
                    <a:latin typeface="Times New Roman"/>
                    <a:ea typeface="Times New Roman"/>
                    <a:cs typeface="Times New Roman"/>
                  </a:defRPr>
                </a:pPr>
                <a:r>
                  <a:rPr lang="es-PE"/>
                  <a:t>MONTOS ACUMULADOS</a:t>
                </a:r>
              </a:p>
            </c:rich>
          </c:tx>
          <c:layout>
            <c:manualLayout>
              <c:xMode val="edge"/>
              <c:yMode val="edge"/>
              <c:x val="1.6685481408976448E-2"/>
              <c:y val="0.34398398978504979"/>
            </c:manualLayout>
          </c:layout>
          <c:overlay val="0"/>
          <c:spPr>
            <a:noFill/>
            <a:ln w="25400">
              <a:noFill/>
            </a:ln>
          </c:spPr>
        </c:title>
        <c:numFmt formatCode="#,##0_);\(#,##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Times New Roman"/>
                <a:ea typeface="Times New Roman"/>
                <a:cs typeface="Times New Roman"/>
              </a:defRPr>
            </a:pPr>
            <a:endParaRPr lang="es-PE"/>
          </a:p>
        </c:txPr>
        <c:crossAx val="1589402624"/>
        <c:crosses val="autoZero"/>
        <c:crossBetween val="between"/>
      </c:valAx>
      <c:spPr>
        <a:noFill/>
        <a:ln w="3175">
          <a:solidFill>
            <a:srgbClr val="000000"/>
          </a:solidFill>
          <a:prstDash val="solid"/>
        </a:ln>
      </c:spPr>
    </c:plotArea>
    <c:legend>
      <c:legendPos val="t"/>
      <c:legendEntry>
        <c:idx val="0"/>
        <c:txPr>
          <a:bodyPr/>
          <a:lstStyle/>
          <a:p>
            <a:pPr>
              <a:defRPr sz="900" b="0" i="0" u="none" strike="noStrike" baseline="0">
                <a:solidFill>
                  <a:srgbClr val="000000"/>
                </a:solidFill>
                <a:latin typeface="Times New Roman"/>
                <a:ea typeface="Times New Roman"/>
                <a:cs typeface="Times New Roman"/>
              </a:defRPr>
            </a:pPr>
            <a:endParaRPr lang="es-PE"/>
          </a:p>
        </c:txPr>
      </c:legendEntry>
      <c:legendEntry>
        <c:idx val="1"/>
        <c:txPr>
          <a:bodyPr/>
          <a:lstStyle/>
          <a:p>
            <a:pPr>
              <a:defRPr sz="900" b="0" i="0" u="none" strike="noStrike" baseline="0">
                <a:solidFill>
                  <a:srgbClr val="000000"/>
                </a:solidFill>
                <a:latin typeface="Times New Roman"/>
                <a:ea typeface="Times New Roman"/>
                <a:cs typeface="Times New Roman"/>
              </a:defRPr>
            </a:pPr>
            <a:endParaRPr lang="es-PE"/>
          </a:p>
        </c:txPr>
      </c:legendEntry>
      <c:layout>
        <c:manualLayout>
          <c:xMode val="edge"/>
          <c:yMode val="edge"/>
          <c:x val="0.74686585815323314"/>
          <c:y val="7.0045115444875031E-2"/>
          <c:w val="0.15534277515901376"/>
          <c:h val="3.0196614729188248E-2"/>
        </c:manualLayout>
      </c:layout>
      <c:overlay val="0"/>
      <c:spPr>
        <a:solidFill>
          <a:srgbClr val="FFFFFF"/>
        </a:solidFill>
        <a:ln w="3175">
          <a:solidFill>
            <a:srgbClr val="000000"/>
          </a:solidFill>
          <a:prstDash val="solid"/>
        </a:ln>
      </c:spPr>
      <c:txPr>
        <a:bodyPr/>
        <a:lstStyle/>
        <a:p>
          <a:pPr>
            <a:defRPr sz="900" b="0" i="0" u="none" strike="noStrike" baseline="0">
              <a:solidFill>
                <a:srgbClr val="000000"/>
              </a:solidFill>
              <a:latin typeface="Times New Roman"/>
              <a:ea typeface="Times New Roman"/>
              <a:cs typeface="Times New Roman"/>
            </a:defRPr>
          </a:pPr>
          <a:endParaRPr lang="es-PE"/>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Times New Roman"/>
          <a:ea typeface="Times New Roman"/>
          <a:cs typeface="Times New Roman"/>
        </a:defRPr>
      </a:pPr>
      <a:endParaRPr lang="es-PE"/>
    </a:p>
  </c:txPr>
  <c:printSettings>
    <c:headerFooter alignWithMargins="0"/>
    <c:pageMargins b="0.98425196850393704" l="0.39370078740157483" r="0.39370078740157483" t="0.98425196850393704" header="0" footer="0"/>
    <c:pageSetup paperSize="9" orientation="landscape" horizontalDpi="120" verticalDpi="144"/>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500" b="1" i="0" u="none" strike="noStrike" baseline="0">
                <a:solidFill>
                  <a:srgbClr val="000000"/>
                </a:solidFill>
                <a:latin typeface="Calibri"/>
                <a:ea typeface="Calibri"/>
                <a:cs typeface="Calibri"/>
              </a:defRPr>
            </a:pPr>
            <a:r>
              <a:rPr lang="es-PE"/>
              <a:t>CURVA S</a:t>
            </a:r>
          </a:p>
        </c:rich>
      </c:tx>
      <c:layout>
        <c:manualLayout>
          <c:xMode val="edge"/>
          <c:yMode val="edge"/>
          <c:x val="0.4269290332961253"/>
          <c:y val="4.1491027284380151E-2"/>
        </c:manualLayout>
      </c:layout>
      <c:overlay val="0"/>
    </c:title>
    <c:autoTitleDeleted val="0"/>
    <c:plotArea>
      <c:layout>
        <c:manualLayout>
          <c:layoutTarget val="inner"/>
          <c:xMode val="edge"/>
          <c:yMode val="edge"/>
          <c:x val="0.11891707089665528"/>
          <c:y val="0.1187336742470519"/>
          <c:w val="0.8414336628482656"/>
          <c:h val="0.72901543390478885"/>
        </c:manualLayout>
      </c:layout>
      <c:lineChart>
        <c:grouping val="standard"/>
        <c:varyColors val="0"/>
        <c:ser>
          <c:idx val="1"/>
          <c:order val="0"/>
          <c:tx>
            <c:strRef>
              <c:f>'CURVA S'!$B$26</c:f>
              <c:strCache>
                <c:ptCount val="1"/>
                <c:pt idx="0">
                  <c:v>Ejec. Acum.</c:v>
                </c:pt>
              </c:strCache>
            </c:strRef>
          </c:tx>
          <c:dLbls>
            <c:dLbl>
              <c:idx val="0"/>
              <c:layout>
                <c:manualLayout>
                  <c:x val="-4.3346820881839533E-2"/>
                  <c:y val="-2.027644070992881E-2"/>
                </c:manualLayout>
              </c:layout>
              <c:spPr/>
              <c:txPr>
                <a:bodyPr/>
                <a:lstStyle/>
                <a:p>
                  <a:pPr>
                    <a:defRPr sz="1000" b="0" i="0" u="none" strike="noStrike" baseline="0">
                      <a:solidFill>
                        <a:srgbClr val="FF0000"/>
                      </a:solidFill>
                      <a:latin typeface="Calibri"/>
                      <a:ea typeface="Calibri"/>
                      <a:cs typeface="Calibri"/>
                    </a:defRPr>
                  </a:pPr>
                  <a:endParaRPr lang="es-PE"/>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A2-42C3-A141-F02B3C044452}"/>
                </c:ext>
              </c:extLst>
            </c:dLbl>
            <c:dLbl>
              <c:idx val="1"/>
              <c:layout>
                <c:manualLayout>
                  <c:x val="-4.4639013424757339E-2"/>
                  <c:y val="-2.420448327351307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27A2-42C3-A141-F02B3C044452}"/>
                </c:ext>
              </c:extLst>
            </c:dLbl>
            <c:dLbl>
              <c:idx val="2"/>
              <c:layout>
                <c:manualLayout>
                  <c:x val="-3.9557146265807683E-2"/>
                  <c:y val="-1.9400684455079274E-2"/>
                </c:manualLayout>
              </c:layout>
              <c:spPr>
                <a:noFill/>
                <a:ln w="25400">
                  <a:noFill/>
                </a:ln>
              </c:spPr>
              <c:txPr>
                <a:bodyPr/>
                <a:lstStyle/>
                <a:p>
                  <a:pPr>
                    <a:defRPr sz="1000" b="0" i="0" u="none" strike="noStrike" baseline="0">
                      <a:solidFill>
                        <a:srgbClr val="FF0000"/>
                      </a:solidFill>
                      <a:latin typeface="Calibri"/>
                      <a:ea typeface="Calibri"/>
                      <a:cs typeface="Calibri"/>
                    </a:defRPr>
                  </a:pPr>
                  <a:endParaRPr lang="es-PE"/>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27A2-42C3-A141-F02B3C044452}"/>
                </c:ext>
              </c:extLst>
            </c:dLbl>
            <c:dLbl>
              <c:idx val="3"/>
              <c:layout>
                <c:manualLayout>
                  <c:x val="-4.5962093457534485E-2"/>
                  <c:y val="-2.4687376394320067E-2"/>
                </c:manualLayout>
              </c:layout>
              <c:spPr>
                <a:noFill/>
                <a:ln w="25400">
                  <a:noFill/>
                </a:ln>
              </c:spPr>
              <c:txPr>
                <a:bodyPr/>
                <a:lstStyle/>
                <a:p>
                  <a:pPr>
                    <a:defRPr sz="1000" b="0" i="0" u="none" strike="noStrike" baseline="0">
                      <a:solidFill>
                        <a:srgbClr val="FF0000"/>
                      </a:solidFill>
                      <a:latin typeface="Calibri"/>
                      <a:ea typeface="Calibri"/>
                      <a:cs typeface="Calibri"/>
                    </a:defRPr>
                  </a:pPr>
                  <a:endParaRPr lang="es-PE"/>
                </a:p>
              </c:txPr>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27A2-42C3-A141-F02B3C044452}"/>
                </c:ext>
              </c:extLst>
            </c:dLbl>
            <c:dLbl>
              <c:idx val="4"/>
              <c:layout>
                <c:manualLayout>
                  <c:x val="-5.8214058841430737E-2"/>
                  <c:y val="-2.5941031291571014E-2"/>
                </c:manualLayout>
              </c:layout>
              <c:spPr>
                <a:noFill/>
                <a:ln w="25400">
                  <a:noFill/>
                </a:ln>
              </c:spPr>
              <c:txPr>
                <a:bodyPr/>
                <a:lstStyle/>
                <a:p>
                  <a:pPr>
                    <a:defRPr sz="1000" b="0" i="0" u="none" strike="noStrike" baseline="0">
                      <a:solidFill>
                        <a:srgbClr val="FF0000"/>
                      </a:solidFill>
                      <a:latin typeface="Calibri"/>
                      <a:ea typeface="Calibri"/>
                      <a:cs typeface="Calibri"/>
                    </a:defRPr>
                  </a:pPr>
                  <a:endParaRPr lang="es-PE"/>
                </a:p>
              </c:txPr>
              <c:dLblPos val="r"/>
              <c:showLegendKey val="0"/>
              <c:showVal val="1"/>
              <c:showCatName val="0"/>
              <c:showSerName val="0"/>
              <c:showPercent val="0"/>
              <c:showBubbleSize val="0"/>
              <c:extLst>
                <c:ext xmlns:c15="http://schemas.microsoft.com/office/drawing/2012/chart" uri="{CE6537A1-D6FC-4f65-9D91-7224C49458BB}">
                  <c15:layout>
                    <c:manualLayout>
                      <c:w val="4.9590646452482623E-2"/>
                      <c:h val="2.3755530027671973E-2"/>
                    </c:manualLayout>
                  </c15:layout>
                </c:ext>
                <c:ext xmlns:c16="http://schemas.microsoft.com/office/drawing/2014/chart" uri="{C3380CC4-5D6E-409C-BE32-E72D297353CC}">
                  <c16:uniqueId val="{0000000A-27A2-42C3-A141-F02B3C044452}"/>
                </c:ext>
              </c:extLst>
            </c:dLbl>
            <c:dLbl>
              <c:idx val="5"/>
              <c:layout>
                <c:manualLayout>
                  <c:x val="-5.6053143792797806E-2"/>
                  <c:y val="-1.88491179881759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E14-44FF-8E60-68EFECE72A35}"/>
                </c:ext>
              </c:extLst>
            </c:dLbl>
            <c:dLbl>
              <c:idx val="6"/>
              <c:layout>
                <c:manualLayout>
                  <c:x val="-3.7038069265064942E-2"/>
                  <c:y val="-3.161863224239498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E14-44FF-8E60-68EFECE72A35}"/>
                </c:ext>
              </c:extLst>
            </c:dLbl>
            <c:dLbl>
              <c:idx val="7"/>
              <c:layout>
                <c:manualLayout>
                  <c:x val="-5.0912703340370097E-2"/>
                  <c:y val="-2.097264941624946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AB-46B8-9204-1076D16CFAC5}"/>
                </c:ext>
              </c:extLst>
            </c:dLbl>
            <c:dLbl>
              <c:idx val="8"/>
              <c:layout>
                <c:manualLayout>
                  <c:x val="-5.2289993214349594E-2"/>
                  <c:y val="-2.478769751768668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5C7-4361-AF27-52F91C6DDCEF}"/>
                </c:ext>
              </c:extLst>
            </c:dLbl>
            <c:dLbl>
              <c:idx val="9"/>
              <c:layout>
                <c:manualLayout>
                  <c:x val="-4.0978517322736961E-2"/>
                  <c:y val="-2.027606644311003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BCE-47D6-A9DB-57DC6E9CCD1E}"/>
                </c:ext>
              </c:extLst>
            </c:dLbl>
            <c:dLbl>
              <c:idx val="10"/>
              <c:layout>
                <c:manualLayout>
                  <c:x val="-2.483546504408304E-2"/>
                  <c:y val="-2.339546128051158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BCE-47D6-A9DB-57DC6E9CCD1E}"/>
                </c:ext>
              </c:extLst>
            </c:dLbl>
            <c:dLbl>
              <c:idx val="11"/>
              <c:layout>
                <c:manualLayout>
                  <c:x val="-2.583192684244129E-3"/>
                  <c:y val="7.1706229769757874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E14-44FF-8E60-68EFECE72A35}"/>
                </c:ext>
              </c:extLst>
            </c:dLbl>
            <c:dLbl>
              <c:idx val="12"/>
              <c:layout>
                <c:manualLayout>
                  <c:x val="0"/>
                  <c:y val="6.281900274833137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1F0-4CBE-BE57-2981E403DE90}"/>
                </c:ext>
              </c:extLst>
            </c:dLbl>
            <c:spPr>
              <a:noFill/>
              <a:ln w="25400">
                <a:noFill/>
              </a:ln>
            </c:spPr>
            <c:txPr>
              <a:bodyPr wrap="square" lIns="38100" tIns="19050" rIns="38100" bIns="19050" anchor="ctr">
                <a:spAutoFit/>
              </a:bodyPr>
              <a:lstStyle/>
              <a:p>
                <a:pPr>
                  <a:defRPr sz="1000" b="0" i="0" u="none" strike="noStrike" baseline="0">
                    <a:solidFill>
                      <a:srgbClr val="FF0000"/>
                    </a:solidFill>
                    <a:latin typeface="Calibri"/>
                    <a:ea typeface="Calibri"/>
                    <a:cs typeface="Calibri"/>
                  </a:defRPr>
                </a:pPr>
                <a:endParaRPr lang="es-PE"/>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'CURVA S'!$D$13:$S$14</c:f>
              <c:multiLvlStrCache>
                <c:ptCount val="16"/>
                <c:lvl>
                  <c:pt idx="0">
                    <c:v>11</c:v>
                  </c:pt>
                  <c:pt idx="1">
                    <c:v>31</c:v>
                  </c:pt>
                  <c:pt idx="2">
                    <c:v>30</c:v>
                  </c:pt>
                  <c:pt idx="3">
                    <c:v>31</c:v>
                  </c:pt>
                  <c:pt idx="4">
                    <c:v>31</c:v>
                  </c:pt>
                  <c:pt idx="5">
                    <c:v>30</c:v>
                  </c:pt>
                  <c:pt idx="6">
                    <c:v>31</c:v>
                  </c:pt>
                  <c:pt idx="7">
                    <c:v>30</c:v>
                  </c:pt>
                  <c:pt idx="8">
                    <c:v>31</c:v>
                  </c:pt>
                  <c:pt idx="9">
                    <c:v>31</c:v>
                  </c:pt>
                  <c:pt idx="10">
                    <c:v>28</c:v>
                  </c:pt>
                  <c:pt idx="11">
                    <c:v>31</c:v>
                  </c:pt>
                  <c:pt idx="12">
                    <c:v>30</c:v>
                  </c:pt>
                  <c:pt idx="13">
                    <c:v>31</c:v>
                  </c:pt>
                  <c:pt idx="14">
                    <c:v>30</c:v>
                  </c:pt>
                  <c:pt idx="15">
                    <c:v>27</c:v>
                  </c:pt>
                </c:lvl>
                <c:lvl>
                  <c:pt idx="0">
                    <c:v>20 AL 30 ABRIL             2022</c:v>
                  </c:pt>
                  <c:pt idx="1">
                    <c:v>01 AL 31 MAY. 2022</c:v>
                  </c:pt>
                  <c:pt idx="2">
                    <c:v>01 AL 30  JUN. 2022</c:v>
                  </c:pt>
                  <c:pt idx="3">
                    <c:v>01 AL 31 JUL.      2022</c:v>
                  </c:pt>
                  <c:pt idx="4">
                    <c:v>01 AL 31 AGOS. 2022</c:v>
                  </c:pt>
                  <c:pt idx="5">
                    <c:v>01 AL 30 SEPT. 2022</c:v>
                  </c:pt>
                  <c:pt idx="6">
                    <c:v>01 AL 31 OCT. 2022</c:v>
                  </c:pt>
                  <c:pt idx="7">
                    <c:v>01 AL 30 NOV. 2022</c:v>
                  </c:pt>
                  <c:pt idx="8">
                    <c:v>01 AL 31 DIC.   2022</c:v>
                  </c:pt>
                  <c:pt idx="9">
                    <c:v>01 AL 31 ENE.    2023</c:v>
                  </c:pt>
                  <c:pt idx="10">
                    <c:v>01 AL 28 FEB.   2023</c:v>
                  </c:pt>
                  <c:pt idx="11">
                    <c:v>01 AL 31 MARZ 2023</c:v>
                  </c:pt>
                  <c:pt idx="12">
                    <c:v>01 AL 30 DE ABRIL 2023</c:v>
                  </c:pt>
                  <c:pt idx="13">
                    <c:v>01 AL 31 DE MAYO 2023</c:v>
                  </c:pt>
                  <c:pt idx="14">
                    <c:v>01 AL 30 DE JUNIO 2023</c:v>
                  </c:pt>
                  <c:pt idx="15">
                    <c:v>01 AL 27 DE JULIO 2023</c:v>
                  </c:pt>
                </c:lvl>
              </c:multiLvlStrCache>
            </c:multiLvlStrRef>
          </c:cat>
          <c:val>
            <c:numRef>
              <c:f>'CURVA S'!$D$40:$L$40</c:f>
              <c:numCache>
                <c:formatCode>0.00%</c:formatCode>
                <c:ptCount val="9"/>
                <c:pt idx="0">
                  <c:v>1.1153331753996892E-4</c:v>
                </c:pt>
                <c:pt idx="1">
                  <c:v>9.5046154114313153E-3</c:v>
                </c:pt>
                <c:pt idx="2">
                  <c:v>2.0997502541003351E-2</c:v>
                </c:pt>
                <c:pt idx="3">
                  <c:v>6.5925094322976469E-2</c:v>
                </c:pt>
                <c:pt idx="4">
                  <c:v>0.16891137319591831</c:v>
                </c:pt>
                <c:pt idx="5">
                  <c:v>0.27908886190328897</c:v>
                </c:pt>
                <c:pt idx="6">
                  <c:v>0.28796605915413231</c:v>
                </c:pt>
                <c:pt idx="7">
                  <c:v>0.3812696488185271</c:v>
                </c:pt>
                <c:pt idx="8">
                  <c:v>0.39536718030750606</c:v>
                </c:pt>
              </c:numCache>
            </c:numRef>
          </c:val>
          <c:smooth val="0"/>
          <c:extLst>
            <c:ext xmlns:c16="http://schemas.microsoft.com/office/drawing/2014/chart" uri="{C3380CC4-5D6E-409C-BE32-E72D297353CC}">
              <c16:uniqueId val="{0000000B-27A2-42C3-A141-F02B3C044452}"/>
            </c:ext>
          </c:extLst>
        </c:ser>
        <c:ser>
          <c:idx val="0"/>
          <c:order val="1"/>
          <c:dLbls>
            <c:dLbl>
              <c:idx val="0"/>
              <c:layout>
                <c:manualLayout>
                  <c:x val="-2.8765133493733087E-2"/>
                  <c:y val="-4.4690103166493661E-2"/>
                </c:manualLayout>
              </c:layout>
              <c:tx>
                <c:rich>
                  <a:bodyPr/>
                  <a:lstStyle/>
                  <a:p>
                    <a:pPr>
                      <a:defRPr sz="1000" b="0" i="0" u="none" strike="noStrike" baseline="0">
                        <a:solidFill>
                          <a:srgbClr val="000000"/>
                        </a:solidFill>
                        <a:latin typeface="Calibri"/>
                        <a:ea typeface="Calibri"/>
                        <a:cs typeface="Calibri"/>
                      </a:defRPr>
                    </a:pPr>
                    <a:fld id="{3900C2AD-678A-4360-A29D-5725C1F9621B}" type="CELLRANGE">
                      <a:rPr lang="en-US"/>
                      <a:pPr>
                        <a:defRPr sz="1000" b="0" i="0" u="none" strike="noStrike" baseline="0">
                          <a:solidFill>
                            <a:srgbClr val="000000"/>
                          </a:solidFill>
                          <a:latin typeface="Calibri"/>
                          <a:ea typeface="Calibri"/>
                          <a:cs typeface="Calibri"/>
                        </a:defRPr>
                      </a:pPr>
                      <a:t>[CELLRANGE]</a:t>
                    </a:fld>
                    <a:endParaRPr lang="es-PE"/>
                  </a:p>
                </c:rich>
              </c:tx>
              <c:numFmt formatCode="#,##0.00" sourceLinked="0"/>
              <c:spPr/>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0-27A2-42C3-A141-F02B3C044452}"/>
                </c:ext>
              </c:extLst>
            </c:dLbl>
            <c:dLbl>
              <c:idx val="1"/>
              <c:layout>
                <c:manualLayout>
                  <c:x val="-3.8208513721135304E-2"/>
                  <c:y val="-4.5713501202268296E-2"/>
                </c:manualLayout>
              </c:layout>
              <c:tx>
                <c:rich>
                  <a:bodyPr/>
                  <a:lstStyle/>
                  <a:p>
                    <a:pPr>
                      <a:defRPr sz="1000" b="0" i="0" u="none" strike="noStrike" baseline="0">
                        <a:solidFill>
                          <a:srgbClr val="000000"/>
                        </a:solidFill>
                        <a:latin typeface="Calibri"/>
                        <a:ea typeface="Calibri"/>
                        <a:cs typeface="Calibri"/>
                      </a:defRPr>
                    </a:pPr>
                    <a:fld id="{6EDBE5C6-3AF6-427D-BB3B-2634A570C462}" type="CELLRANGE">
                      <a:rPr lang="en-US"/>
                      <a:pPr>
                        <a:defRPr sz="1000" b="0" i="0" u="none" strike="noStrike" baseline="0">
                          <a:solidFill>
                            <a:srgbClr val="000000"/>
                          </a:solidFill>
                          <a:latin typeface="Calibri"/>
                          <a:ea typeface="Calibri"/>
                          <a:cs typeface="Calibri"/>
                        </a:defRPr>
                      </a:pPr>
                      <a:t>[CELLRANGE]</a:t>
                    </a:fld>
                    <a:endParaRPr lang="es-PE"/>
                  </a:p>
                </c:rich>
              </c:tx>
              <c:numFmt formatCode="#,##0.00" sourceLinked="0"/>
              <c:spPr/>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1-27A2-42C3-A141-F02B3C044452}"/>
                </c:ext>
              </c:extLst>
            </c:dLbl>
            <c:dLbl>
              <c:idx val="2"/>
              <c:layout>
                <c:manualLayout>
                  <c:x val="-4.6903776677759308E-2"/>
                  <c:y val="-4.4319691880796208E-2"/>
                </c:manualLayout>
              </c:layout>
              <c:tx>
                <c:rich>
                  <a:bodyPr/>
                  <a:lstStyle/>
                  <a:p>
                    <a:pPr>
                      <a:defRPr sz="1000" b="0" i="0" u="none" strike="noStrike" baseline="0">
                        <a:solidFill>
                          <a:srgbClr val="000000"/>
                        </a:solidFill>
                        <a:latin typeface="Calibri"/>
                        <a:ea typeface="Calibri"/>
                        <a:cs typeface="Calibri"/>
                      </a:defRPr>
                    </a:pPr>
                    <a:fld id="{C13899D4-22E1-4355-99B5-78178A0E50F3}" type="CELLRANGE">
                      <a:rPr lang="en-US"/>
                      <a:pPr>
                        <a:defRPr sz="1000" b="0" i="0" u="none" strike="noStrike" baseline="0">
                          <a:solidFill>
                            <a:srgbClr val="000000"/>
                          </a:solidFill>
                          <a:latin typeface="Calibri"/>
                          <a:ea typeface="Calibri"/>
                          <a:cs typeface="Calibri"/>
                        </a:defRPr>
                      </a:pPr>
                      <a:t>[CELLRANGE]</a:t>
                    </a:fld>
                    <a:endParaRPr lang="es-PE"/>
                  </a:p>
                </c:rich>
              </c:tx>
              <c:numFmt formatCode="#,##0.00" sourceLinked="0"/>
              <c:spPr/>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2-27A2-42C3-A141-F02B3C044452}"/>
                </c:ext>
              </c:extLst>
            </c:dLbl>
            <c:dLbl>
              <c:idx val="3"/>
              <c:layout>
                <c:manualLayout>
                  <c:x val="1.7382176712049061E-3"/>
                  <c:y val="1.5046731925677131E-2"/>
                </c:manualLayout>
              </c:layout>
              <c:tx>
                <c:rich>
                  <a:bodyPr/>
                  <a:lstStyle/>
                  <a:p>
                    <a:pPr>
                      <a:defRPr sz="1000" b="0" i="0" u="none" strike="noStrike" baseline="0">
                        <a:solidFill>
                          <a:srgbClr val="000000"/>
                        </a:solidFill>
                        <a:latin typeface="Calibri"/>
                        <a:ea typeface="Calibri"/>
                        <a:cs typeface="Calibri"/>
                      </a:defRPr>
                    </a:pPr>
                    <a:fld id="{0FF4DD33-AA95-4281-81B2-7297F526687C}" type="CELLRANGE">
                      <a:rPr lang="en-US"/>
                      <a:pPr>
                        <a:defRPr sz="1000" b="0" i="0" u="none" strike="noStrike" baseline="0">
                          <a:solidFill>
                            <a:srgbClr val="000000"/>
                          </a:solidFill>
                          <a:latin typeface="Calibri"/>
                          <a:ea typeface="Calibri"/>
                          <a:cs typeface="Calibri"/>
                        </a:defRPr>
                      </a:pPr>
                      <a:t>[CELLRANGE]</a:t>
                    </a:fld>
                    <a:endParaRPr lang="es-PE"/>
                  </a:p>
                </c:rich>
              </c:tx>
              <c:numFmt formatCode="#,##0.00" sourceLinked="0"/>
              <c:spPr/>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3-27A2-42C3-A141-F02B3C044452}"/>
                </c:ext>
              </c:extLst>
            </c:dLbl>
            <c:dLbl>
              <c:idx val="4"/>
              <c:layout>
                <c:manualLayout>
                  <c:x val="-1.4172708134330635E-3"/>
                  <c:y val="1.4181312592958543E-2"/>
                </c:manualLayout>
              </c:layout>
              <c:tx>
                <c:rich>
                  <a:bodyPr/>
                  <a:lstStyle/>
                  <a:p>
                    <a:pPr>
                      <a:defRPr sz="1000" b="0" i="0" u="none" strike="noStrike" baseline="0">
                        <a:solidFill>
                          <a:srgbClr val="000000"/>
                        </a:solidFill>
                        <a:latin typeface="Calibri"/>
                        <a:ea typeface="Calibri"/>
                        <a:cs typeface="Calibri"/>
                      </a:defRPr>
                    </a:pPr>
                    <a:fld id="{E958ADFB-D2BC-4F9B-BEE0-CD7B36600609}" type="CELLRANGE">
                      <a:rPr lang="en-US"/>
                      <a:pPr>
                        <a:defRPr sz="1000" b="0" i="0" u="none" strike="noStrike" baseline="0">
                          <a:solidFill>
                            <a:srgbClr val="000000"/>
                          </a:solidFill>
                          <a:latin typeface="Calibri"/>
                          <a:ea typeface="Calibri"/>
                          <a:cs typeface="Calibri"/>
                        </a:defRPr>
                      </a:pPr>
                      <a:t>[CELLRANGE]</a:t>
                    </a:fld>
                    <a:endParaRPr lang="es-PE"/>
                  </a:p>
                </c:rich>
              </c:tx>
              <c:numFmt formatCode="#,##0.00" sourceLinked="0"/>
              <c:spPr/>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4-27A2-42C3-A141-F02B3C044452}"/>
                </c:ext>
              </c:extLst>
            </c:dLbl>
            <c:dLbl>
              <c:idx val="5"/>
              <c:layout>
                <c:manualLayout>
                  <c:x val="-9.0439147615215161E-3"/>
                  <c:y val="2.3454312467497393E-2"/>
                </c:manualLayout>
              </c:layout>
              <c:tx>
                <c:rich>
                  <a:bodyPr/>
                  <a:lstStyle/>
                  <a:p>
                    <a:pPr>
                      <a:defRPr sz="1000" b="0" i="0" u="none" strike="noStrike" baseline="0">
                        <a:solidFill>
                          <a:srgbClr val="000000"/>
                        </a:solidFill>
                        <a:latin typeface="Calibri"/>
                        <a:ea typeface="Calibri"/>
                        <a:cs typeface="Calibri"/>
                      </a:defRPr>
                    </a:pPr>
                    <a:fld id="{8E3D2D9A-2116-4788-AECD-D0E7F55D693A}" type="CELLRANGE">
                      <a:rPr lang="en-US"/>
                      <a:pPr>
                        <a:defRPr sz="1000" b="0" i="0" u="none" strike="noStrike" baseline="0">
                          <a:solidFill>
                            <a:srgbClr val="000000"/>
                          </a:solidFill>
                          <a:latin typeface="Calibri"/>
                          <a:ea typeface="Calibri"/>
                          <a:cs typeface="Calibri"/>
                        </a:defRPr>
                      </a:pPr>
                      <a:t>[CELLRANGE]</a:t>
                    </a:fld>
                    <a:endParaRPr lang="es-PE"/>
                  </a:p>
                </c:rich>
              </c:tx>
              <c:numFmt formatCode="#,##0.00" sourceLinked="0"/>
              <c:spPr/>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5-27A2-42C3-A141-F02B3C044452}"/>
                </c:ext>
              </c:extLst>
            </c:dLbl>
            <c:dLbl>
              <c:idx val="6"/>
              <c:tx>
                <c:rich>
                  <a:bodyPr/>
                  <a:lstStyle/>
                  <a:p>
                    <a:fld id="{2B9629CE-9E49-46C9-BE07-8F69FEC75CAD}" type="CELLRANGE">
                      <a:rPr lang="es-PE"/>
                      <a:pPr/>
                      <a:t>[CELLRANGE]</a:t>
                    </a:fld>
                    <a:endParaRPr lang="es-PE"/>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3F77-49F8-8B24-784146337328}"/>
                </c:ext>
              </c:extLst>
            </c:dLbl>
            <c:dLbl>
              <c:idx val="7"/>
              <c:layout>
                <c:manualLayout>
                  <c:x val="-1.3541854734036005E-3"/>
                  <c:y val="6.021764371556348E-3"/>
                </c:manualLayout>
              </c:layout>
              <c:tx>
                <c:rich>
                  <a:bodyPr/>
                  <a:lstStyle/>
                  <a:p>
                    <a:fld id="{3BCEE742-0869-4291-A0F1-7EC669A5D967}" type="CELLRANGE">
                      <a:rPr lang="en-US"/>
                      <a:pPr/>
                      <a:t>[CELLRANGE]</a:t>
                    </a:fld>
                    <a:endParaRPr lang="es-PE"/>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1-14AB-46B8-9204-1076D16CFAC5}"/>
                </c:ext>
              </c:extLst>
            </c:dLbl>
            <c:dLbl>
              <c:idx val="8"/>
              <c:layout>
                <c:manualLayout>
                  <c:x val="-1.318638857833018E-3"/>
                  <c:y val="1.2402614982380013E-2"/>
                </c:manualLayout>
              </c:layout>
              <c:tx>
                <c:rich>
                  <a:bodyPr/>
                  <a:lstStyle/>
                  <a:p>
                    <a:fld id="{B2376344-B93C-461E-A51D-6B5089F10BAA}" type="CELLRANGE">
                      <a:rPr lang="en-US"/>
                      <a:pPr/>
                      <a:t>[CELLRANGE]</a:t>
                    </a:fld>
                    <a:endParaRPr lang="es-PE"/>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1-45C7-4361-AF27-52F91C6DDCEF}"/>
                </c:ext>
              </c:extLst>
            </c:dLbl>
            <c:dLbl>
              <c:idx val="9"/>
              <c:tx>
                <c:rich>
                  <a:bodyPr/>
                  <a:lstStyle/>
                  <a:p>
                    <a:fld id="{6F0FCB2C-9795-4E9D-BDC4-F7B2A96C1AFC}" type="CELLRANGE">
                      <a:rPr lang="es-PE"/>
                      <a:pPr/>
                      <a:t>[CELLRANGE]</a:t>
                    </a:fld>
                    <a:endParaRPr lang="es-PE"/>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3F77-49F8-8B24-784146337328}"/>
                </c:ext>
              </c:extLst>
            </c:dLbl>
            <c:dLbl>
              <c:idx val="10"/>
              <c:layout>
                <c:manualLayout>
                  <c:x val="1.3259690921173471E-3"/>
                  <c:y val="8.7626091806926477E-3"/>
                </c:manualLayout>
              </c:layout>
              <c:tx>
                <c:rich>
                  <a:bodyPr/>
                  <a:lstStyle/>
                  <a:p>
                    <a:fld id="{94A965E5-1AF1-4110-B8B5-6C39EC0B6771}" type="CELLRANGE">
                      <a:rPr lang="en-US"/>
                      <a:pPr/>
                      <a:t>[CELLRANGE]</a:t>
                    </a:fld>
                    <a:endParaRPr lang="es-PE"/>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0-9E14-44FF-8E60-68EFECE72A35}"/>
                </c:ext>
              </c:extLst>
            </c:dLbl>
            <c:dLbl>
              <c:idx val="11"/>
              <c:layout>
                <c:manualLayout>
                  <c:x val="-5.2630078019800467E-3"/>
                  <c:y val="1.7600378869289342E-2"/>
                </c:manualLayout>
              </c:layout>
              <c:tx>
                <c:rich>
                  <a:bodyPr/>
                  <a:lstStyle/>
                  <a:p>
                    <a:fld id="{20BCD472-D2EF-430C-856F-72FBF283E5F7}" type="CELLRANGE">
                      <a:rPr lang="en-US"/>
                      <a:pPr/>
                      <a:t>[CELLRANGE]</a:t>
                    </a:fld>
                    <a:endParaRPr lang="es-PE"/>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1-9E14-44FF-8E60-68EFECE72A35}"/>
                </c:ext>
              </c:extLst>
            </c:dLbl>
            <c:dLbl>
              <c:idx val="12"/>
              <c:layout>
                <c:manualLayout>
                  <c:x val="0"/>
                  <c:y val="-1.5704750687082843E-3"/>
                </c:manualLayout>
              </c:layout>
              <c:tx>
                <c:rich>
                  <a:bodyPr wrap="square" lIns="38100" tIns="19050" rIns="38100" bIns="19050" anchor="ctr">
                    <a:noAutofit/>
                  </a:bodyPr>
                  <a:lstStyle/>
                  <a:p>
                    <a:pPr>
                      <a:defRPr sz="1000" b="0" i="0" u="none" strike="noStrike" baseline="0">
                        <a:solidFill>
                          <a:srgbClr val="000000"/>
                        </a:solidFill>
                        <a:latin typeface="Calibri"/>
                        <a:ea typeface="Calibri"/>
                        <a:cs typeface="Calibri"/>
                      </a:defRPr>
                    </a:pPr>
                    <a:fld id="{E02BC7E1-0721-4573-BA25-4F526FF71202}" type="CELLRANGE">
                      <a:rPr lang="en-US"/>
                      <a:pPr>
                        <a:defRPr sz="1000" b="0" i="0" u="none" strike="noStrike" baseline="0">
                          <a:solidFill>
                            <a:srgbClr val="000000"/>
                          </a:solidFill>
                          <a:latin typeface="Calibri"/>
                          <a:ea typeface="Calibri"/>
                          <a:cs typeface="Calibri"/>
                        </a:defRPr>
                      </a:pPr>
                      <a:t>[CELLRANGE]</a:t>
                    </a:fld>
                    <a:endParaRPr lang="es-PE"/>
                  </a:p>
                </c:rich>
              </c:tx>
              <c:numFmt formatCode="#,##0.00" sourceLinked="0"/>
              <c:spPr>
                <a:noFill/>
                <a:ln w="25400">
                  <a:noFill/>
                </a:ln>
              </c:spPr>
              <c:showLegendKey val="0"/>
              <c:showVal val="0"/>
              <c:showCatName val="0"/>
              <c:showSerName val="0"/>
              <c:showPercent val="0"/>
              <c:showBubbleSize val="0"/>
              <c:extLst>
                <c:ext xmlns:c15="http://schemas.microsoft.com/office/drawing/2012/chart" uri="{CE6537A1-D6FC-4f65-9D91-7224C49458BB}">
                  <c15:layout>
                    <c:manualLayout>
                      <c:w val="4.5852316795780321E-2"/>
                      <c:h val="2.5449610318144862E-2"/>
                    </c:manualLayout>
                  </c15:layout>
                  <c15:dlblFieldTable/>
                  <c15:showDataLabelsRange val="1"/>
                </c:ext>
                <c:ext xmlns:c16="http://schemas.microsoft.com/office/drawing/2014/chart" uri="{C3380CC4-5D6E-409C-BE32-E72D297353CC}">
                  <c16:uniqueId val="{00000002-B5CE-4E1E-BDAF-EF3998D49902}"/>
                </c:ext>
              </c:extLst>
            </c:dLbl>
            <c:dLbl>
              <c:idx val="13"/>
              <c:delete val="1"/>
              <c:extLst>
                <c:ext xmlns:c15="http://schemas.microsoft.com/office/drawing/2012/chart" uri="{CE6537A1-D6FC-4f65-9D91-7224C49458BB}"/>
                <c:ext xmlns:c16="http://schemas.microsoft.com/office/drawing/2014/chart" uri="{C3380CC4-5D6E-409C-BE32-E72D297353CC}">
                  <c16:uniqueId val="{00000002-9FDE-4089-8BF1-52101D00174C}"/>
                </c:ext>
              </c:extLst>
            </c:dLbl>
            <c:dLbl>
              <c:idx val="14"/>
              <c:tx>
                <c:rich>
                  <a:bodyPr/>
                  <a:lstStyle/>
                  <a:p>
                    <a:endParaRPr lang="es-PE"/>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305-4810-BD8F-0B35CAB6E2E4}"/>
                </c:ext>
              </c:extLst>
            </c:dLbl>
            <c:dLbl>
              <c:idx val="15"/>
              <c:tx>
                <c:rich>
                  <a:bodyPr/>
                  <a:lstStyle/>
                  <a:p>
                    <a:endParaRPr lang="es-PE"/>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A4-4B34-B43F-74A81C7B4930}"/>
                </c:ext>
              </c:extLst>
            </c:dLbl>
            <c:dLbl>
              <c:idx val="17"/>
              <c:delete val="1"/>
              <c:extLst>
                <c:ext xmlns:c15="http://schemas.microsoft.com/office/drawing/2012/chart" uri="{CE6537A1-D6FC-4f65-9D91-7224C49458BB}"/>
                <c:ext xmlns:c16="http://schemas.microsoft.com/office/drawing/2014/chart" uri="{C3380CC4-5D6E-409C-BE32-E72D297353CC}">
                  <c16:uniqueId val="{00000005-4C0B-4CC1-9433-DE9EE25FEED9}"/>
                </c:ext>
              </c:extLst>
            </c:dLbl>
            <c:dLbl>
              <c:idx val="18"/>
              <c:delete val="1"/>
              <c:extLst>
                <c:ext xmlns:c15="http://schemas.microsoft.com/office/drawing/2012/chart" uri="{CE6537A1-D6FC-4f65-9D91-7224C49458BB}"/>
                <c:ext xmlns:c16="http://schemas.microsoft.com/office/drawing/2014/chart" uri="{C3380CC4-5D6E-409C-BE32-E72D297353CC}">
                  <c16:uniqueId val="{00000000-AFAA-44CF-A1CB-6CB73C9DF779}"/>
                </c:ext>
              </c:extLst>
            </c:dLbl>
            <c:dLbl>
              <c:idx val="20"/>
              <c:delete val="1"/>
              <c:extLst>
                <c:ext xmlns:c15="http://schemas.microsoft.com/office/drawing/2012/chart" uri="{CE6537A1-D6FC-4f65-9D91-7224C49458BB}"/>
                <c:ext xmlns:c16="http://schemas.microsoft.com/office/drawing/2014/chart" uri="{C3380CC4-5D6E-409C-BE32-E72D297353CC}">
                  <c16:uniqueId val="{00000000-6129-4395-9BA4-BFCFA4863378}"/>
                </c:ext>
              </c:extLst>
            </c:dLbl>
            <c:numFmt formatCode="#,##0.00" sourceLinked="0"/>
            <c:spPr>
              <a:noFill/>
              <a:ln w="25400">
                <a:noFill/>
              </a:ln>
            </c:spPr>
            <c:txPr>
              <a:bodyPr wrap="square" lIns="38100" tIns="19050" rIns="38100" bIns="19050" anchor="ctr">
                <a:spAutoFit/>
              </a:bodyPr>
              <a:lstStyle/>
              <a:p>
                <a:pPr>
                  <a:defRPr sz="1000" b="0" i="0" u="none" strike="noStrike" baseline="0">
                    <a:solidFill>
                      <a:srgbClr val="000000"/>
                    </a:solidFill>
                    <a:latin typeface="Calibri"/>
                    <a:ea typeface="Calibri"/>
                    <a:cs typeface="Calibri"/>
                  </a:defRPr>
                </a:pPr>
                <a:endParaRPr lang="es-PE"/>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multiLvlStrRef>
              <c:f>'CURVA S'!$D$13:$S$14</c:f>
              <c:multiLvlStrCache>
                <c:ptCount val="16"/>
                <c:lvl>
                  <c:pt idx="0">
                    <c:v>11</c:v>
                  </c:pt>
                  <c:pt idx="1">
                    <c:v>31</c:v>
                  </c:pt>
                  <c:pt idx="2">
                    <c:v>30</c:v>
                  </c:pt>
                  <c:pt idx="3">
                    <c:v>31</c:v>
                  </c:pt>
                  <c:pt idx="4">
                    <c:v>31</c:v>
                  </c:pt>
                  <c:pt idx="5">
                    <c:v>30</c:v>
                  </c:pt>
                  <c:pt idx="6">
                    <c:v>31</c:v>
                  </c:pt>
                  <c:pt idx="7">
                    <c:v>30</c:v>
                  </c:pt>
                  <c:pt idx="8">
                    <c:v>31</c:v>
                  </c:pt>
                  <c:pt idx="9">
                    <c:v>31</c:v>
                  </c:pt>
                  <c:pt idx="10">
                    <c:v>28</c:v>
                  </c:pt>
                  <c:pt idx="11">
                    <c:v>31</c:v>
                  </c:pt>
                  <c:pt idx="12">
                    <c:v>30</c:v>
                  </c:pt>
                  <c:pt idx="13">
                    <c:v>31</c:v>
                  </c:pt>
                  <c:pt idx="14">
                    <c:v>30</c:v>
                  </c:pt>
                  <c:pt idx="15">
                    <c:v>27</c:v>
                  </c:pt>
                </c:lvl>
                <c:lvl>
                  <c:pt idx="0">
                    <c:v>20 AL 30 ABRIL             2022</c:v>
                  </c:pt>
                  <c:pt idx="1">
                    <c:v>01 AL 31 MAY. 2022</c:v>
                  </c:pt>
                  <c:pt idx="2">
                    <c:v>01 AL 30  JUN. 2022</c:v>
                  </c:pt>
                  <c:pt idx="3">
                    <c:v>01 AL 31 JUL.      2022</c:v>
                  </c:pt>
                  <c:pt idx="4">
                    <c:v>01 AL 31 AGOS. 2022</c:v>
                  </c:pt>
                  <c:pt idx="5">
                    <c:v>01 AL 30 SEPT. 2022</c:v>
                  </c:pt>
                  <c:pt idx="6">
                    <c:v>01 AL 31 OCT. 2022</c:v>
                  </c:pt>
                  <c:pt idx="7">
                    <c:v>01 AL 30 NOV. 2022</c:v>
                  </c:pt>
                  <c:pt idx="8">
                    <c:v>01 AL 31 DIC.   2022</c:v>
                  </c:pt>
                  <c:pt idx="9">
                    <c:v>01 AL 31 ENE.    2023</c:v>
                  </c:pt>
                  <c:pt idx="10">
                    <c:v>01 AL 28 FEB.   2023</c:v>
                  </c:pt>
                  <c:pt idx="11">
                    <c:v>01 AL 31 MARZ 2023</c:v>
                  </c:pt>
                  <c:pt idx="12">
                    <c:v>01 AL 30 DE ABRIL 2023</c:v>
                  </c:pt>
                  <c:pt idx="13">
                    <c:v>01 AL 31 DE MAYO 2023</c:v>
                  </c:pt>
                  <c:pt idx="14">
                    <c:v>01 AL 30 DE JUNIO 2023</c:v>
                  </c:pt>
                  <c:pt idx="15">
                    <c:v>01 AL 27 DE JULIO 2023</c:v>
                  </c:pt>
                </c:lvl>
              </c:multiLvlStrCache>
            </c:multiLvlStrRef>
          </c:cat>
          <c:val>
            <c:numRef>
              <c:f>'CURVA S'!$D$38:$S$38</c:f>
              <c:numCache>
                <c:formatCode>0.00%</c:formatCode>
                <c:ptCount val="16"/>
                <c:pt idx="0">
                  <c:v>1.1153351554568106E-4</c:v>
                </c:pt>
                <c:pt idx="1">
                  <c:v>9.5046155637185503E-3</c:v>
                </c:pt>
                <c:pt idx="2">
                  <c:v>2.0997502542553271E-2</c:v>
                </c:pt>
                <c:pt idx="3">
                  <c:v>6.5925094125927577E-2</c:v>
                </c:pt>
                <c:pt idx="4">
                  <c:v>0.16891137249983193</c:v>
                </c:pt>
                <c:pt idx="5">
                  <c:v>0.27908886183254267</c:v>
                </c:pt>
                <c:pt idx="6">
                  <c:v>0.28796605826004029</c:v>
                </c:pt>
                <c:pt idx="7">
                  <c:v>0.3812696476671395</c:v>
                </c:pt>
                <c:pt idx="8">
                  <c:v>0.38938359006213508</c:v>
                </c:pt>
                <c:pt idx="9">
                  <c:v>0.45041902869155487</c:v>
                </c:pt>
                <c:pt idx="10">
                  <c:v>0.54971178301111701</c:v>
                </c:pt>
                <c:pt idx="11">
                  <c:v>0.64322055443905157</c:v>
                </c:pt>
                <c:pt idx="12">
                  <c:v>0.75841960542389586</c:v>
                </c:pt>
                <c:pt idx="13">
                  <c:v>0.84177769848024631</c:v>
                </c:pt>
                <c:pt idx="14">
                  <c:v>0.92105369067347465</c:v>
                </c:pt>
                <c:pt idx="15">
                  <c:v>1</c:v>
                </c:pt>
              </c:numCache>
            </c:numRef>
          </c:val>
          <c:smooth val="0"/>
          <c:extLst>
            <c:ext xmlns:c15="http://schemas.microsoft.com/office/drawing/2012/chart" uri="{02D57815-91ED-43cb-92C2-25804820EDAC}">
              <c15:datalabelsRange>
                <c15:f>'CURVA S'!$D$38:$P$38</c15:f>
                <c15:dlblRangeCache>
                  <c:ptCount val="13"/>
                  <c:pt idx="0">
                    <c:v>0.01%</c:v>
                  </c:pt>
                  <c:pt idx="1">
                    <c:v>0.95%</c:v>
                  </c:pt>
                  <c:pt idx="2">
                    <c:v>2.10%</c:v>
                  </c:pt>
                  <c:pt idx="3">
                    <c:v>6.59%</c:v>
                  </c:pt>
                  <c:pt idx="4">
                    <c:v>16.89%</c:v>
                  </c:pt>
                  <c:pt idx="5">
                    <c:v>27.91%</c:v>
                  </c:pt>
                  <c:pt idx="6">
                    <c:v>28.80%</c:v>
                  </c:pt>
                  <c:pt idx="7">
                    <c:v>38.13%</c:v>
                  </c:pt>
                  <c:pt idx="8">
                    <c:v>38.94%</c:v>
                  </c:pt>
                  <c:pt idx="9">
                    <c:v>45.04%</c:v>
                  </c:pt>
                  <c:pt idx="10">
                    <c:v>54.97%</c:v>
                  </c:pt>
                  <c:pt idx="11">
                    <c:v>64.32%</c:v>
                  </c:pt>
                  <c:pt idx="12">
                    <c:v>75.84%</c:v>
                  </c:pt>
                </c15:dlblRangeCache>
              </c15:datalabelsRange>
            </c:ext>
            <c:ext xmlns:c16="http://schemas.microsoft.com/office/drawing/2014/chart" uri="{C3380CC4-5D6E-409C-BE32-E72D297353CC}">
              <c16:uniqueId val="{00000006-27A2-42C3-A141-F02B3C044452}"/>
            </c:ext>
          </c:extLst>
        </c:ser>
        <c:dLbls>
          <c:showLegendKey val="0"/>
          <c:showVal val="0"/>
          <c:showCatName val="0"/>
          <c:showSerName val="0"/>
          <c:showPercent val="0"/>
          <c:showBubbleSize val="0"/>
        </c:dLbls>
        <c:marker val="1"/>
        <c:smooth val="0"/>
        <c:axId val="1709065392"/>
        <c:axId val="1709066480"/>
      </c:lineChart>
      <c:catAx>
        <c:axId val="1709065392"/>
        <c:scaling>
          <c:orientation val="minMax"/>
        </c:scaling>
        <c:delete val="0"/>
        <c:axPos val="b"/>
        <c:title>
          <c:tx>
            <c:rich>
              <a:bodyPr/>
              <a:lstStyle/>
              <a:p>
                <a:pPr>
                  <a:defRPr sz="1400" b="1" i="0" u="none" strike="noStrike" baseline="0">
                    <a:solidFill>
                      <a:srgbClr val="000000"/>
                    </a:solidFill>
                    <a:latin typeface="Calibri"/>
                    <a:ea typeface="Calibri"/>
                    <a:cs typeface="Calibri"/>
                  </a:defRPr>
                </a:pPr>
                <a:r>
                  <a:rPr lang="es-PE"/>
                  <a:t>PLAZO CONTRACTUAL</a:t>
                </a:r>
              </a:p>
            </c:rich>
          </c:tx>
          <c:layout>
            <c:manualLayout>
              <c:xMode val="edge"/>
              <c:yMode val="edge"/>
              <c:x val="0.45804882589937623"/>
              <c:y val="0.96762149702161104"/>
            </c:manualLayout>
          </c:layout>
          <c:overlay val="0"/>
        </c:title>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PE"/>
          </a:p>
        </c:txPr>
        <c:crossAx val="1709066480"/>
        <c:crosses val="autoZero"/>
        <c:auto val="1"/>
        <c:lblAlgn val="ctr"/>
        <c:lblOffset val="100"/>
        <c:noMultiLvlLbl val="0"/>
      </c:catAx>
      <c:valAx>
        <c:axId val="1709066480"/>
        <c:scaling>
          <c:orientation val="minMax"/>
        </c:scaling>
        <c:delete val="0"/>
        <c:axPos val="l"/>
        <c:majorGridlines/>
        <c:title>
          <c:tx>
            <c:rich>
              <a:bodyPr/>
              <a:lstStyle/>
              <a:p>
                <a:pPr>
                  <a:defRPr sz="1400" b="1" i="0" u="none" strike="noStrike" baseline="0">
                    <a:solidFill>
                      <a:srgbClr val="000000"/>
                    </a:solidFill>
                    <a:latin typeface="Calibri"/>
                    <a:ea typeface="Calibri"/>
                    <a:cs typeface="Calibri"/>
                  </a:defRPr>
                </a:pPr>
                <a:r>
                  <a:rPr lang="es-PE"/>
                  <a:t>MONTOS ACUMULADOS</a:t>
                </a:r>
              </a:p>
            </c:rich>
          </c:tx>
          <c:layout>
            <c:manualLayout>
              <c:xMode val="edge"/>
              <c:yMode val="edge"/>
              <c:x val="2.2794722498768114E-2"/>
              <c:y val="0.32049243117866077"/>
            </c:manualLayout>
          </c:layout>
          <c:overlay val="0"/>
        </c:title>
        <c:numFmt formatCode="#,##0_);\(#,##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PE"/>
          </a:p>
        </c:txPr>
        <c:crossAx val="1709065392"/>
        <c:crosses val="autoZero"/>
        <c:crossBetween val="between"/>
      </c:valAx>
    </c:plotArea>
    <c:legend>
      <c:legendPos val="r"/>
      <c:legendEntry>
        <c:idx val="0"/>
        <c:txPr>
          <a:bodyPr/>
          <a:lstStyle/>
          <a:p>
            <a:pPr>
              <a:defRPr sz="920" b="0" i="0" u="none" strike="noStrike" baseline="0">
                <a:solidFill>
                  <a:srgbClr val="000000"/>
                </a:solidFill>
                <a:latin typeface="Calibri"/>
                <a:ea typeface="Calibri"/>
                <a:cs typeface="Calibri"/>
              </a:defRPr>
            </a:pPr>
            <a:endParaRPr lang="es-PE"/>
          </a:p>
        </c:txPr>
      </c:legendEntry>
      <c:legendEntry>
        <c:idx val="1"/>
        <c:txPr>
          <a:bodyPr/>
          <a:lstStyle/>
          <a:p>
            <a:pPr>
              <a:defRPr sz="920" b="0" i="0" u="none" strike="noStrike" baseline="0">
                <a:solidFill>
                  <a:srgbClr val="000000"/>
                </a:solidFill>
                <a:latin typeface="Calibri"/>
                <a:ea typeface="Calibri"/>
                <a:cs typeface="Calibri"/>
              </a:defRPr>
            </a:pPr>
            <a:endParaRPr lang="es-PE"/>
          </a:p>
        </c:txPr>
      </c:legendEntry>
      <c:layout>
        <c:manualLayout>
          <c:xMode val="edge"/>
          <c:yMode val="edge"/>
          <c:x val="0.73928003706074097"/>
          <c:y val="2.9567234328267109E-2"/>
          <c:w val="0.10174005437729595"/>
          <c:h val="5.5815700584055411E-2"/>
        </c:manualLayout>
      </c:layout>
      <c:overlay val="0"/>
      <c:txPr>
        <a:bodyPr/>
        <a:lstStyle/>
        <a:p>
          <a:pPr>
            <a:defRPr sz="920" b="0" i="0" u="none" strike="noStrike" baseline="0">
              <a:solidFill>
                <a:srgbClr val="000000"/>
              </a:solidFill>
              <a:latin typeface="Calibri"/>
              <a:ea typeface="Calibri"/>
              <a:cs typeface="Calibri"/>
            </a:defRPr>
          </a:pPr>
          <a:endParaRPr lang="es-PE"/>
        </a:p>
      </c:txPr>
    </c:legend>
    <c:plotVisOnly val="1"/>
    <c:dispBlanksAs val="gap"/>
    <c:showDLblsOverMax val="0"/>
  </c:chart>
  <c:txPr>
    <a:bodyPr/>
    <a:lstStyle/>
    <a:p>
      <a:pPr>
        <a:defRPr sz="1000" b="0" i="0" u="none" strike="noStrike" baseline="0">
          <a:solidFill>
            <a:srgbClr val="000000"/>
          </a:solidFill>
          <a:latin typeface="Calibri"/>
          <a:ea typeface="Calibri"/>
          <a:cs typeface="Calibri"/>
        </a:defRPr>
      </a:pPr>
      <a:endParaRPr lang="es-PE"/>
    </a:p>
  </c:txPr>
  <c:printSettings>
    <c:headerFooter alignWithMargins="0"/>
    <c:pageMargins b="0.98425196850393704" l="0.39370078740157483" r="0.39370078740157483" t="0.98425196850393704" header="0" footer="0"/>
    <c:pageSetup paperSize="9" orientation="landscape" horizontalDpi="-3" verticalDpi="144"/>
  </c:printSettings>
</c:chartSpace>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_rels/drawing7.xml.rels><?xml version="1.0" encoding="UTF-8" standalone="yes"?>
<Relationships xmlns="http://schemas.openxmlformats.org/package/2006/relationships"><Relationship Id="rId1"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3</xdr:col>
      <xdr:colOff>874059</xdr:colOff>
      <xdr:row>4</xdr:row>
      <xdr:rowOff>108840</xdr:rowOff>
    </xdr:from>
    <xdr:to>
      <xdr:col>6</xdr:col>
      <xdr:colOff>273984</xdr:colOff>
      <xdr:row>11</xdr:row>
      <xdr:rowOff>187700</xdr:rowOff>
    </xdr:to>
    <xdr:pic>
      <xdr:nvPicPr>
        <xdr:cNvPr id="4" name="Imagen 2" descr="Logo Región copia">
          <a:extLst>
            <a:ext uri="{FF2B5EF4-FFF2-40B4-BE49-F238E27FC236}">
              <a16:creationId xmlns:a16="http://schemas.microsoft.com/office/drawing/2014/main" id="{17F5FCC2-38F5-8B6F-763C-08AD3B470F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65294" y="938075"/>
          <a:ext cx="1170455" cy="14908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53790</xdr:colOff>
      <xdr:row>14</xdr:row>
      <xdr:rowOff>44823</xdr:rowOff>
    </xdr:from>
    <xdr:to>
      <xdr:col>9</xdr:col>
      <xdr:colOff>2990</xdr:colOff>
      <xdr:row>39</xdr:row>
      <xdr:rowOff>11206</xdr:rowOff>
    </xdr:to>
    <xdr:pic>
      <xdr:nvPicPr>
        <xdr:cNvPr id="5" name="Imagen 4">
          <a:extLst>
            <a:ext uri="{FF2B5EF4-FFF2-40B4-BE49-F238E27FC236}">
              <a16:creationId xmlns:a16="http://schemas.microsoft.com/office/drawing/2014/main" id="{26231334-F522-92FB-3835-DD862019484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37884" y="2976282"/>
          <a:ext cx="5632824" cy="4224618"/>
        </a:xfrm>
        <a:prstGeom prst="rect">
          <a:avLst/>
        </a:prstGeom>
        <a:ln w="25400">
          <a:solidFill>
            <a:srgbClr val="FA5F12"/>
          </a:solid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20</xdr:col>
      <xdr:colOff>66675</xdr:colOff>
      <xdr:row>4</xdr:row>
      <xdr:rowOff>12700</xdr:rowOff>
    </xdr:from>
    <xdr:to>
      <xdr:col>33</xdr:col>
      <xdr:colOff>523875</xdr:colOff>
      <xdr:row>40</xdr:row>
      <xdr:rowOff>27455</xdr:rowOff>
    </xdr:to>
    <xdr:graphicFrame macro="">
      <xdr:nvGraphicFramePr>
        <xdr:cNvPr id="2095748" name="Chart 1">
          <a:extLst>
            <a:ext uri="{FF2B5EF4-FFF2-40B4-BE49-F238E27FC236}">
              <a16:creationId xmlns:a16="http://schemas.microsoft.com/office/drawing/2014/main" id="{00000000-0008-0000-0300-000084FA1F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20</xdr:col>
      <xdr:colOff>85725</xdr:colOff>
      <xdr:row>41</xdr:row>
      <xdr:rowOff>3007</xdr:rowOff>
    </xdr:from>
    <xdr:to>
      <xdr:col>33</xdr:col>
      <xdr:colOff>605118</xdr:colOff>
      <xdr:row>87</xdr:row>
      <xdr:rowOff>95249</xdr:rowOff>
    </xdr:to>
    <xdr:graphicFrame macro="">
      <xdr:nvGraphicFramePr>
        <xdr:cNvPr id="2095749" name="Chart 1">
          <a:extLst>
            <a:ext uri="{FF2B5EF4-FFF2-40B4-BE49-F238E27FC236}">
              <a16:creationId xmlns:a16="http://schemas.microsoft.com/office/drawing/2014/main" id="{00000000-0008-0000-0300-000085FA1F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14</xdr:col>
      <xdr:colOff>161925</xdr:colOff>
      <xdr:row>0</xdr:row>
      <xdr:rowOff>142875</xdr:rowOff>
    </xdr:from>
    <xdr:to>
      <xdr:col>14</xdr:col>
      <xdr:colOff>981075</xdr:colOff>
      <xdr:row>5</xdr:row>
      <xdr:rowOff>60694</xdr:rowOff>
    </xdr:to>
    <xdr:pic>
      <xdr:nvPicPr>
        <xdr:cNvPr id="2" name="Imagen 1">
          <a:extLst>
            <a:ext uri="{FF2B5EF4-FFF2-40B4-BE49-F238E27FC236}">
              <a16:creationId xmlns:a16="http://schemas.microsoft.com/office/drawing/2014/main" id="{CC8DA4FD-1EC7-4ABB-BE7D-D29C8434C52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001875" y="142875"/>
          <a:ext cx="819150" cy="7941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14</xdr:col>
      <xdr:colOff>108857</xdr:colOff>
      <xdr:row>1</xdr:row>
      <xdr:rowOff>40822</xdr:rowOff>
    </xdr:from>
    <xdr:to>
      <xdr:col>14</xdr:col>
      <xdr:colOff>928007</xdr:colOff>
      <xdr:row>5</xdr:row>
      <xdr:rowOff>113763</xdr:rowOff>
    </xdr:to>
    <xdr:pic>
      <xdr:nvPicPr>
        <xdr:cNvPr id="2" name="Imagen 1">
          <a:extLst>
            <a:ext uri="{FF2B5EF4-FFF2-40B4-BE49-F238E27FC236}">
              <a16:creationId xmlns:a16="http://schemas.microsoft.com/office/drawing/2014/main" id="{80DB47ED-6CC3-434A-BDC7-5DB4E777198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498536" y="204108"/>
          <a:ext cx="819150" cy="7941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14</xdr:col>
      <xdr:colOff>168088</xdr:colOff>
      <xdr:row>1</xdr:row>
      <xdr:rowOff>1</xdr:rowOff>
    </xdr:from>
    <xdr:to>
      <xdr:col>14</xdr:col>
      <xdr:colOff>987238</xdr:colOff>
      <xdr:row>5</xdr:row>
      <xdr:rowOff>99355</xdr:rowOff>
    </xdr:to>
    <xdr:pic>
      <xdr:nvPicPr>
        <xdr:cNvPr id="2" name="Imagen 1">
          <a:extLst>
            <a:ext uri="{FF2B5EF4-FFF2-40B4-BE49-F238E27FC236}">
              <a16:creationId xmlns:a16="http://schemas.microsoft.com/office/drawing/2014/main" id="{1708029D-53C5-41D5-AC43-A2427D86E7C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962529" y="156883"/>
          <a:ext cx="819150" cy="7941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13</xdr:col>
      <xdr:colOff>481853</xdr:colOff>
      <xdr:row>1</xdr:row>
      <xdr:rowOff>1</xdr:rowOff>
    </xdr:from>
    <xdr:to>
      <xdr:col>14</xdr:col>
      <xdr:colOff>617443</xdr:colOff>
      <xdr:row>5</xdr:row>
      <xdr:rowOff>99355</xdr:rowOff>
    </xdr:to>
    <xdr:pic>
      <xdr:nvPicPr>
        <xdr:cNvPr id="2" name="Imagen 1">
          <a:extLst>
            <a:ext uri="{FF2B5EF4-FFF2-40B4-BE49-F238E27FC236}">
              <a16:creationId xmlns:a16="http://schemas.microsoft.com/office/drawing/2014/main" id="{7F0B3376-BA16-48D9-939C-00A637D316D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71294" y="156883"/>
          <a:ext cx="819150" cy="7941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12</xdr:col>
      <xdr:colOff>353785</xdr:colOff>
      <xdr:row>0</xdr:row>
      <xdr:rowOff>150480</xdr:rowOff>
    </xdr:from>
    <xdr:to>
      <xdr:col>13</xdr:col>
      <xdr:colOff>432091</xdr:colOff>
      <xdr:row>5</xdr:row>
      <xdr:rowOff>60345</xdr:rowOff>
    </xdr:to>
    <xdr:pic>
      <xdr:nvPicPr>
        <xdr:cNvPr id="3" name="Imagen 2">
          <a:extLst>
            <a:ext uri="{FF2B5EF4-FFF2-40B4-BE49-F238E27FC236}">
              <a16:creationId xmlns:a16="http://schemas.microsoft.com/office/drawing/2014/main" id="{6B3B0B94-49FA-4A15-9128-B063A13F330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647464" y="150480"/>
          <a:ext cx="717841" cy="7262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oneCellAnchor>
    <xdr:from>
      <xdr:col>6</xdr:col>
      <xdr:colOff>320040</xdr:colOff>
      <xdr:row>10</xdr:row>
      <xdr:rowOff>331470</xdr:rowOff>
    </xdr:from>
    <xdr:ext cx="1158240" cy="361950"/>
    <mc:AlternateContent xmlns:mc="http://schemas.openxmlformats.org/markup-compatibility/2006" xmlns:a14="http://schemas.microsoft.com/office/drawing/2010/main">
      <mc:Choice Requires="a14">
        <xdr:sp macro="" textlink="">
          <xdr:nvSpPr>
            <xdr:cNvPr id="3" name="CuadroTexto 2">
              <a:extLst>
                <a:ext uri="{FF2B5EF4-FFF2-40B4-BE49-F238E27FC236}">
                  <a16:creationId xmlns:a16="http://schemas.microsoft.com/office/drawing/2014/main" id="{00000000-0008-0000-0F00-000003000000}"/>
                </a:ext>
              </a:extLst>
            </xdr:cNvPr>
            <xdr:cNvSpPr txBox="1"/>
          </xdr:nvSpPr>
          <xdr:spPr>
            <a:xfrm>
              <a:off x="4488180" y="2068830"/>
              <a:ext cx="1158240" cy="3619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14:m>
                <m:oMathPara xmlns:m="http://schemas.openxmlformats.org/officeDocument/2006/math">
                  <m:oMathParaPr>
                    <m:jc m:val="centerGroup"/>
                  </m:oMathParaPr>
                  <m:oMath xmlns:m="http://schemas.openxmlformats.org/officeDocument/2006/math">
                    <m:r>
                      <a:rPr lang="es-PE" sz="1100" b="0" i="1">
                        <a:latin typeface="Cambria Math" panose="02040503050406030204" pitchFamily="18" charset="0"/>
                      </a:rPr>
                      <m:t>𝐷</m:t>
                    </m:r>
                    <m:r>
                      <a:rPr lang="es-PE" sz="1100" b="0" i="1">
                        <a:latin typeface="Cambria Math" panose="02040503050406030204" pitchFamily="18" charset="0"/>
                      </a:rPr>
                      <m:t>=</m:t>
                    </m:r>
                    <m:f>
                      <m:fPr>
                        <m:ctrlPr>
                          <a:rPr lang="es-PE" sz="1100" i="1">
                            <a:latin typeface="Cambria Math" panose="02040503050406030204" pitchFamily="18" charset="0"/>
                          </a:rPr>
                        </m:ctrlPr>
                      </m:fPr>
                      <m:num>
                        <m:r>
                          <a:rPr lang="es-PE" sz="1100" b="0" i="1">
                            <a:latin typeface="Cambria Math" panose="02040503050406030204" pitchFamily="18" charset="0"/>
                          </a:rPr>
                          <m:t>𝐴𝐷𝑥𝑉</m:t>
                        </m:r>
                      </m:num>
                      <m:den>
                        <m:r>
                          <a:rPr lang="es-PE" sz="1100" b="0" i="1">
                            <a:latin typeface="Cambria Math" panose="02040503050406030204" pitchFamily="18" charset="0"/>
                          </a:rPr>
                          <m:t>𝐶𝑥𝐼𝑟</m:t>
                        </m:r>
                      </m:den>
                    </m:f>
                    <m:r>
                      <a:rPr lang="es-PE" sz="1100" b="0" i="1">
                        <a:latin typeface="Cambria Math" panose="02040503050406030204" pitchFamily="18" charset="0"/>
                      </a:rPr>
                      <m:t>(</m:t>
                    </m:r>
                    <m:r>
                      <a:rPr lang="es-PE" sz="1100" b="0" i="1">
                        <a:latin typeface="Cambria Math" panose="02040503050406030204" pitchFamily="18" charset="0"/>
                      </a:rPr>
                      <m:t>𝐼</m:t>
                    </m:r>
                    <m:r>
                      <a:rPr lang="es-PE" sz="1100" b="0" i="1">
                        <a:latin typeface="Cambria Math" panose="02040503050406030204" pitchFamily="18" charset="0"/>
                      </a:rPr>
                      <m:t>−</m:t>
                    </m:r>
                    <m:r>
                      <a:rPr lang="es-PE" sz="1100" b="0" i="1">
                        <a:latin typeface="Cambria Math" panose="02040503050406030204" pitchFamily="18" charset="0"/>
                      </a:rPr>
                      <m:t>𝐼𝑟</m:t>
                    </m:r>
                    <m:r>
                      <a:rPr lang="es-PE" sz="1100" b="0" i="1">
                        <a:latin typeface="Cambria Math" panose="02040503050406030204" pitchFamily="18" charset="0"/>
                      </a:rPr>
                      <m:t>)</m:t>
                    </m:r>
                  </m:oMath>
                </m:oMathPara>
              </a14:m>
              <a:endParaRPr lang="es-PE" sz="1100"/>
            </a:p>
          </xdr:txBody>
        </xdr:sp>
      </mc:Choice>
      <mc:Fallback xmlns="">
        <xdr:sp macro="" textlink="">
          <xdr:nvSpPr>
            <xdr:cNvPr id="3" name="CuadroTexto 2"/>
            <xdr:cNvSpPr txBox="1"/>
          </xdr:nvSpPr>
          <xdr:spPr>
            <a:xfrm>
              <a:off x="4488180" y="2068830"/>
              <a:ext cx="1158240" cy="3619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r>
                <a:rPr lang="es-PE" sz="1100" b="0" i="0">
                  <a:latin typeface="Cambria Math" panose="02040503050406030204" pitchFamily="18" charset="0"/>
                </a:rPr>
                <a:t>𝐷=𝐴𝐷𝑥𝑉/𝐶𝑥𝐼𝑟(𝐼−𝐼𝑟)</a:t>
              </a:r>
              <a:endParaRPr lang="es-PE" sz="1100"/>
            </a:p>
          </xdr:txBody>
        </xdr:sp>
      </mc:Fallback>
    </mc:AlternateContent>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JESUS%20CARPETA/TRABAJOS/ING.%20NORBERT/CENTRO%20DE%20SALUD%20TAMBO/VALORIZACION/5.2%20VALORIZACIONES%20FINALES%20(EXPEDIENTE%20MODIFICADO)/VAL%2004%20(MAY%202019)/CALENDARIO%20FISICO%20VALORIZADO%20ACTUALIZADO%20REINICIO.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MAQUINA%20REGION/SUPERVISI&#211;N%20PUENTE%20AYACUCHO/VALORIZACIONES/VALORIZACIONES%20CONTRATISTA/SETIEMBRE%202022/CALCULOS_SUPERVISI&#211;N/VAL%2006%20SETIEMBRE_SUPERVISI&#211;N_CCANCHIS.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Mis%20documentos\Tambo\Centro%20Salud%20Tambo\Valorizacion%20N&#186;%2008%20Tambo%20septiemb%202019\06.%20VAL%2008%20-%20NUEVO%20PRESUPUEST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RA"/>
      <sheetName val="EQUIPAMIENTO E IMPLEMENTACION"/>
      <sheetName val="CAPACITACION"/>
      <sheetName val="PLAN DE CONTINGENCIA"/>
      <sheetName val="RESUMEN GENERAL"/>
    </sheetNames>
    <sheetDataSet>
      <sheetData sheetId="0">
        <row r="1362">
          <cell r="H1362">
            <v>0</v>
          </cell>
          <cell r="J1362">
            <v>0</v>
          </cell>
          <cell r="L1362">
            <v>0</v>
          </cell>
          <cell r="V1362">
            <v>0</v>
          </cell>
          <cell r="X1362">
            <v>22471.383999999998</v>
          </cell>
          <cell r="Z1362">
            <v>427716.97399999999</v>
          </cell>
          <cell r="AB1362">
            <v>426575.50500000024</v>
          </cell>
          <cell r="AD1362">
            <v>755930.88300000003</v>
          </cell>
          <cell r="AF1362">
            <v>611135.94100000011</v>
          </cell>
          <cell r="AH1362">
            <v>520685.65399999986</v>
          </cell>
          <cell r="AJ1362">
            <v>315276.05199999991</v>
          </cell>
          <cell r="AL1362">
            <v>365491.70199999993</v>
          </cell>
          <cell r="AN1362">
            <v>404156.88599999988</v>
          </cell>
          <cell r="AP1362">
            <v>245405.94500000001</v>
          </cell>
          <cell r="AR1362">
            <v>199806.68100000001</v>
          </cell>
          <cell r="AT1362">
            <v>38275.144000000008</v>
          </cell>
          <cell r="AV1362">
            <v>88280.059000000008</v>
          </cell>
          <cell r="AX1362">
            <v>6460.92</v>
          </cell>
          <cell r="AZ1362">
            <v>0</v>
          </cell>
          <cell r="BB1362">
            <v>0</v>
          </cell>
        </row>
      </sheetData>
      <sheetData sheetId="1"/>
      <sheetData sheetId="2"/>
      <sheetData sheetId="3"/>
      <sheetData sheetId="4">
        <row r="17">
          <cell r="AX17">
            <v>863204.71000000008</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AT_"/>
      <sheetName val="cronogramaSUP"/>
      <sheetName val="MODIF"/>
      <sheetName val="FIANZAS"/>
      <sheetName val="RIESGOS"/>
      <sheetName val="INTERFERENCIAS"/>
      <sheetName val="consultas"/>
      <sheetName val="FICHA"/>
      <sheetName val="Hoja1"/>
      <sheetName val="CALEND_"/>
      <sheetName val="CURVA S"/>
      <sheetName val="MT_VAL"/>
      <sheetName val="VAL_RES."/>
      <sheetName val="PUENTE CCANCHI"/>
      <sheetName val="6. INST. MEC Y COM."/>
      <sheetName val="7. EQUIP E IMPLE. "/>
      <sheetName val="8. CAPACITACIÓN"/>
      <sheetName val="9. CONTINGENCIA"/>
      <sheetName val="COE_REAJ_OB. PUENTE"/>
      <sheetName val="COE_REAJ_MECA-COMU."/>
      <sheetName val="REINT_REAJ_"/>
      <sheetName val="REINT_REAJ_ (2)"/>
      <sheetName val="D_MAT"/>
      <sheetName val="D_DIRECTO"/>
      <sheetName val="AM_DIRECTO"/>
      <sheetName val="AM_MAT_"/>
      <sheetName val="RESUM_VAL_"/>
      <sheetName val="R-ITEM I"/>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129">
          <cell r="J129">
            <v>1969783.13</v>
          </cell>
        </row>
      </sheetData>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AT_"/>
      <sheetName val="Hoja1"/>
      <sheetName val="CALEND_"/>
      <sheetName val="CURVA S"/>
      <sheetName val="MT_VAL"/>
      <sheetName val="VAL_RES."/>
      <sheetName val="1. OBRAS CIVILES"/>
      <sheetName val="2. ESTRUCTURAS"/>
      <sheetName val="3. ARQUITECTURA"/>
      <sheetName val="4. INST. ELECT."/>
      <sheetName val="5. INST. SANIT"/>
      <sheetName val="6. INST. MEC Y COM."/>
      <sheetName val="7. EQUIP E IMPLE. "/>
      <sheetName val="8. CAPACITACIÓN"/>
      <sheetName val="9. CONTINGENCIA"/>
      <sheetName val="COE_REAJ_OB. CIVILES "/>
      <sheetName val="COE_REAJ_ESTRU. "/>
      <sheetName val="COE_REAJ_ARQ."/>
      <sheetName val="COE_REAJ_ELECT."/>
      <sheetName val="COE_REAJ_SANIT"/>
      <sheetName val="COE_REAJ_MECA-COMU."/>
      <sheetName val="REIT_REAJ_"/>
      <sheetName val="D_MAT_ESTRUCT."/>
      <sheetName val="AM_MAT_ESTRUCT."/>
      <sheetName val="D_MAT_ARQ"/>
      <sheetName val="AM_MAT_ARQ"/>
      <sheetName val="RESAMAT"/>
      <sheetName val="VALORIZ_PAG_"/>
      <sheetName val="RESUM_VAL_"/>
      <sheetName val="R-ITEM I"/>
      <sheetName val="R-ITEM II"/>
      <sheetName val="R-ITEM III"/>
      <sheetName val="R-ITEM IV"/>
      <sheetName val="INVAL"/>
    </sheetNames>
    <sheetDataSet>
      <sheetData sheetId="0"/>
      <sheetData sheetId="1"/>
      <sheetData sheetId="2"/>
      <sheetData sheetId="3"/>
      <sheetData sheetId="4"/>
      <sheetData sheetId="5"/>
      <sheetData sheetId="6"/>
      <sheetData sheetId="7"/>
      <sheetData sheetId="8">
        <row r="566">
          <cell r="J566">
            <v>26592.292299999997</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http://l.p.i.n/" TargetMode="External"/></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20.bin"/><Relationship Id="rId1" Type="http://schemas.openxmlformats.org/officeDocument/2006/relationships/hyperlink" Target="http://l.p.i.n/" TargetMode="External"/></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l.p.i.n/" TargetMode="External"/></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http://l.p.i.n/" TargetMode="External"/></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printerSettings" Target="../printerSettings/printerSettings23.bin"/><Relationship Id="rId1" Type="http://schemas.openxmlformats.org/officeDocument/2006/relationships/hyperlink" Target="http://l.p.i.n/" TargetMode="External"/><Relationship Id="rId4" Type="http://schemas.openxmlformats.org/officeDocument/2006/relationships/comments" Target="../comments2.xml"/></Relationships>
</file>

<file path=xl/worksheets/_rels/sheet24.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24.bin"/><Relationship Id="rId1" Type="http://schemas.openxmlformats.org/officeDocument/2006/relationships/hyperlink" Target="http://l.p.i.n/" TargetMode="External"/><Relationship Id="rId5" Type="http://schemas.openxmlformats.org/officeDocument/2006/relationships/comments" Target="../comments3.xml"/><Relationship Id="rId4" Type="http://schemas.openxmlformats.org/officeDocument/2006/relationships/vmlDrawing" Target="../drawings/vmlDrawing3.vml"/></Relationships>
</file>

<file path=xl/worksheets/_rels/sheet25.xml.rels><?xml version="1.0" encoding="UTF-8" standalone="yes"?>
<Relationships xmlns="http://schemas.openxmlformats.org/package/2006/relationships"><Relationship Id="rId2" Type="http://schemas.openxmlformats.org/officeDocument/2006/relationships/printerSettings" Target="../printerSettings/printerSettings25.bin"/><Relationship Id="rId1" Type="http://schemas.openxmlformats.org/officeDocument/2006/relationships/hyperlink" Target="http://l.p.i.n/" TargetMode="External"/></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3" Type="http://schemas.openxmlformats.org/officeDocument/2006/relationships/printerSettings" Target="../printerSettings/printerSettings27.bin"/><Relationship Id="rId2" Type="http://schemas.openxmlformats.org/officeDocument/2006/relationships/hyperlink" Target="http://l.p.i.n/" TargetMode="External"/><Relationship Id="rId1" Type="http://schemas.openxmlformats.org/officeDocument/2006/relationships/hyperlink" Target="http://l.p.i.n/" TargetMode="External"/><Relationship Id="rId5" Type="http://schemas.openxmlformats.org/officeDocument/2006/relationships/comments" Target="../comments4.xml"/><Relationship Id="rId4" Type="http://schemas.openxmlformats.org/officeDocument/2006/relationships/vmlDrawing" Target="../drawings/vmlDrawing4.vml"/></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9" tint="0.39997558519241921"/>
  </sheetPr>
  <dimension ref="A1:IS68"/>
  <sheetViews>
    <sheetView view="pageBreakPreview" topLeftCell="A24" zoomScale="85" zoomScaleNormal="100" zoomScaleSheetLayoutView="85" workbookViewId="0">
      <selection activeCell="F52" sqref="F52:J52"/>
    </sheetView>
  </sheetViews>
  <sheetFormatPr baseColWidth="10" defaultColWidth="10.5546875" defaultRowHeight="13.2" x14ac:dyDescent="0.25"/>
  <cols>
    <col min="1" max="1" width="7.109375" customWidth="1"/>
    <col min="2" max="2" width="12.33203125" customWidth="1"/>
    <col min="3" max="3" width="4.33203125" customWidth="1"/>
    <col min="4" max="4" width="17.109375" customWidth="1"/>
    <col min="5" max="5" width="5.44140625" customWidth="1"/>
    <col min="6" max="6" width="4" customWidth="1"/>
    <col min="7" max="8" width="12.33203125" customWidth="1"/>
    <col min="9" max="9" width="15" customWidth="1"/>
    <col min="10" max="10" width="9.109375" customWidth="1"/>
    <col min="11" max="11" width="12.33203125" customWidth="1"/>
  </cols>
  <sheetData>
    <row r="1" spans="1:253" s="1" customFormat="1" ht="13.8" thickBot="1" x14ac:dyDescent="0.3">
      <c r="A1" s="3"/>
      <c r="B1" s="3"/>
      <c r="C1" s="3"/>
      <c r="D1" s="3"/>
      <c r="E1" s="3"/>
      <c r="F1" s="3"/>
      <c r="G1" s="3"/>
      <c r="H1" s="3"/>
      <c r="I1" s="3"/>
      <c r="J1" s="3"/>
      <c r="K1" s="3"/>
    </row>
    <row r="2" spans="1:253" ht="15.6" x14ac:dyDescent="0.3">
      <c r="A2" s="1849"/>
      <c r="B2" s="1850"/>
      <c r="C2" s="1850"/>
      <c r="D2" s="1850"/>
      <c r="E2" s="1850"/>
      <c r="F2" s="1850"/>
      <c r="G2" s="1850"/>
      <c r="H2" s="1850"/>
      <c r="I2" s="1850"/>
      <c r="J2" s="1851"/>
      <c r="K2" s="3"/>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c r="GP2" s="1"/>
      <c r="GQ2" s="1"/>
      <c r="GR2" s="1"/>
      <c r="GS2" s="1"/>
      <c r="GT2" s="1"/>
      <c r="GU2" s="1"/>
      <c r="GV2" s="1"/>
      <c r="GW2" s="1"/>
      <c r="GX2" s="1"/>
      <c r="GY2" s="1"/>
      <c r="GZ2" s="1"/>
      <c r="HA2" s="1"/>
      <c r="HB2" s="1"/>
      <c r="HC2" s="1"/>
      <c r="HD2" s="1"/>
      <c r="HE2" s="1"/>
      <c r="HF2" s="1"/>
      <c r="HG2" s="1"/>
      <c r="HH2" s="1"/>
      <c r="HI2" s="1"/>
      <c r="HJ2" s="1"/>
      <c r="HK2" s="1"/>
      <c r="HL2" s="1"/>
      <c r="HM2" s="1"/>
      <c r="HN2" s="1"/>
      <c r="HO2" s="1"/>
      <c r="HP2" s="1"/>
      <c r="HQ2" s="1"/>
      <c r="HR2" s="1"/>
      <c r="HS2" s="1"/>
      <c r="HT2" s="1"/>
      <c r="HU2" s="1"/>
      <c r="HV2" s="1"/>
      <c r="HW2" s="1"/>
      <c r="HX2" s="1"/>
      <c r="HY2" s="1"/>
      <c r="HZ2" s="1"/>
      <c r="IA2" s="1"/>
      <c r="IB2" s="1"/>
      <c r="IC2" s="1"/>
      <c r="ID2" s="1"/>
      <c r="IE2" s="1"/>
      <c r="IF2" s="1"/>
      <c r="IG2" s="1"/>
      <c r="IH2" s="1"/>
      <c r="II2" s="1"/>
      <c r="IJ2" s="1"/>
      <c r="IK2" s="1"/>
      <c r="IL2" s="1"/>
      <c r="IM2" s="1"/>
      <c r="IN2" s="1"/>
      <c r="IO2" s="1"/>
      <c r="IP2" s="1"/>
      <c r="IQ2" s="1"/>
      <c r="IR2" s="1"/>
      <c r="IS2" s="1"/>
    </row>
    <row r="3" spans="1:253" ht="20.399999999999999" x14ac:dyDescent="0.35">
      <c r="A3" s="1852" t="s">
        <v>1403</v>
      </c>
      <c r="B3" s="1853"/>
      <c r="C3" s="1853"/>
      <c r="D3" s="1853"/>
      <c r="E3" s="1853"/>
      <c r="F3" s="1853"/>
      <c r="G3" s="1853"/>
      <c r="H3" s="1853"/>
      <c r="I3" s="1853"/>
      <c r="J3" s="1854"/>
      <c r="K3" s="3"/>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row>
    <row r="4" spans="1:253" ht="15.6" x14ac:dyDescent="0.3">
      <c r="A4" s="1855" t="s">
        <v>1406</v>
      </c>
      <c r="B4" s="1856"/>
      <c r="C4" s="1856"/>
      <c r="D4" s="1856"/>
      <c r="E4" s="1856"/>
      <c r="F4" s="1856"/>
      <c r="G4" s="1856"/>
      <c r="H4" s="1856"/>
      <c r="I4" s="1856"/>
      <c r="J4" s="1857"/>
      <c r="K4" s="3"/>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row>
    <row r="5" spans="1:253" ht="15.6" x14ac:dyDescent="0.3">
      <c r="A5" s="189"/>
      <c r="B5" s="190"/>
      <c r="C5" s="190"/>
      <c r="D5" s="190"/>
      <c r="E5" s="190"/>
      <c r="F5" s="190"/>
      <c r="G5" s="190"/>
      <c r="H5" s="190"/>
      <c r="I5" s="190"/>
      <c r="J5" s="191"/>
      <c r="K5" s="3"/>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row>
    <row r="6" spans="1:253" ht="15.6" x14ac:dyDescent="0.3">
      <c r="A6" s="189"/>
      <c r="B6" s="190"/>
      <c r="C6" s="190"/>
      <c r="D6" s="190"/>
      <c r="E6" s="190"/>
      <c r="F6" s="190"/>
      <c r="G6" s="190"/>
      <c r="H6" s="190"/>
      <c r="I6" s="190"/>
      <c r="J6" s="191"/>
      <c r="K6" s="3"/>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row>
    <row r="7" spans="1:253" ht="15.6" x14ac:dyDescent="0.3">
      <c r="A7" s="189"/>
      <c r="B7" s="190"/>
      <c r="C7" s="190"/>
      <c r="D7" s="190"/>
      <c r="E7" s="190"/>
      <c r="F7" s="190"/>
      <c r="G7" s="190"/>
      <c r="H7" s="190"/>
      <c r="I7" s="190"/>
      <c r="J7" s="191"/>
      <c r="K7" s="3"/>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row>
    <row r="8" spans="1:253" ht="15.6" x14ac:dyDescent="0.3">
      <c r="A8" s="189"/>
      <c r="B8" s="190"/>
      <c r="C8" s="190"/>
      <c r="D8" s="190"/>
      <c r="E8" s="190"/>
      <c r="F8" s="190"/>
      <c r="G8" s="190"/>
      <c r="H8" s="190"/>
      <c r="I8" s="190"/>
      <c r="J8" s="191"/>
      <c r="K8" s="3"/>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row>
    <row r="9" spans="1:253" ht="15.6" x14ac:dyDescent="0.3">
      <c r="A9" s="1855"/>
      <c r="B9" s="1856"/>
      <c r="C9" s="1856"/>
      <c r="D9" s="1856"/>
      <c r="E9" s="1856"/>
      <c r="F9" s="1856"/>
      <c r="G9" s="1856"/>
      <c r="H9" s="1856"/>
      <c r="I9" s="1856"/>
      <c r="J9" s="1857"/>
      <c r="K9" s="3"/>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row>
    <row r="10" spans="1:253" ht="15.6" x14ac:dyDescent="0.3">
      <c r="A10" s="1855"/>
      <c r="B10" s="1856"/>
      <c r="C10" s="1856"/>
      <c r="D10" s="1856"/>
      <c r="E10" s="1856"/>
      <c r="F10" s="1856"/>
      <c r="G10" s="1856"/>
      <c r="H10" s="1856"/>
      <c r="I10" s="1856"/>
      <c r="J10" s="1857"/>
      <c r="K10" s="3"/>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row>
    <row r="11" spans="1:253" ht="15.6" x14ac:dyDescent="0.3">
      <c r="A11" s="1855"/>
      <c r="B11" s="1856"/>
      <c r="C11" s="1856"/>
      <c r="D11" s="1856"/>
      <c r="E11" s="1856"/>
      <c r="F11" s="1856"/>
      <c r="G11" s="1856"/>
      <c r="H11" s="1856"/>
      <c r="I11" s="1856"/>
      <c r="J11" s="1857"/>
      <c r="K11" s="3"/>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row>
    <row r="12" spans="1:253" ht="15.6" x14ac:dyDescent="0.3">
      <c r="A12" s="1855"/>
      <c r="B12" s="1856"/>
      <c r="C12" s="1856"/>
      <c r="D12" s="1856"/>
      <c r="E12" s="1856"/>
      <c r="F12" s="1856"/>
      <c r="G12" s="1856"/>
      <c r="H12" s="1856"/>
      <c r="I12" s="1856"/>
      <c r="J12" s="1857"/>
      <c r="K12" s="3"/>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row>
    <row r="13" spans="1:253" ht="7.2" customHeight="1" x14ac:dyDescent="0.3">
      <c r="A13" s="1855"/>
      <c r="B13" s="1856"/>
      <c r="C13" s="1856"/>
      <c r="D13" s="1856"/>
      <c r="E13" s="1856"/>
      <c r="F13" s="1856"/>
      <c r="G13" s="1856"/>
      <c r="H13" s="1856"/>
      <c r="I13" s="1856"/>
      <c r="J13" s="1857"/>
      <c r="K13" s="3"/>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row>
    <row r="14" spans="1:253" ht="34.200000000000003" customHeight="1" x14ac:dyDescent="0.35">
      <c r="A14" s="1852" t="s">
        <v>1375</v>
      </c>
      <c r="B14" s="1853"/>
      <c r="C14" s="1853"/>
      <c r="D14" s="1853"/>
      <c r="E14" s="1853"/>
      <c r="F14" s="1853"/>
      <c r="G14" s="1853"/>
      <c r="H14" s="1853"/>
      <c r="I14" s="1853"/>
      <c r="J14" s="1854"/>
      <c r="K14" s="3"/>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row>
    <row r="15" spans="1:253" x14ac:dyDescent="0.25">
      <c r="A15" s="4"/>
      <c r="B15" s="3"/>
      <c r="C15" s="3"/>
      <c r="D15" s="3"/>
      <c r="E15" s="3"/>
      <c r="F15" s="3"/>
      <c r="G15" s="3"/>
      <c r="H15" s="3"/>
      <c r="I15" s="3"/>
      <c r="J15" s="5"/>
      <c r="K15" s="3"/>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row>
    <row r="16" spans="1:253" x14ac:dyDescent="0.25">
      <c r="A16" s="4"/>
      <c r="B16" s="3"/>
      <c r="C16" s="3"/>
      <c r="D16" s="3"/>
      <c r="E16" s="3"/>
      <c r="F16" s="3"/>
      <c r="G16" s="3"/>
      <c r="H16" s="3"/>
      <c r="I16" s="3"/>
      <c r="J16" s="5"/>
      <c r="K16" s="3"/>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row>
    <row r="17" spans="1:253" x14ac:dyDescent="0.25">
      <c r="A17" s="4"/>
      <c r="B17" s="3"/>
      <c r="C17" s="3"/>
      <c r="D17" s="3"/>
      <c r="E17" s="3"/>
      <c r="F17" s="3"/>
      <c r="G17" s="3"/>
      <c r="H17" s="3"/>
      <c r="I17" s="3"/>
      <c r="J17" s="5"/>
      <c r="K17" s="3"/>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row>
    <row r="18" spans="1:253" x14ac:dyDescent="0.25">
      <c r="A18" s="4"/>
      <c r="B18" s="3"/>
      <c r="C18" s="3"/>
      <c r="D18" s="3"/>
      <c r="E18" s="3"/>
      <c r="F18" s="3"/>
      <c r="G18" s="3"/>
      <c r="H18" s="3"/>
      <c r="I18" s="3"/>
      <c r="J18" s="5"/>
      <c r="K18" s="3"/>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row>
    <row r="19" spans="1:253" x14ac:dyDescent="0.25">
      <c r="A19" s="4"/>
      <c r="B19" s="3"/>
      <c r="C19" s="3"/>
      <c r="D19" s="3"/>
      <c r="E19" s="3"/>
      <c r="F19" s="3"/>
      <c r="G19" s="3"/>
      <c r="H19" s="3"/>
      <c r="I19" s="3"/>
      <c r="J19" s="5"/>
      <c r="K19" s="3"/>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row>
    <row r="20" spans="1:253" x14ac:dyDescent="0.25">
      <c r="A20" s="4"/>
      <c r="B20" s="3"/>
      <c r="C20" s="3"/>
      <c r="D20" s="3"/>
      <c r="E20" s="3"/>
      <c r="F20" s="3"/>
      <c r="G20" s="3"/>
      <c r="H20" s="3"/>
      <c r="I20" s="3"/>
      <c r="J20" s="5"/>
      <c r="K20" s="3"/>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row>
    <row r="21" spans="1:253" x14ac:dyDescent="0.25">
      <c r="A21" s="4"/>
      <c r="B21" s="3"/>
      <c r="C21" s="3"/>
      <c r="D21" s="3"/>
      <c r="E21" s="3"/>
      <c r="F21" s="3"/>
      <c r="G21" s="3"/>
      <c r="H21" s="3"/>
      <c r="I21" s="3"/>
      <c r="J21" s="5"/>
      <c r="K21" s="3"/>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row>
    <row r="22" spans="1:253" x14ac:dyDescent="0.25">
      <c r="A22" s="4"/>
      <c r="B22" s="3"/>
      <c r="C22" s="3"/>
      <c r="D22" s="3"/>
      <c r="E22" s="3"/>
      <c r="F22" s="3"/>
      <c r="G22" s="3"/>
      <c r="H22" s="3"/>
      <c r="I22" s="3"/>
      <c r="J22" s="5"/>
      <c r="K22" s="3"/>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row>
    <row r="23" spans="1:253" x14ac:dyDescent="0.25">
      <c r="A23" s="4"/>
      <c r="B23" s="1858"/>
      <c r="C23" s="1858"/>
      <c r="D23" s="1858"/>
      <c r="E23" s="1858"/>
      <c r="F23" s="1858"/>
      <c r="G23" s="1858"/>
      <c r="H23" s="1858"/>
      <c r="I23" s="1858"/>
      <c r="J23" s="1859"/>
      <c r="K23" s="3"/>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row>
    <row r="24" spans="1:253" x14ac:dyDescent="0.25">
      <c r="A24" s="4"/>
      <c r="B24" s="3"/>
      <c r="C24" s="3"/>
      <c r="D24" s="3"/>
      <c r="E24" s="3"/>
      <c r="F24" s="3"/>
      <c r="G24" s="3"/>
      <c r="H24" s="3"/>
      <c r="I24" s="3"/>
      <c r="J24" s="5"/>
      <c r="K24" s="3"/>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row>
    <row r="25" spans="1:253" x14ac:dyDescent="0.25">
      <c r="A25" s="4"/>
      <c r="B25" s="1858"/>
      <c r="C25" s="1858"/>
      <c r="D25" s="1858"/>
      <c r="E25" s="1858"/>
      <c r="F25" s="1858"/>
      <c r="G25" s="1858"/>
      <c r="H25" s="1858"/>
      <c r="I25" s="1858"/>
      <c r="J25" s="1859"/>
      <c r="K25" s="3"/>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row>
    <row r="26" spans="1:253" x14ac:dyDescent="0.25">
      <c r="A26" s="4"/>
      <c r="B26" s="3"/>
      <c r="C26" s="3"/>
      <c r="D26" s="3"/>
      <c r="E26" s="3"/>
      <c r="F26" s="3"/>
      <c r="G26" s="3"/>
      <c r="H26" s="3"/>
      <c r="I26" s="3"/>
      <c r="J26" s="5"/>
      <c r="K26" s="3"/>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c r="IS26" s="1"/>
    </row>
    <row r="27" spans="1:253" x14ac:dyDescent="0.25">
      <c r="A27" s="4"/>
      <c r="B27" s="3"/>
      <c r="C27" s="3"/>
      <c r="D27" s="3"/>
      <c r="E27" s="3"/>
      <c r="F27" s="3"/>
      <c r="G27" s="3"/>
      <c r="H27" s="3"/>
      <c r="I27" s="3"/>
      <c r="J27" s="5"/>
      <c r="K27" s="3"/>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c r="IS27" s="1"/>
    </row>
    <row r="28" spans="1:253" x14ac:dyDescent="0.25">
      <c r="A28" s="4"/>
      <c r="B28" s="1858"/>
      <c r="C28" s="1858"/>
      <c r="D28" s="1858"/>
      <c r="E28" s="1858"/>
      <c r="F28" s="1858"/>
      <c r="G28" s="1858"/>
      <c r="H28" s="1858"/>
      <c r="I28" s="1858"/>
      <c r="J28" s="1859"/>
      <c r="K28" s="3"/>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c r="IS28" s="1"/>
    </row>
    <row r="29" spans="1:253" x14ac:dyDescent="0.25">
      <c r="A29" s="4"/>
      <c r="B29" s="1862"/>
      <c r="C29" s="1862"/>
      <c r="D29" s="1862"/>
      <c r="E29" s="1862"/>
      <c r="F29" s="1862"/>
      <c r="G29" s="1862"/>
      <c r="H29" s="1862"/>
      <c r="I29" s="1862"/>
      <c r="J29" s="1863"/>
      <c r="K29" s="3"/>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c r="IS29" s="1"/>
    </row>
    <row r="30" spans="1:253" x14ac:dyDescent="0.25">
      <c r="A30" s="4"/>
      <c r="B30" s="6"/>
      <c r="C30" s="6"/>
      <c r="D30" s="6"/>
      <c r="E30" s="6"/>
      <c r="F30" s="6"/>
      <c r="G30" s="6"/>
      <c r="H30" s="6"/>
      <c r="I30" s="6"/>
      <c r="J30" s="7"/>
      <c r="K30" s="3"/>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c r="IS30" s="1"/>
    </row>
    <row r="31" spans="1:253" x14ac:dyDescent="0.25">
      <c r="A31" s="4"/>
      <c r="B31" s="6"/>
      <c r="C31" s="6"/>
      <c r="D31" s="6"/>
      <c r="E31" s="6"/>
      <c r="F31" s="6"/>
      <c r="G31" s="6"/>
      <c r="H31" s="6"/>
      <c r="I31" s="6"/>
      <c r="J31" s="7"/>
      <c r="K31" s="3"/>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c r="IS31" s="1"/>
    </row>
    <row r="32" spans="1:253" x14ac:dyDescent="0.25">
      <c r="A32" s="80"/>
      <c r="J32" s="99"/>
      <c r="K32" s="3"/>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c r="IS32" s="1"/>
    </row>
    <row r="33" spans="1:253" x14ac:dyDescent="0.25">
      <c r="A33" s="8"/>
      <c r="B33" s="6"/>
      <c r="C33" s="6"/>
      <c r="D33" s="6"/>
      <c r="E33" s="6"/>
      <c r="F33" s="6"/>
      <c r="G33" s="6"/>
      <c r="H33" s="6"/>
      <c r="I33" s="6"/>
      <c r="J33" s="7"/>
      <c r="K33" s="3"/>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c r="IS33" s="1"/>
    </row>
    <row r="34" spans="1:253" x14ac:dyDescent="0.25">
      <c r="A34" s="9"/>
      <c r="B34" s="6"/>
      <c r="C34" s="6"/>
      <c r="D34" s="6"/>
      <c r="E34" s="6"/>
      <c r="F34" s="6"/>
      <c r="G34" s="6"/>
      <c r="H34" s="6"/>
      <c r="I34" s="6"/>
      <c r="J34" s="7"/>
      <c r="K34" s="3"/>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row>
    <row r="35" spans="1:253" x14ac:dyDescent="0.25">
      <c r="A35" s="8"/>
      <c r="B35" s="1862"/>
      <c r="C35" s="1862"/>
      <c r="D35" s="1862"/>
      <c r="E35" s="1862"/>
      <c r="F35" s="1862"/>
      <c r="G35" s="1862"/>
      <c r="H35" s="1862"/>
      <c r="I35" s="1862"/>
      <c r="J35" s="1863"/>
      <c r="K35" s="3"/>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c r="IS35" s="1"/>
    </row>
    <row r="36" spans="1:253" x14ac:dyDescent="0.25">
      <c r="A36" s="8"/>
      <c r="B36" s="6"/>
      <c r="C36" s="6"/>
      <c r="D36" s="6"/>
      <c r="E36" s="6"/>
      <c r="F36" s="6"/>
      <c r="G36" s="6"/>
      <c r="H36" s="6"/>
      <c r="I36" s="6"/>
      <c r="J36" s="7"/>
      <c r="K36" s="3"/>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row>
    <row r="37" spans="1:253" x14ac:dyDescent="0.25">
      <c r="A37" s="8"/>
      <c r="B37" s="6"/>
      <c r="C37" s="6"/>
      <c r="D37" s="6"/>
      <c r="E37" s="6"/>
      <c r="F37" s="6"/>
      <c r="G37" s="6"/>
      <c r="H37" s="6"/>
      <c r="I37" s="6"/>
      <c r="J37" s="7"/>
      <c r="K37" s="3"/>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row>
    <row r="38" spans="1:253" x14ac:dyDescent="0.25">
      <c r="A38" s="8"/>
      <c r="B38" s="6"/>
      <c r="C38" s="6"/>
      <c r="D38" s="6"/>
      <c r="E38" s="6"/>
      <c r="F38" s="6"/>
      <c r="G38" s="6"/>
      <c r="H38" s="6"/>
      <c r="I38" s="6"/>
      <c r="J38" s="7"/>
      <c r="K38" s="3"/>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row>
    <row r="39" spans="1:253" x14ac:dyDescent="0.25">
      <c r="A39" s="8"/>
      <c r="B39" s="6"/>
      <c r="C39" s="6"/>
      <c r="D39" s="6"/>
      <c r="E39" s="6"/>
      <c r="F39" s="6"/>
      <c r="G39" s="6"/>
      <c r="H39" s="6"/>
      <c r="I39" s="6"/>
      <c r="J39" s="7"/>
      <c r="K39" s="3"/>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row>
    <row r="40" spans="1:253" x14ac:dyDescent="0.25">
      <c r="A40" s="8"/>
      <c r="B40" s="10"/>
      <c r="C40" s="10"/>
      <c r="D40" s="10"/>
      <c r="E40" s="6"/>
      <c r="F40" s="6"/>
      <c r="G40" s="6"/>
      <c r="H40" s="6"/>
      <c r="I40" s="6"/>
      <c r="J40" s="7"/>
      <c r="K40" s="3"/>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row>
    <row r="41" spans="1:253" ht="31.8" customHeight="1" x14ac:dyDescent="0.25">
      <c r="A41" s="8"/>
      <c r="B41" s="1869" t="s">
        <v>1461</v>
      </c>
      <c r="C41" s="1870"/>
      <c r="D41" s="1870"/>
      <c r="E41" s="1870"/>
      <c r="F41" s="1870"/>
      <c r="G41" s="1870"/>
      <c r="H41" s="1870"/>
      <c r="I41" s="1870"/>
      <c r="J41" s="7"/>
      <c r="K41" s="3"/>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row>
    <row r="42" spans="1:253" x14ac:dyDescent="0.25">
      <c r="A42" s="8"/>
      <c r="B42" s="6"/>
      <c r="C42" s="10"/>
      <c r="D42" s="6"/>
      <c r="E42" s="6"/>
      <c r="F42" s="6"/>
      <c r="G42" s="6"/>
      <c r="H42" s="6"/>
      <c r="I42" s="6"/>
      <c r="J42" s="7"/>
      <c r="K42" s="3"/>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row>
    <row r="43" spans="1:253" x14ac:dyDescent="0.25">
      <c r="A43" s="8"/>
      <c r="B43" s="10"/>
      <c r="C43" s="10"/>
      <c r="D43" s="10"/>
      <c r="E43" s="6"/>
      <c r="F43" s="6"/>
      <c r="G43" s="6"/>
      <c r="H43" s="6"/>
      <c r="I43" s="6"/>
      <c r="J43" s="7"/>
      <c r="K43" s="3"/>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row>
    <row r="44" spans="1:253" x14ac:dyDescent="0.25">
      <c r="A44" s="8"/>
      <c r="B44" s="10"/>
      <c r="C44" s="10"/>
      <c r="D44" s="6"/>
      <c r="E44" s="6"/>
      <c r="F44" s="6"/>
      <c r="G44" s="6"/>
      <c r="H44" s="6"/>
      <c r="I44" s="6"/>
      <c r="J44" s="7"/>
      <c r="K44" s="3"/>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c r="IS44" s="1"/>
    </row>
    <row r="45" spans="1:253" ht="20.399999999999999" x14ac:dyDescent="0.35">
      <c r="A45" s="1864" t="s">
        <v>1737</v>
      </c>
      <c r="B45" s="1865"/>
      <c r="C45" s="1865"/>
      <c r="D45" s="1865"/>
      <c r="E45" s="1865"/>
      <c r="F45" s="1865"/>
      <c r="G45" s="1865"/>
      <c r="H45" s="1865"/>
      <c r="I45" s="1865"/>
      <c r="J45" s="1866"/>
      <c r="K45" s="3"/>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c r="IS45" s="1"/>
    </row>
    <row r="46" spans="1:253" x14ac:dyDescent="0.25">
      <c r="A46" s="8"/>
      <c r="B46" s="10"/>
      <c r="C46" s="10"/>
      <c r="D46" s="10"/>
      <c r="E46" s="6"/>
      <c r="F46" s="6"/>
      <c r="G46" s="6"/>
      <c r="H46" s="6"/>
      <c r="I46" s="6"/>
      <c r="J46" s="7"/>
      <c r="K46" s="3"/>
      <c r="L46" s="1"/>
      <c r="M46" s="1848">
        <v>17878272.109999999</v>
      </c>
      <c r="N46" s="1848"/>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row>
    <row r="47" spans="1:253" x14ac:dyDescent="0.25">
      <c r="A47" s="8"/>
      <c r="B47" s="10"/>
      <c r="C47" s="11" t="s">
        <v>1204</v>
      </c>
      <c r="D47" s="11"/>
      <c r="E47" s="12" t="s">
        <v>7</v>
      </c>
      <c r="F47" s="11" t="s">
        <v>1205</v>
      </c>
      <c r="G47" s="11"/>
      <c r="H47" s="11"/>
      <c r="I47" s="11"/>
      <c r="J47" s="13"/>
      <c r="K47" s="3"/>
      <c r="L47" s="1"/>
      <c r="M47" s="1848">
        <v>730952.79</v>
      </c>
      <c r="N47" s="1848"/>
      <c r="O47" s="1">
        <f>M47-M48</f>
        <v>-39323.140000000014</v>
      </c>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row>
    <row r="48" spans="1:253" ht="12.75" customHeight="1" x14ac:dyDescent="0.25">
      <c r="A48" s="8"/>
      <c r="B48" s="10"/>
      <c r="C48" s="11" t="s">
        <v>18</v>
      </c>
      <c r="D48" s="14"/>
      <c r="E48" s="14" t="s">
        <v>7</v>
      </c>
      <c r="F48" s="1867" t="s">
        <v>1206</v>
      </c>
      <c r="G48" s="1867"/>
      <c r="H48" s="1867"/>
      <c r="I48" s="1867"/>
      <c r="J48" s="1868"/>
      <c r="K48" s="3"/>
      <c r="L48" s="1"/>
      <c r="M48" s="1848">
        <v>770275.93</v>
      </c>
      <c r="N48" s="1848"/>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c r="IS48" s="1"/>
    </row>
    <row r="49" spans="1:253" x14ac:dyDescent="0.25">
      <c r="A49" s="8"/>
      <c r="B49" s="10"/>
      <c r="C49" s="15"/>
      <c r="D49" s="11"/>
      <c r="E49" s="15"/>
      <c r="F49" s="1867"/>
      <c r="G49" s="1867"/>
      <c r="H49" s="1867"/>
      <c r="I49" s="1867"/>
      <c r="J49" s="1868"/>
      <c r="K49" s="3"/>
      <c r="L49" s="1"/>
      <c r="M49" s="1848">
        <f>M46+M47-M48</f>
        <v>17838948.969999999</v>
      </c>
      <c r="N49" s="1848"/>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c r="IS49" s="1"/>
    </row>
    <row r="50" spans="1:253" ht="12.75" customHeight="1" x14ac:dyDescent="0.25">
      <c r="A50" s="8"/>
      <c r="B50" s="10"/>
      <c r="F50" s="1867"/>
      <c r="G50" s="1867"/>
      <c r="H50" s="1867"/>
      <c r="I50" s="1867"/>
      <c r="J50" s="1868"/>
      <c r="K50" s="3"/>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row>
    <row r="51" spans="1:253" ht="1.2" customHeight="1" x14ac:dyDescent="0.25">
      <c r="A51" s="8"/>
      <c r="B51" s="10"/>
      <c r="F51" s="1867"/>
      <c r="G51" s="1867"/>
      <c r="H51" s="1867"/>
      <c r="I51" s="1867"/>
      <c r="J51" s="1868"/>
      <c r="K51" s="3"/>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row>
    <row r="52" spans="1:253" x14ac:dyDescent="0.25">
      <c r="A52" s="8"/>
      <c r="B52" s="10"/>
      <c r="C52" s="11" t="s">
        <v>1488</v>
      </c>
      <c r="D52" s="11"/>
      <c r="E52" s="12" t="s">
        <v>7</v>
      </c>
      <c r="F52" s="1860" t="s">
        <v>1489</v>
      </c>
      <c r="G52" s="1860"/>
      <c r="H52" s="1860"/>
      <c r="I52" s="1860"/>
      <c r="J52" s="1861"/>
      <c r="K52" s="3"/>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row>
    <row r="53" spans="1:253" x14ac:dyDescent="0.25">
      <c r="A53" s="8"/>
      <c r="B53" s="10"/>
      <c r="C53" s="11" t="s">
        <v>25</v>
      </c>
      <c r="D53" s="12"/>
      <c r="E53" s="12" t="s">
        <v>7</v>
      </c>
      <c r="F53" s="11" t="s">
        <v>1207</v>
      </c>
      <c r="G53" s="11"/>
      <c r="H53" s="11"/>
      <c r="I53" s="11"/>
      <c r="J53" s="13"/>
      <c r="K53" s="3"/>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row>
    <row r="54" spans="1:253" x14ac:dyDescent="0.25">
      <c r="A54" s="8"/>
      <c r="B54" s="10"/>
      <c r="C54" s="11" t="s">
        <v>3</v>
      </c>
      <c r="D54" s="6"/>
      <c r="E54" s="12" t="s">
        <v>7</v>
      </c>
      <c r="F54" s="11" t="s">
        <v>1738</v>
      </c>
      <c r="G54" s="11"/>
      <c r="H54" s="11"/>
      <c r="I54" s="11"/>
      <c r="J54" s="13"/>
      <c r="K54" s="3"/>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row>
    <row r="55" spans="1:253" ht="13.8" thickBot="1" x14ac:dyDescent="0.3">
      <c r="A55" s="16"/>
      <c r="B55" s="98"/>
      <c r="C55" s="98"/>
      <c r="D55" s="17"/>
      <c r="E55" s="17"/>
      <c r="F55" s="194"/>
      <c r="G55" s="194"/>
      <c r="H55" s="194"/>
      <c r="I55" s="194"/>
      <c r="J55" s="195"/>
      <c r="K55" s="3"/>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row>
    <row r="56" spans="1:253" s="1" customFormat="1" x14ac:dyDescent="0.25">
      <c r="A56" s="3"/>
      <c r="B56" s="3"/>
      <c r="C56" s="3"/>
      <c r="D56" s="3"/>
      <c r="E56" s="3"/>
      <c r="F56" s="3"/>
      <c r="G56" s="3"/>
      <c r="H56" s="3"/>
      <c r="I56" s="3"/>
      <c r="J56" s="3"/>
      <c r="K56" s="3"/>
    </row>
    <row r="57" spans="1:253" s="1" customFormat="1" ht="15" customHeight="1" x14ac:dyDescent="0.25">
      <c r="A57" s="3"/>
      <c r="B57" s="3"/>
      <c r="C57" s="3"/>
      <c r="D57" s="3"/>
      <c r="E57" s="3"/>
      <c r="F57" s="3"/>
      <c r="G57" s="3"/>
      <c r="H57" s="3"/>
      <c r="I57" s="3"/>
      <c r="J57" s="3"/>
      <c r="K57" s="3"/>
    </row>
    <row r="58" spans="1:253" x14ac:dyDescent="0.25">
      <c r="A58" s="15"/>
      <c r="B58" s="15"/>
      <c r="C58" s="15"/>
      <c r="D58" s="15"/>
      <c r="E58" s="15"/>
      <c r="F58" s="15"/>
      <c r="G58" s="15"/>
      <c r="H58" s="15"/>
      <c r="I58" s="15"/>
      <c r="J58" s="15"/>
      <c r="K58" s="15"/>
    </row>
    <row r="59" spans="1:253" x14ac:dyDescent="0.25">
      <c r="A59" s="15"/>
      <c r="B59" s="15"/>
      <c r="C59" s="15"/>
      <c r="D59" s="15"/>
      <c r="E59" s="15"/>
      <c r="F59" s="15"/>
      <c r="G59" s="15"/>
      <c r="H59" s="15"/>
      <c r="I59" s="15"/>
      <c r="J59" s="15"/>
      <c r="K59" s="15"/>
    </row>
    <row r="60" spans="1:253" x14ac:dyDescent="0.25">
      <c r="A60" s="15"/>
      <c r="B60" s="15"/>
      <c r="C60" s="15"/>
      <c r="D60" s="15"/>
      <c r="E60" s="15"/>
      <c r="F60" s="15"/>
      <c r="G60" s="15"/>
      <c r="H60" s="15"/>
      <c r="I60" s="15"/>
      <c r="J60" s="15"/>
      <c r="K60" s="15"/>
    </row>
    <row r="61" spans="1:253" x14ac:dyDescent="0.25">
      <c r="A61" s="15"/>
      <c r="B61" s="15"/>
      <c r="C61" s="15"/>
      <c r="D61" s="15"/>
      <c r="E61" s="15"/>
      <c r="F61" s="15"/>
      <c r="G61" s="15"/>
      <c r="H61" s="15"/>
      <c r="I61" s="15"/>
      <c r="J61" s="15"/>
      <c r="K61" s="15"/>
    </row>
    <row r="62" spans="1:253" x14ac:dyDescent="0.25">
      <c r="A62" s="15"/>
      <c r="B62" s="15"/>
      <c r="C62" s="15"/>
      <c r="D62" s="15"/>
      <c r="E62" s="15"/>
      <c r="F62" s="15"/>
      <c r="G62" s="15"/>
      <c r="H62" s="15"/>
      <c r="I62" s="15"/>
      <c r="J62" s="15"/>
      <c r="K62" s="15"/>
    </row>
    <row r="63" spans="1:253" x14ac:dyDescent="0.25">
      <c r="A63" s="15"/>
      <c r="B63" s="15"/>
      <c r="C63" s="15"/>
      <c r="D63" s="15"/>
      <c r="E63" s="15"/>
      <c r="F63" s="15"/>
      <c r="G63" s="15"/>
      <c r="H63" s="15"/>
      <c r="I63" s="15"/>
      <c r="J63" s="15"/>
      <c r="K63" s="15"/>
    </row>
    <row r="64" spans="1:253" x14ac:dyDescent="0.25">
      <c r="A64" s="15"/>
      <c r="B64" s="15"/>
      <c r="C64" s="15"/>
      <c r="D64" s="15"/>
      <c r="E64" s="15"/>
      <c r="F64" s="15"/>
      <c r="G64" s="15"/>
      <c r="H64" s="15"/>
      <c r="I64" s="15"/>
      <c r="J64" s="15"/>
      <c r="K64" s="15"/>
    </row>
    <row r="65" spans="1:11" x14ac:dyDescent="0.25">
      <c r="A65" s="15"/>
      <c r="B65" s="15"/>
      <c r="C65" s="15"/>
      <c r="D65" s="15"/>
      <c r="E65" s="15"/>
      <c r="F65" s="15"/>
      <c r="G65" s="15"/>
      <c r="H65" s="15"/>
      <c r="I65" s="15"/>
      <c r="J65" s="15"/>
      <c r="K65" s="15"/>
    </row>
    <row r="66" spans="1:11" x14ac:dyDescent="0.25">
      <c r="A66" s="15"/>
      <c r="B66" s="15"/>
      <c r="C66" s="15"/>
      <c r="D66" s="15"/>
      <c r="E66" s="15"/>
      <c r="F66" s="15"/>
      <c r="G66" s="15"/>
      <c r="H66" s="15"/>
      <c r="I66" s="15"/>
      <c r="J66" s="15"/>
      <c r="K66" s="15"/>
    </row>
    <row r="67" spans="1:11" x14ac:dyDescent="0.25">
      <c r="A67" s="15"/>
      <c r="B67" s="15"/>
      <c r="C67" s="15"/>
      <c r="D67" s="15"/>
      <c r="E67" s="15"/>
      <c r="F67" s="15"/>
      <c r="G67" s="15"/>
      <c r="H67" s="15"/>
      <c r="I67" s="15"/>
      <c r="J67" s="15"/>
      <c r="K67" s="15"/>
    </row>
    <row r="68" spans="1:11" x14ac:dyDescent="0.25">
      <c r="A68" s="15"/>
      <c r="B68" s="15"/>
      <c r="C68" s="15"/>
      <c r="D68" s="15"/>
      <c r="E68" s="15"/>
      <c r="F68" s="15"/>
      <c r="G68" s="15"/>
      <c r="H68" s="15"/>
      <c r="I68" s="15"/>
      <c r="J68" s="15"/>
      <c r="K68" s="15"/>
    </row>
  </sheetData>
  <mergeCells count="22">
    <mergeCell ref="F52:J52"/>
    <mergeCell ref="B35:J35"/>
    <mergeCell ref="B29:J29"/>
    <mergeCell ref="A45:J45"/>
    <mergeCell ref="F48:J51"/>
    <mergeCell ref="B41:I41"/>
    <mergeCell ref="M46:N46"/>
    <mergeCell ref="M47:N47"/>
    <mergeCell ref="M48:N48"/>
    <mergeCell ref="M49:N49"/>
    <mergeCell ref="A2:J2"/>
    <mergeCell ref="A3:J3"/>
    <mergeCell ref="A4:J4"/>
    <mergeCell ref="A9:J9"/>
    <mergeCell ref="A10:J10"/>
    <mergeCell ref="B28:J28"/>
    <mergeCell ref="A11:J11"/>
    <mergeCell ref="A12:J12"/>
    <mergeCell ref="A13:J13"/>
    <mergeCell ref="A14:J14"/>
    <mergeCell ref="B23:J23"/>
    <mergeCell ref="B25:J25"/>
  </mergeCells>
  <phoneticPr fontId="29" type="noConversion"/>
  <printOptions horizontalCentered="1" verticalCentered="1"/>
  <pageMargins left="0.71" right="0.39370078740157483" top="0.6692913385826772" bottom="0.6692913385826772" header="0.51181102362204722" footer="0.51181102362204722"/>
  <pageSetup paperSize="9" scale="91" firstPageNumber="0" orientation="portrait" r:id="rId1"/>
  <headerFooter alignWithMargins="0"/>
  <rowBreaks count="1" manualBreakCount="1">
    <brk id="55" max="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3"/>
  <sheetViews>
    <sheetView workbookViewId="0">
      <selection activeCell="I13" sqref="I13"/>
    </sheetView>
  </sheetViews>
  <sheetFormatPr baseColWidth="10" defaultRowHeight="13.2" x14ac:dyDescent="0.25"/>
  <cols>
    <col min="1" max="1" width="4" customWidth="1"/>
    <col min="2" max="2" width="7.109375" customWidth="1"/>
    <col min="3" max="3" width="40.109375" customWidth="1"/>
  </cols>
  <sheetData>
    <row r="1" spans="2:10" x14ac:dyDescent="0.25">
      <c r="B1" s="1871" t="s">
        <v>1699</v>
      </c>
      <c r="C1" s="1871"/>
      <c r="D1" s="1871"/>
      <c r="E1" s="1871"/>
      <c r="F1" s="1871"/>
      <c r="G1" s="1871"/>
      <c r="H1" s="1871"/>
    </row>
    <row r="2" spans="2:10" ht="13.8" thickBot="1" x14ac:dyDescent="0.3"/>
    <row r="3" spans="2:10" ht="15" thickBot="1" x14ac:dyDescent="0.3">
      <c r="B3" s="1874" t="s">
        <v>1392</v>
      </c>
      <c r="C3" s="1874" t="s">
        <v>1653</v>
      </c>
      <c r="D3" s="1877" t="s">
        <v>1739</v>
      </c>
      <c r="E3" s="1878"/>
      <c r="F3" s="1878"/>
      <c r="G3" s="1878"/>
      <c r="H3" s="1879"/>
      <c r="I3" s="1604"/>
      <c r="J3" s="1603"/>
    </row>
    <row r="4" spans="2:10" ht="15" thickBot="1" x14ac:dyDescent="0.3">
      <c r="B4" s="1875"/>
      <c r="C4" s="1876"/>
      <c r="D4" s="1653">
        <v>33</v>
      </c>
      <c r="E4" s="1642">
        <v>34</v>
      </c>
      <c r="F4" s="1642">
        <v>35</v>
      </c>
      <c r="G4" s="1642">
        <v>36</v>
      </c>
      <c r="H4" s="1642">
        <v>37</v>
      </c>
      <c r="I4" s="1604"/>
      <c r="J4" s="1603"/>
    </row>
    <row r="5" spans="2:10" ht="15" thickBot="1" x14ac:dyDescent="0.3">
      <c r="B5" s="1880" t="s">
        <v>1654</v>
      </c>
      <c r="C5" s="1881"/>
      <c r="D5" s="1643"/>
      <c r="E5" s="1644"/>
      <c r="F5" s="1644"/>
      <c r="G5" s="1645"/>
      <c r="H5" s="1645"/>
      <c r="I5" s="1603"/>
      <c r="J5" s="1603"/>
    </row>
    <row r="6" spans="2:10" ht="15" thickBot="1" x14ac:dyDescent="0.3">
      <c r="B6" s="1646">
        <v>1</v>
      </c>
      <c r="C6" s="1647" t="s">
        <v>1655</v>
      </c>
      <c r="D6" s="1643">
        <v>1</v>
      </c>
      <c r="E6" s="1644">
        <v>1</v>
      </c>
      <c r="F6" s="1644">
        <v>1</v>
      </c>
      <c r="G6" s="1644">
        <v>1</v>
      </c>
      <c r="H6" s="1644">
        <v>1</v>
      </c>
      <c r="I6" s="1604"/>
      <c r="J6" s="1603"/>
    </row>
    <row r="7" spans="2:10" ht="15" thickBot="1" x14ac:dyDescent="0.3">
      <c r="B7" s="1648">
        <v>2</v>
      </c>
      <c r="C7" s="1647" t="s">
        <v>1656</v>
      </c>
      <c r="D7" s="1649">
        <v>1</v>
      </c>
      <c r="E7" s="1650">
        <v>1</v>
      </c>
      <c r="F7" s="1650">
        <v>1</v>
      </c>
      <c r="G7" s="1650">
        <v>1</v>
      </c>
      <c r="H7" s="1650">
        <v>1</v>
      </c>
      <c r="I7" s="1604"/>
      <c r="J7" s="1603"/>
    </row>
    <row r="8" spans="2:10" ht="15" thickBot="1" x14ac:dyDescent="0.3">
      <c r="B8" s="1648">
        <v>3</v>
      </c>
      <c r="C8" s="1647" t="s">
        <v>1657</v>
      </c>
      <c r="D8" s="1649">
        <v>1</v>
      </c>
      <c r="E8" s="1650">
        <v>1</v>
      </c>
      <c r="F8" s="1650">
        <v>1</v>
      </c>
      <c r="G8" s="1650">
        <v>1</v>
      </c>
      <c r="H8" s="1650">
        <v>1</v>
      </c>
      <c r="I8" s="1604"/>
      <c r="J8" s="1603"/>
    </row>
    <row r="9" spans="2:10" ht="15" thickBot="1" x14ac:dyDescent="0.3">
      <c r="B9" s="1648">
        <v>4</v>
      </c>
      <c r="C9" s="1647" t="s">
        <v>1658</v>
      </c>
      <c r="D9" s="1649">
        <v>1</v>
      </c>
      <c r="E9" s="1650">
        <v>1</v>
      </c>
      <c r="F9" s="1650">
        <v>1</v>
      </c>
      <c r="G9" s="1650">
        <v>1</v>
      </c>
      <c r="H9" s="1650">
        <v>1</v>
      </c>
      <c r="I9" s="1604"/>
      <c r="J9" s="1603"/>
    </row>
    <row r="10" spans="2:10" ht="15" thickBot="1" x14ac:dyDescent="0.3">
      <c r="B10" s="1648">
        <v>5</v>
      </c>
      <c r="C10" s="1647" t="s">
        <v>1659</v>
      </c>
      <c r="D10" s="1649">
        <v>1</v>
      </c>
      <c r="E10" s="1650">
        <v>1</v>
      </c>
      <c r="F10" s="1650">
        <v>1</v>
      </c>
      <c r="G10" s="1650">
        <v>1</v>
      </c>
      <c r="H10" s="1650">
        <v>1</v>
      </c>
      <c r="I10" s="1604"/>
      <c r="J10" s="1603"/>
    </row>
    <row r="11" spans="2:10" ht="15" thickBot="1" x14ac:dyDescent="0.3">
      <c r="B11" s="1648">
        <v>6</v>
      </c>
      <c r="C11" s="1647" t="s">
        <v>1660</v>
      </c>
      <c r="D11" s="1649">
        <v>1</v>
      </c>
      <c r="E11" s="1650">
        <v>1</v>
      </c>
      <c r="F11" s="1650">
        <v>1</v>
      </c>
      <c r="G11" s="1650">
        <v>1</v>
      </c>
      <c r="H11" s="1650">
        <v>1</v>
      </c>
      <c r="I11" s="1604"/>
      <c r="J11" s="1603"/>
    </row>
    <row r="12" spans="2:10" ht="15" thickBot="1" x14ac:dyDescent="0.3">
      <c r="B12" s="1872" t="s">
        <v>1661</v>
      </c>
      <c r="C12" s="1873"/>
      <c r="D12" s="1649"/>
      <c r="E12" s="1650"/>
      <c r="F12" s="1650"/>
      <c r="G12" s="1650"/>
      <c r="H12" s="1650"/>
      <c r="I12" s="1604"/>
      <c r="J12" s="1603"/>
    </row>
    <row r="13" spans="2:10" ht="15" thickBot="1" x14ac:dyDescent="0.3">
      <c r="B13" s="1646">
        <v>1</v>
      </c>
      <c r="C13" s="1647" t="s">
        <v>1662</v>
      </c>
      <c r="D13" s="1643">
        <v>1</v>
      </c>
      <c r="E13" s="1644">
        <v>1</v>
      </c>
      <c r="F13" s="1644">
        <v>1</v>
      </c>
      <c r="G13" s="1644">
        <v>1</v>
      </c>
      <c r="H13" s="1644">
        <v>1</v>
      </c>
      <c r="I13" s="1604"/>
      <c r="J13" s="1603"/>
    </row>
  </sheetData>
  <mergeCells count="6">
    <mergeCell ref="B1:H1"/>
    <mergeCell ref="B12:C12"/>
    <mergeCell ref="B3:B4"/>
    <mergeCell ref="C3:C4"/>
    <mergeCell ref="D3:H3"/>
    <mergeCell ref="B5:C5"/>
  </mergeCells>
  <pageMargins left="1.04" right="0.70866141732283472" top="1.44" bottom="0.74803149606299213" header="0.31496062992125984" footer="0.31496062992125984"/>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69"/>
  <sheetViews>
    <sheetView workbookViewId="0">
      <selection activeCell="B63" sqref="B63"/>
    </sheetView>
  </sheetViews>
  <sheetFormatPr baseColWidth="10" defaultRowHeight="13.2" x14ac:dyDescent="0.25"/>
  <cols>
    <col min="1" max="1" width="1.88671875" customWidth="1"/>
    <col min="2" max="2" width="5.21875" customWidth="1"/>
    <col min="4" max="4" width="19.33203125" customWidth="1"/>
    <col min="5" max="5" width="36" customWidth="1"/>
    <col min="6" max="6" width="20.6640625" customWidth="1"/>
    <col min="7" max="7" width="32.88671875" customWidth="1"/>
  </cols>
  <sheetData>
    <row r="1" spans="2:7" x14ac:dyDescent="0.25">
      <c r="B1" s="1871" t="s">
        <v>1634</v>
      </c>
      <c r="C1" s="1871"/>
      <c r="D1" s="1871"/>
      <c r="E1" s="1871"/>
      <c r="F1" s="1871"/>
      <c r="G1" s="1871"/>
    </row>
    <row r="2" spans="2:7" ht="13.8" thickBot="1" x14ac:dyDescent="0.3"/>
    <row r="3" spans="2:7" ht="13.8" thickBot="1" x14ac:dyDescent="0.3">
      <c r="B3" s="1606" t="s">
        <v>1392</v>
      </c>
      <c r="C3" s="1607" t="s">
        <v>1542</v>
      </c>
      <c r="D3" s="1607" t="s">
        <v>1543</v>
      </c>
      <c r="E3" s="1607" t="s">
        <v>1635</v>
      </c>
      <c r="F3" s="1607" t="s">
        <v>1637</v>
      </c>
      <c r="G3" s="1607" t="s">
        <v>1639</v>
      </c>
    </row>
    <row r="4" spans="2:7" ht="76.2" customHeight="1" x14ac:dyDescent="0.25">
      <c r="B4" s="1630">
        <v>1</v>
      </c>
      <c r="C4" s="1636">
        <v>44768</v>
      </c>
      <c r="D4" s="1631" t="s">
        <v>1403</v>
      </c>
      <c r="E4" s="1631" t="s">
        <v>1740</v>
      </c>
      <c r="F4" s="1637" t="s">
        <v>1638</v>
      </c>
      <c r="G4" s="1638" t="s">
        <v>1741</v>
      </c>
    </row>
    <row r="5" spans="2:7" ht="53.4" customHeight="1" x14ac:dyDescent="0.25">
      <c r="B5" s="1633">
        <v>2</v>
      </c>
      <c r="C5" s="1639">
        <v>44768</v>
      </c>
      <c r="D5" s="1634" t="s">
        <v>1403</v>
      </c>
      <c r="E5" s="1634" t="s">
        <v>1636</v>
      </c>
      <c r="F5" s="1640" t="s">
        <v>1638</v>
      </c>
      <c r="G5" s="1641" t="s">
        <v>1742</v>
      </c>
    </row>
    <row r="6" spans="2:7" ht="65.400000000000006" customHeight="1" x14ac:dyDescent="0.25">
      <c r="B6" s="1633">
        <v>3</v>
      </c>
      <c r="C6" s="1639">
        <v>44768</v>
      </c>
      <c r="D6" s="1634" t="s">
        <v>1403</v>
      </c>
      <c r="E6" s="1634" t="s">
        <v>1640</v>
      </c>
      <c r="F6" s="1640" t="s">
        <v>1638</v>
      </c>
      <c r="G6" s="1641" t="s">
        <v>1742</v>
      </c>
    </row>
    <row r="7" spans="2:7" ht="62.4" customHeight="1" x14ac:dyDescent="0.25">
      <c r="B7" s="1633">
        <v>4</v>
      </c>
      <c r="C7" s="1639">
        <v>44768</v>
      </c>
      <c r="D7" s="1634" t="s">
        <v>1403</v>
      </c>
      <c r="E7" s="1634" t="s">
        <v>1641</v>
      </c>
      <c r="F7" s="1640" t="s">
        <v>1638</v>
      </c>
      <c r="G7" s="1641" t="s">
        <v>1742</v>
      </c>
    </row>
    <row r="8" spans="2:7" ht="51.6" customHeight="1" x14ac:dyDescent="0.25">
      <c r="B8" s="1633">
        <v>5</v>
      </c>
      <c r="C8" s="1639">
        <v>44768</v>
      </c>
      <c r="D8" s="1634" t="s">
        <v>1403</v>
      </c>
      <c r="E8" s="1634" t="s">
        <v>1642</v>
      </c>
      <c r="F8" s="1640" t="s">
        <v>1638</v>
      </c>
      <c r="G8" s="1641" t="s">
        <v>1742</v>
      </c>
    </row>
    <row r="9" spans="2:7" ht="51" x14ac:dyDescent="0.25">
      <c r="B9" s="1633">
        <v>6</v>
      </c>
      <c r="C9" s="1639">
        <v>44768</v>
      </c>
      <c r="D9" s="1634" t="s">
        <v>1403</v>
      </c>
      <c r="E9" s="1634" t="s">
        <v>1643</v>
      </c>
      <c r="F9" s="1640" t="s">
        <v>1638</v>
      </c>
      <c r="G9" s="1641" t="s">
        <v>1742</v>
      </c>
    </row>
    <row r="10" spans="2:7" ht="51" x14ac:dyDescent="0.25">
      <c r="B10" s="1654">
        <v>7</v>
      </c>
      <c r="C10" s="1655">
        <v>44804</v>
      </c>
      <c r="D10" s="1656" t="s">
        <v>1623</v>
      </c>
      <c r="E10" s="1656" t="s">
        <v>1645</v>
      </c>
      <c r="F10" s="1657" t="s">
        <v>1644</v>
      </c>
      <c r="G10" s="1658" t="s">
        <v>1742</v>
      </c>
    </row>
    <row r="11" spans="2:7" ht="40.799999999999997" x14ac:dyDescent="0.25">
      <c r="B11" s="1633">
        <v>8</v>
      </c>
      <c r="C11" s="1753">
        <v>44831</v>
      </c>
      <c r="D11" s="1754" t="s">
        <v>1671</v>
      </c>
      <c r="E11" s="1754" t="s">
        <v>1669</v>
      </c>
      <c r="F11" s="1755" t="s">
        <v>1668</v>
      </c>
      <c r="G11" s="1756" t="s">
        <v>1670</v>
      </c>
    </row>
    <row r="12" spans="2:7" ht="71.400000000000006" x14ac:dyDescent="0.25">
      <c r="B12" s="1633">
        <v>9</v>
      </c>
      <c r="C12" s="1753">
        <v>44790</v>
      </c>
      <c r="D12" s="1656" t="s">
        <v>1623</v>
      </c>
      <c r="E12" s="1754" t="s">
        <v>1744</v>
      </c>
      <c r="F12" s="1755" t="s">
        <v>1743</v>
      </c>
      <c r="G12" s="1756" t="s">
        <v>1749</v>
      </c>
    </row>
    <row r="13" spans="2:7" ht="71.400000000000006" x14ac:dyDescent="0.25">
      <c r="B13" s="1633">
        <v>10</v>
      </c>
      <c r="C13" s="1753">
        <v>44804</v>
      </c>
      <c r="D13" s="1754" t="s">
        <v>1671</v>
      </c>
      <c r="E13" s="1754" t="s">
        <v>1746</v>
      </c>
      <c r="F13" s="1755" t="s">
        <v>1745</v>
      </c>
      <c r="G13" s="1756" t="s">
        <v>1750</v>
      </c>
    </row>
    <row r="14" spans="2:7" ht="81.599999999999994" x14ac:dyDescent="0.25">
      <c r="B14" s="1633">
        <v>11</v>
      </c>
      <c r="C14" s="1753">
        <v>44817</v>
      </c>
      <c r="D14" s="1754" t="s">
        <v>1671</v>
      </c>
      <c r="E14" s="1754" t="s">
        <v>1748</v>
      </c>
      <c r="F14" s="1755" t="s">
        <v>1747</v>
      </c>
      <c r="G14" s="1756" t="s">
        <v>1751</v>
      </c>
    </row>
    <row r="15" spans="2:7" ht="72" thickBot="1" x14ac:dyDescent="0.3">
      <c r="B15" s="1757">
        <v>12</v>
      </c>
      <c r="C15" s="1758">
        <v>44896</v>
      </c>
      <c r="D15" s="1759" t="s">
        <v>1403</v>
      </c>
      <c r="E15" s="1759" t="s">
        <v>1753</v>
      </c>
      <c r="F15" s="1760" t="s">
        <v>1752</v>
      </c>
      <c r="G15" s="1761" t="s">
        <v>1754</v>
      </c>
    </row>
    <row r="33" spans="2:7" ht="13.8" thickBot="1" x14ac:dyDescent="0.3">
      <c r="B33" s="1891" t="s">
        <v>1646</v>
      </c>
      <c r="C33" s="1891"/>
      <c r="D33" s="1891"/>
      <c r="E33" s="1891"/>
      <c r="F33" s="1891"/>
      <c r="G33" s="1891"/>
    </row>
    <row r="34" spans="2:7" x14ac:dyDescent="0.25">
      <c r="B34" s="1892" t="s">
        <v>1648</v>
      </c>
      <c r="C34" s="1893"/>
      <c r="D34" s="1893"/>
      <c r="E34" s="1893"/>
      <c r="F34" s="1893"/>
      <c r="G34" s="1894"/>
    </row>
    <row r="35" spans="2:7" x14ac:dyDescent="0.25">
      <c r="B35" s="1895"/>
      <c r="C35" s="1896"/>
      <c r="D35" s="1896"/>
      <c r="E35" s="1896"/>
      <c r="F35" s="1896"/>
      <c r="G35" s="1897"/>
    </row>
    <row r="36" spans="2:7" x14ac:dyDescent="0.25">
      <c r="B36" s="1895"/>
      <c r="C36" s="1896"/>
      <c r="D36" s="1896"/>
      <c r="E36" s="1896"/>
      <c r="F36" s="1896"/>
      <c r="G36" s="1897"/>
    </row>
    <row r="37" spans="2:7" x14ac:dyDescent="0.25">
      <c r="B37" s="1895"/>
      <c r="C37" s="1896"/>
      <c r="D37" s="1896"/>
      <c r="E37" s="1896"/>
      <c r="F37" s="1896"/>
      <c r="G37" s="1897"/>
    </row>
    <row r="38" spans="2:7" ht="13.8" thickBot="1" x14ac:dyDescent="0.3">
      <c r="B38" s="1898"/>
      <c r="C38" s="1899"/>
      <c r="D38" s="1899"/>
      <c r="E38" s="1899"/>
      <c r="F38" s="1899"/>
      <c r="G38" s="1900"/>
    </row>
    <row r="41" spans="2:7" ht="13.8" thickBot="1" x14ac:dyDescent="0.3">
      <c r="B41" s="1891" t="s">
        <v>1647</v>
      </c>
      <c r="C41" s="1891"/>
      <c r="D41" s="1891"/>
      <c r="E41" s="1891"/>
      <c r="F41" s="1891"/>
      <c r="G41" s="1891"/>
    </row>
    <row r="42" spans="2:7" ht="13.2" customHeight="1" x14ac:dyDescent="0.25">
      <c r="B42" s="1882" t="s">
        <v>1698</v>
      </c>
      <c r="C42" s="1883"/>
      <c r="D42" s="1883"/>
      <c r="E42" s="1883"/>
      <c r="F42" s="1883"/>
      <c r="G42" s="1884"/>
    </row>
    <row r="43" spans="2:7" x14ac:dyDescent="0.25">
      <c r="B43" s="1885"/>
      <c r="C43" s="1886"/>
      <c r="D43" s="1886"/>
      <c r="E43" s="1886"/>
      <c r="F43" s="1886"/>
      <c r="G43" s="1887"/>
    </row>
    <row r="44" spans="2:7" x14ac:dyDescent="0.25">
      <c r="B44" s="1885"/>
      <c r="C44" s="1886"/>
      <c r="D44" s="1886"/>
      <c r="E44" s="1886"/>
      <c r="F44" s="1886"/>
      <c r="G44" s="1887"/>
    </row>
    <row r="45" spans="2:7" x14ac:dyDescent="0.25">
      <c r="B45" s="1885"/>
      <c r="C45" s="1886"/>
      <c r="D45" s="1886"/>
      <c r="E45" s="1886"/>
      <c r="F45" s="1886"/>
      <c r="G45" s="1887"/>
    </row>
    <row r="46" spans="2:7" ht="13.8" thickBot="1" x14ac:dyDescent="0.3">
      <c r="B46" s="1888"/>
      <c r="C46" s="1889"/>
      <c r="D46" s="1889"/>
      <c r="E46" s="1889"/>
      <c r="F46" s="1889"/>
      <c r="G46" s="1890"/>
    </row>
    <row r="49" spans="2:7" ht="13.8" thickBot="1" x14ac:dyDescent="0.3">
      <c r="B49" s="1891" t="s">
        <v>1649</v>
      </c>
      <c r="C49" s="1891"/>
      <c r="D49" s="1891"/>
      <c r="E49" s="1891"/>
      <c r="F49" s="1891"/>
      <c r="G49" s="1891"/>
    </row>
    <row r="50" spans="2:7" ht="13.2" customHeight="1" x14ac:dyDescent="0.25">
      <c r="B50" s="1882" t="s">
        <v>1755</v>
      </c>
      <c r="C50" s="1883"/>
      <c r="D50" s="1883"/>
      <c r="E50" s="1883"/>
      <c r="F50" s="1883"/>
      <c r="G50" s="1884"/>
    </row>
    <row r="51" spans="2:7" x14ac:dyDescent="0.25">
      <c r="B51" s="1885"/>
      <c r="C51" s="1886"/>
      <c r="D51" s="1886"/>
      <c r="E51" s="1886"/>
      <c r="F51" s="1886"/>
      <c r="G51" s="1887"/>
    </row>
    <row r="52" spans="2:7" x14ac:dyDescent="0.25">
      <c r="B52" s="1885"/>
      <c r="C52" s="1886"/>
      <c r="D52" s="1886"/>
      <c r="E52" s="1886"/>
      <c r="F52" s="1886"/>
      <c r="G52" s="1887"/>
    </row>
    <row r="53" spans="2:7" x14ac:dyDescent="0.25">
      <c r="B53" s="1885"/>
      <c r="C53" s="1886"/>
      <c r="D53" s="1886"/>
      <c r="E53" s="1886"/>
      <c r="F53" s="1886"/>
      <c r="G53" s="1887"/>
    </row>
    <row r="54" spans="2:7" ht="13.8" thickBot="1" x14ac:dyDescent="0.3">
      <c r="B54" s="1888"/>
      <c r="C54" s="1889"/>
      <c r="D54" s="1889"/>
      <c r="E54" s="1889"/>
      <c r="F54" s="1889"/>
      <c r="G54" s="1890"/>
    </row>
    <row r="57" spans="2:7" ht="13.8" thickBot="1" x14ac:dyDescent="0.3">
      <c r="B57" s="1891" t="s">
        <v>1650</v>
      </c>
      <c r="C57" s="1891"/>
      <c r="D57" s="1891"/>
      <c r="E57" s="1891"/>
      <c r="F57" s="1891"/>
      <c r="G57" s="1891"/>
    </row>
    <row r="58" spans="2:7" ht="13.2" customHeight="1" x14ac:dyDescent="0.25">
      <c r="B58" s="1882" t="s">
        <v>1756</v>
      </c>
      <c r="C58" s="1883"/>
      <c r="D58" s="1883"/>
      <c r="E58" s="1883"/>
      <c r="F58" s="1883"/>
      <c r="G58" s="1884"/>
    </row>
    <row r="59" spans="2:7" x14ac:dyDescent="0.25">
      <c r="B59" s="1885"/>
      <c r="C59" s="1886"/>
      <c r="D59" s="1886"/>
      <c r="E59" s="1886"/>
      <c r="F59" s="1886"/>
      <c r="G59" s="1887"/>
    </row>
    <row r="60" spans="2:7" x14ac:dyDescent="0.25">
      <c r="B60" s="1885"/>
      <c r="C60" s="1886"/>
      <c r="D60" s="1886"/>
      <c r="E60" s="1886"/>
      <c r="F60" s="1886"/>
      <c r="G60" s="1887"/>
    </row>
    <row r="61" spans="2:7" x14ac:dyDescent="0.25">
      <c r="B61" s="1885"/>
      <c r="C61" s="1886"/>
      <c r="D61" s="1886"/>
      <c r="E61" s="1886"/>
      <c r="F61" s="1886"/>
      <c r="G61" s="1887"/>
    </row>
    <row r="62" spans="2:7" ht="13.8" thickBot="1" x14ac:dyDescent="0.3">
      <c r="B62" s="1888"/>
      <c r="C62" s="1889"/>
      <c r="D62" s="1889"/>
      <c r="E62" s="1889"/>
      <c r="F62" s="1889"/>
      <c r="G62" s="1890"/>
    </row>
    <row r="64" spans="2:7" ht="13.8" thickBot="1" x14ac:dyDescent="0.3">
      <c r="B64" s="1891" t="s">
        <v>1651</v>
      </c>
      <c r="C64" s="1891"/>
      <c r="D64" s="1891"/>
      <c r="E64" s="1891"/>
      <c r="F64" s="1891"/>
      <c r="G64" s="1891"/>
    </row>
    <row r="65" spans="2:7" ht="13.2" customHeight="1" x14ac:dyDescent="0.25">
      <c r="B65" s="1882" t="s">
        <v>1652</v>
      </c>
      <c r="C65" s="1883"/>
      <c r="D65" s="1883"/>
      <c r="E65" s="1883"/>
      <c r="F65" s="1883"/>
      <c r="G65" s="1884"/>
    </row>
    <row r="66" spans="2:7" x14ac:dyDescent="0.25">
      <c r="B66" s="1885"/>
      <c r="C66" s="1886"/>
      <c r="D66" s="1886"/>
      <c r="E66" s="1886"/>
      <c r="F66" s="1886"/>
      <c r="G66" s="1887"/>
    </row>
    <row r="67" spans="2:7" x14ac:dyDescent="0.25">
      <c r="B67" s="1885"/>
      <c r="C67" s="1886"/>
      <c r="D67" s="1886"/>
      <c r="E67" s="1886"/>
      <c r="F67" s="1886"/>
      <c r="G67" s="1887"/>
    </row>
    <row r="68" spans="2:7" x14ac:dyDescent="0.25">
      <c r="B68" s="1885"/>
      <c r="C68" s="1886"/>
      <c r="D68" s="1886"/>
      <c r="E68" s="1886"/>
      <c r="F68" s="1886"/>
      <c r="G68" s="1887"/>
    </row>
    <row r="69" spans="2:7" ht="13.8" thickBot="1" x14ac:dyDescent="0.3">
      <c r="B69" s="1888"/>
      <c r="C69" s="1889"/>
      <c r="D69" s="1889"/>
      <c r="E69" s="1889"/>
      <c r="F69" s="1889"/>
      <c r="G69" s="1890"/>
    </row>
  </sheetData>
  <mergeCells count="11">
    <mergeCell ref="B1:G1"/>
    <mergeCell ref="B65:G69"/>
    <mergeCell ref="B64:G64"/>
    <mergeCell ref="B58:G62"/>
    <mergeCell ref="B57:G57"/>
    <mergeCell ref="B50:G54"/>
    <mergeCell ref="B49:G49"/>
    <mergeCell ref="B42:G46"/>
    <mergeCell ref="B41:G41"/>
    <mergeCell ref="B34:G38"/>
    <mergeCell ref="B33:G33"/>
  </mergeCells>
  <pageMargins left="0.83" right="0.70866141732283472" top="0.74803149606299213" bottom="0.56999999999999995" header="0.31496062992125984" footer="0.6"/>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12"/>
  <sheetViews>
    <sheetView workbookViewId="0">
      <selection activeCell="F15" sqref="F15"/>
    </sheetView>
  </sheetViews>
  <sheetFormatPr baseColWidth="10" defaultRowHeight="13.2" x14ac:dyDescent="0.25"/>
  <cols>
    <col min="1" max="1" width="3.77734375" customWidth="1"/>
    <col min="11" max="11" width="25.21875" customWidth="1"/>
  </cols>
  <sheetData>
    <row r="1" spans="2:15" x14ac:dyDescent="0.25">
      <c r="B1" s="1871" t="s">
        <v>1632</v>
      </c>
      <c r="C1" s="1871"/>
      <c r="D1" s="1871"/>
      <c r="E1" s="1871"/>
      <c r="F1" s="1871"/>
      <c r="G1" s="1871"/>
      <c r="H1" s="1871"/>
      <c r="I1" s="1871"/>
      <c r="J1" s="1871"/>
      <c r="K1" s="1871"/>
      <c r="L1" s="1444"/>
      <c r="M1" s="1444"/>
      <c r="N1" s="1444"/>
      <c r="O1" s="1444"/>
    </row>
    <row r="3" spans="2:15" ht="13.8" thickBot="1" x14ac:dyDescent="0.3"/>
    <row r="4" spans="2:15" ht="13.8" thickBot="1" x14ac:dyDescent="0.3">
      <c r="B4" s="1906" t="s">
        <v>1614</v>
      </c>
      <c r="C4" s="1908" t="s">
        <v>1</v>
      </c>
      <c r="D4" s="1904" t="s">
        <v>1615</v>
      </c>
      <c r="E4" s="1904" t="s">
        <v>1616</v>
      </c>
      <c r="F4" s="1904" t="s">
        <v>1617</v>
      </c>
      <c r="G4" s="1904" t="s">
        <v>1618</v>
      </c>
      <c r="H4" s="1910" t="s">
        <v>1619</v>
      </c>
      <c r="I4" s="1911"/>
      <c r="J4" s="1912" t="s">
        <v>1620</v>
      </c>
      <c r="K4" s="1904" t="s">
        <v>1633</v>
      </c>
    </row>
    <row r="5" spans="2:15" ht="13.8" thickBot="1" x14ac:dyDescent="0.3">
      <c r="B5" s="1907"/>
      <c r="C5" s="1909"/>
      <c r="D5" s="1905"/>
      <c r="E5" s="1905"/>
      <c r="F5" s="1905"/>
      <c r="G5" s="1905"/>
      <c r="H5" s="1605" t="s">
        <v>1621</v>
      </c>
      <c r="I5" s="1605" t="s">
        <v>1622</v>
      </c>
      <c r="J5" s="1913"/>
      <c r="K5" s="1905"/>
    </row>
    <row r="6" spans="2:15" ht="28.8" x14ac:dyDescent="0.25">
      <c r="B6" s="1630">
        <v>1</v>
      </c>
      <c r="C6" s="1901" t="s">
        <v>1623</v>
      </c>
      <c r="D6" s="1631">
        <v>10635123000</v>
      </c>
      <c r="E6" s="1632" t="s">
        <v>1515</v>
      </c>
      <c r="F6" s="1631" t="s">
        <v>1757</v>
      </c>
      <c r="G6" s="1631" t="s">
        <v>1624</v>
      </c>
      <c r="H6" s="1631" t="s">
        <v>1625</v>
      </c>
      <c r="I6" s="1631" t="s">
        <v>1626</v>
      </c>
      <c r="J6" s="1766" t="s">
        <v>1517</v>
      </c>
      <c r="K6" s="1635"/>
    </row>
    <row r="7" spans="2:15" ht="38.4" x14ac:dyDescent="0.25">
      <c r="B7" s="1633">
        <v>2</v>
      </c>
      <c r="C7" s="1902"/>
      <c r="D7" s="1754" t="s">
        <v>1627</v>
      </c>
      <c r="E7" s="1763" t="s">
        <v>1518</v>
      </c>
      <c r="F7" s="1764">
        <v>3575654.42</v>
      </c>
      <c r="G7" s="1754" t="s">
        <v>1624</v>
      </c>
      <c r="H7" s="1754" t="s">
        <v>1628</v>
      </c>
      <c r="I7" s="1754" t="s">
        <v>1629</v>
      </c>
      <c r="J7" s="1767" t="s">
        <v>1758</v>
      </c>
      <c r="K7" s="1770"/>
    </row>
    <row r="8" spans="2:15" ht="38.4" x14ac:dyDescent="0.25">
      <c r="B8" s="1633">
        <v>3</v>
      </c>
      <c r="C8" s="1902"/>
      <c r="D8" s="1754" t="s">
        <v>1672</v>
      </c>
      <c r="E8" s="1763" t="s">
        <v>1518</v>
      </c>
      <c r="F8" s="1764">
        <v>3575654.42</v>
      </c>
      <c r="G8" s="1754" t="s">
        <v>1624</v>
      </c>
      <c r="H8" s="1754" t="s">
        <v>1673</v>
      </c>
      <c r="I8" s="1754" t="s">
        <v>1674</v>
      </c>
      <c r="J8" s="1767" t="s">
        <v>1759</v>
      </c>
      <c r="K8" s="1770"/>
    </row>
    <row r="9" spans="2:15" ht="38.4" x14ac:dyDescent="0.25">
      <c r="B9" s="1633">
        <v>4</v>
      </c>
      <c r="C9" s="1902"/>
      <c r="D9" s="1754" t="s">
        <v>1760</v>
      </c>
      <c r="E9" s="1763" t="s">
        <v>1518</v>
      </c>
      <c r="F9" s="1764">
        <v>1038426.81</v>
      </c>
      <c r="G9" s="1754" t="s">
        <v>1624</v>
      </c>
      <c r="H9" s="1754" t="s">
        <v>1761</v>
      </c>
      <c r="I9" s="1754" t="s">
        <v>1626</v>
      </c>
      <c r="J9" s="1768" t="s">
        <v>1736</v>
      </c>
      <c r="K9" s="1770"/>
    </row>
    <row r="10" spans="2:15" ht="19.8" thickBot="1" x14ac:dyDescent="0.3">
      <c r="B10" s="1633">
        <v>5</v>
      </c>
      <c r="C10" s="1902"/>
      <c r="D10" s="1754" t="s">
        <v>1630</v>
      </c>
      <c r="E10" s="1763" t="s">
        <v>1519</v>
      </c>
      <c r="F10" s="1764">
        <v>1787827.21</v>
      </c>
      <c r="G10" s="1754" t="s">
        <v>1624</v>
      </c>
      <c r="H10" s="1754" t="s">
        <v>1628</v>
      </c>
      <c r="I10" s="1754" t="s">
        <v>1631</v>
      </c>
      <c r="J10" s="1767" t="s">
        <v>1675</v>
      </c>
      <c r="K10" s="1770"/>
    </row>
    <row r="11" spans="2:15" ht="38.4" x14ac:dyDescent="0.25">
      <c r="B11" s="1633">
        <v>6</v>
      </c>
      <c r="C11" s="1902"/>
      <c r="D11" s="1754" t="s">
        <v>1676</v>
      </c>
      <c r="E11" s="1763" t="s">
        <v>1519</v>
      </c>
      <c r="F11" s="1764">
        <v>1787827.21</v>
      </c>
      <c r="G11" s="1754" t="s">
        <v>1624</v>
      </c>
      <c r="H11" s="1754" t="s">
        <v>1677</v>
      </c>
      <c r="I11" s="1754" t="s">
        <v>1713</v>
      </c>
      <c r="J11" s="1768" t="s">
        <v>1736</v>
      </c>
      <c r="K11" s="1770" t="s">
        <v>1762</v>
      </c>
    </row>
    <row r="12" spans="2:15" ht="13.8" thickBot="1" x14ac:dyDescent="0.3">
      <c r="B12" s="1757"/>
      <c r="C12" s="1903"/>
      <c r="D12" s="1759"/>
      <c r="E12" s="1759"/>
      <c r="F12" s="1759"/>
      <c r="G12" s="1765"/>
      <c r="H12" s="1765"/>
      <c r="I12" s="1765"/>
      <c r="J12" s="1769"/>
      <c r="K12" s="1771"/>
    </row>
  </sheetData>
  <mergeCells count="11">
    <mergeCell ref="C6:C12"/>
    <mergeCell ref="K4:K5"/>
    <mergeCell ref="B1:K1"/>
    <mergeCell ref="B4:B5"/>
    <mergeCell ref="C4:C5"/>
    <mergeCell ref="D4:D5"/>
    <mergeCell ref="E4:E5"/>
    <mergeCell ref="F4:F5"/>
    <mergeCell ref="G4:G5"/>
    <mergeCell ref="H4:I4"/>
    <mergeCell ref="J4:J5"/>
  </mergeCells>
  <pageMargins left="0.55000000000000004" right="0.12" top="1.19" bottom="0.74803149606299213" header="0.31496062992125984" footer="0.31496062992125984"/>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21"/>
  <sheetViews>
    <sheetView workbookViewId="0">
      <selection activeCell="I17" sqref="I17:I21"/>
    </sheetView>
  </sheetViews>
  <sheetFormatPr baseColWidth="10" defaultRowHeight="13.2" x14ac:dyDescent="0.25"/>
  <cols>
    <col min="1" max="1" width="3.21875" customWidth="1"/>
    <col min="2" max="2" width="8.44140625" customWidth="1"/>
    <col min="3" max="3" width="18.88671875" customWidth="1"/>
    <col min="5" max="5" width="10.33203125" customWidth="1"/>
    <col min="6" max="6" width="1.33203125" customWidth="1"/>
    <col min="7" max="7" width="9.33203125" customWidth="1"/>
    <col min="8" max="8" width="9.6640625" customWidth="1"/>
    <col min="9" max="9" width="10.44140625" customWidth="1"/>
    <col min="13" max="13" width="24" customWidth="1"/>
  </cols>
  <sheetData>
    <row r="1" spans="2:15" x14ac:dyDescent="0.25">
      <c r="B1" s="1871" t="s">
        <v>1601</v>
      </c>
      <c r="C1" s="1871"/>
      <c r="D1" s="1871"/>
      <c r="E1" s="1871"/>
      <c r="F1" s="1871"/>
      <c r="G1" s="1871"/>
      <c r="H1" s="1871"/>
      <c r="I1" s="1871"/>
      <c r="J1" s="1871"/>
      <c r="K1" s="1871"/>
      <c r="L1" s="1871"/>
      <c r="M1" s="1871"/>
      <c r="N1" s="1871"/>
      <c r="O1" s="1871"/>
    </row>
    <row r="2" spans="2:15" ht="15" thickBot="1" x14ac:dyDescent="0.3">
      <c r="B2" s="1616"/>
      <c r="C2" s="1616"/>
      <c r="D2" s="1616"/>
      <c r="E2" s="1982"/>
      <c r="F2" s="1982"/>
      <c r="G2" s="1616"/>
      <c r="H2" s="1616"/>
      <c r="I2" s="1616"/>
      <c r="J2" s="1982"/>
      <c r="K2" s="1982"/>
      <c r="L2" s="1616"/>
    </row>
    <row r="3" spans="2:15" ht="13.8" customHeight="1" thickBot="1" x14ac:dyDescent="0.3">
      <c r="B3" s="1932" t="s">
        <v>1567</v>
      </c>
      <c r="C3" s="1933"/>
      <c r="D3" s="1933"/>
      <c r="E3" s="1942" t="s">
        <v>1568</v>
      </c>
      <c r="F3" s="1943"/>
      <c r="G3" s="1943"/>
      <c r="H3" s="1943"/>
      <c r="I3" s="1943"/>
      <c r="J3" s="1943"/>
      <c r="K3" s="1943"/>
      <c r="L3" s="1943"/>
      <c r="M3" s="1943"/>
      <c r="N3" s="1943"/>
      <c r="O3" s="1944"/>
    </row>
    <row r="4" spans="2:15" ht="20.399999999999999" customHeight="1" thickBot="1" x14ac:dyDescent="0.3">
      <c r="B4" s="1934"/>
      <c r="C4" s="1935"/>
      <c r="D4" s="1935"/>
      <c r="E4" s="1934" t="s">
        <v>1569</v>
      </c>
      <c r="F4" s="1935"/>
      <c r="G4" s="1935"/>
      <c r="H4" s="1935"/>
      <c r="I4" s="1936"/>
      <c r="J4" s="1989" t="s">
        <v>1570</v>
      </c>
      <c r="K4" s="1990"/>
      <c r="L4" s="1991"/>
      <c r="M4" s="1939" t="s">
        <v>1763</v>
      </c>
      <c r="N4" s="1940"/>
      <c r="O4" s="1941"/>
    </row>
    <row r="5" spans="2:15" ht="13.2" customHeight="1" x14ac:dyDescent="0.25">
      <c r="B5" s="1617" t="s">
        <v>1571</v>
      </c>
      <c r="C5" s="1983" t="s">
        <v>1573</v>
      </c>
      <c r="D5" s="1618" t="s">
        <v>1574</v>
      </c>
      <c r="E5" s="1985" t="s">
        <v>1576</v>
      </c>
      <c r="F5" s="1986"/>
      <c r="G5" s="1983" t="s">
        <v>1577</v>
      </c>
      <c r="H5" s="1983" t="s">
        <v>1578</v>
      </c>
      <c r="I5" s="1983" t="s">
        <v>1579</v>
      </c>
      <c r="J5" s="1989"/>
      <c r="K5" s="1990"/>
      <c r="L5" s="1991"/>
      <c r="M5" s="1939"/>
      <c r="N5" s="1940"/>
      <c r="O5" s="1941"/>
    </row>
    <row r="6" spans="2:15" ht="13.8" customHeight="1" thickBot="1" x14ac:dyDescent="0.3">
      <c r="B6" s="1619" t="s">
        <v>1572</v>
      </c>
      <c r="C6" s="1984"/>
      <c r="D6" s="1620" t="s">
        <v>1575</v>
      </c>
      <c r="E6" s="1987"/>
      <c r="F6" s="1988"/>
      <c r="G6" s="1984"/>
      <c r="H6" s="1984"/>
      <c r="I6" s="1984"/>
      <c r="J6" s="1934"/>
      <c r="K6" s="1935"/>
      <c r="L6" s="1936"/>
      <c r="M6" s="1939"/>
      <c r="N6" s="1940"/>
      <c r="O6" s="1941"/>
    </row>
    <row r="7" spans="2:15" ht="45" customHeight="1" x14ac:dyDescent="0.25">
      <c r="B7" s="1978" t="s">
        <v>1602</v>
      </c>
      <c r="C7" s="1979" t="s">
        <v>1580</v>
      </c>
      <c r="D7" s="1980" t="s">
        <v>1581</v>
      </c>
      <c r="E7" s="1981"/>
      <c r="F7" s="1981"/>
      <c r="G7" s="1981"/>
      <c r="H7" s="1977" t="s">
        <v>1582</v>
      </c>
      <c r="I7" s="1976"/>
      <c r="J7" s="1923" t="s">
        <v>1583</v>
      </c>
      <c r="K7" s="1924"/>
      <c r="L7" s="1924"/>
      <c r="M7" s="1923" t="s">
        <v>1764</v>
      </c>
      <c r="N7" s="1924"/>
      <c r="O7" s="1925"/>
    </row>
    <row r="8" spans="2:15" ht="88.2" customHeight="1" x14ac:dyDescent="0.25">
      <c r="B8" s="1965"/>
      <c r="C8" s="1966"/>
      <c r="D8" s="1967"/>
      <c r="E8" s="1954"/>
      <c r="F8" s="1954"/>
      <c r="G8" s="1954"/>
      <c r="H8" s="1945"/>
      <c r="I8" s="1951"/>
      <c r="J8" s="1926" t="s">
        <v>1584</v>
      </c>
      <c r="K8" s="1927"/>
      <c r="L8" s="1927"/>
      <c r="M8" s="1926" t="s">
        <v>1765</v>
      </c>
      <c r="N8" s="1927"/>
      <c r="O8" s="1928"/>
    </row>
    <row r="9" spans="2:15" ht="51" customHeight="1" thickBot="1" x14ac:dyDescent="0.3">
      <c r="B9" s="1965"/>
      <c r="C9" s="1966"/>
      <c r="D9" s="1967"/>
      <c r="E9" s="1954"/>
      <c r="F9" s="1954"/>
      <c r="G9" s="1954"/>
      <c r="H9" s="1945"/>
      <c r="I9" s="1951"/>
      <c r="J9" s="1914" t="s">
        <v>1608</v>
      </c>
      <c r="K9" s="1915"/>
      <c r="L9" s="1915"/>
      <c r="M9" s="1926" t="s">
        <v>1766</v>
      </c>
      <c r="N9" s="1927"/>
      <c r="O9" s="1928"/>
    </row>
    <row r="10" spans="2:15" ht="43.2" customHeight="1" thickBot="1" x14ac:dyDescent="0.3">
      <c r="B10" s="1628" t="s">
        <v>1603</v>
      </c>
      <c r="C10" s="1621" t="s">
        <v>1585</v>
      </c>
      <c r="D10" s="1622" t="s">
        <v>1586</v>
      </c>
      <c r="E10" s="1954"/>
      <c r="F10" s="1954"/>
      <c r="G10" s="1623" t="s">
        <v>1582</v>
      </c>
      <c r="H10" s="1624"/>
      <c r="I10" s="1625"/>
      <c r="J10" s="1929" t="s">
        <v>1609</v>
      </c>
      <c r="K10" s="1930"/>
      <c r="L10" s="1930"/>
      <c r="M10" s="1929" t="s">
        <v>1767</v>
      </c>
      <c r="N10" s="1930"/>
      <c r="O10" s="1931"/>
    </row>
    <row r="11" spans="2:15" ht="49.8" customHeight="1" x14ac:dyDescent="0.25">
      <c r="B11" s="1965" t="s">
        <v>1604</v>
      </c>
      <c r="C11" s="1970" t="s">
        <v>1587</v>
      </c>
      <c r="D11" s="1967" t="s">
        <v>1588</v>
      </c>
      <c r="E11" s="1945" t="s">
        <v>1582</v>
      </c>
      <c r="F11" s="1945"/>
      <c r="G11" s="1954"/>
      <c r="H11" s="1954"/>
      <c r="I11" s="1951"/>
      <c r="J11" s="1923" t="s">
        <v>1589</v>
      </c>
      <c r="K11" s="1924"/>
      <c r="L11" s="1925"/>
      <c r="M11" s="1923" t="s">
        <v>1768</v>
      </c>
      <c r="N11" s="1924"/>
      <c r="O11" s="1925"/>
    </row>
    <row r="12" spans="2:15" ht="23.4" customHeight="1" thickBot="1" x14ac:dyDescent="0.3">
      <c r="B12" s="1965"/>
      <c r="C12" s="1970"/>
      <c r="D12" s="1967"/>
      <c r="E12" s="1945"/>
      <c r="F12" s="1945"/>
      <c r="G12" s="1954"/>
      <c r="H12" s="1954"/>
      <c r="I12" s="1951"/>
      <c r="J12" s="1952" t="s">
        <v>1590</v>
      </c>
      <c r="K12" s="1953"/>
      <c r="L12" s="1953"/>
      <c r="M12" s="1914" t="s">
        <v>1714</v>
      </c>
      <c r="N12" s="1915"/>
      <c r="O12" s="1916"/>
    </row>
    <row r="13" spans="2:15" ht="40.200000000000003" customHeight="1" thickBot="1" x14ac:dyDescent="0.3">
      <c r="B13" s="1629" t="s">
        <v>1605</v>
      </c>
      <c r="C13" s="1626" t="s">
        <v>1591</v>
      </c>
      <c r="D13" s="1627" t="s">
        <v>1581</v>
      </c>
      <c r="E13" s="1954"/>
      <c r="F13" s="1954"/>
      <c r="G13" s="1624"/>
      <c r="H13" s="1623" t="s">
        <v>1582</v>
      </c>
      <c r="I13" s="1625"/>
      <c r="J13" s="1929" t="s">
        <v>1592</v>
      </c>
      <c r="K13" s="1930"/>
      <c r="L13" s="1930"/>
      <c r="M13" s="1929" t="s">
        <v>1715</v>
      </c>
      <c r="N13" s="1930"/>
      <c r="O13" s="1931"/>
    </row>
    <row r="14" spans="2:15" ht="40.799999999999997" customHeight="1" x14ac:dyDescent="0.25">
      <c r="B14" s="1965" t="s">
        <v>1606</v>
      </c>
      <c r="C14" s="1966" t="s">
        <v>1593</v>
      </c>
      <c r="D14" s="1967" t="s">
        <v>1594</v>
      </c>
      <c r="E14" s="1945"/>
      <c r="F14" s="1945"/>
      <c r="G14" s="1945" t="s">
        <v>1582</v>
      </c>
      <c r="H14" s="1945"/>
      <c r="I14" s="1948"/>
      <c r="J14" s="1923" t="s">
        <v>1595</v>
      </c>
      <c r="K14" s="1924"/>
      <c r="L14" s="1925"/>
      <c r="M14" s="1923" t="s">
        <v>1716</v>
      </c>
      <c r="N14" s="1924"/>
      <c r="O14" s="1925"/>
    </row>
    <row r="15" spans="2:15" ht="22.2" customHeight="1" x14ac:dyDescent="0.25">
      <c r="B15" s="1965"/>
      <c r="C15" s="1966"/>
      <c r="D15" s="1967"/>
      <c r="E15" s="1945"/>
      <c r="F15" s="1945"/>
      <c r="G15" s="1945"/>
      <c r="H15" s="1945"/>
      <c r="I15" s="1948"/>
      <c r="J15" s="1937" t="s">
        <v>1610</v>
      </c>
      <c r="K15" s="1938"/>
      <c r="L15" s="1938"/>
      <c r="M15" s="1917" t="s">
        <v>1717</v>
      </c>
      <c r="N15" s="1918"/>
      <c r="O15" s="1919"/>
    </row>
    <row r="16" spans="2:15" ht="13.8" thickBot="1" x14ac:dyDescent="0.3">
      <c r="B16" s="1965"/>
      <c r="C16" s="1966"/>
      <c r="D16" s="1967"/>
      <c r="E16" s="1945"/>
      <c r="F16" s="1945"/>
      <c r="G16" s="1945"/>
      <c r="H16" s="1945"/>
      <c r="I16" s="1948"/>
      <c r="J16" s="1920"/>
      <c r="K16" s="1921"/>
      <c r="L16" s="1921"/>
      <c r="M16" s="1920"/>
      <c r="N16" s="1921"/>
      <c r="O16" s="1922"/>
    </row>
    <row r="17" spans="2:15" ht="24" customHeight="1" x14ac:dyDescent="0.25">
      <c r="B17" s="1965" t="s">
        <v>1607</v>
      </c>
      <c r="C17" s="1970" t="s">
        <v>1596</v>
      </c>
      <c r="D17" s="1973" t="s">
        <v>1597</v>
      </c>
      <c r="E17" s="1945"/>
      <c r="F17" s="1945"/>
      <c r="G17" s="1945"/>
      <c r="H17" s="1945" t="s">
        <v>1582</v>
      </c>
      <c r="I17" s="1948"/>
      <c r="J17" s="1923" t="s">
        <v>1598</v>
      </c>
      <c r="K17" s="1924"/>
      <c r="L17" s="1925"/>
      <c r="M17" s="1923" t="s">
        <v>1611</v>
      </c>
      <c r="N17" s="1924"/>
      <c r="O17" s="1925"/>
    </row>
    <row r="18" spans="2:15" ht="20.399999999999999" customHeight="1" x14ac:dyDescent="0.25">
      <c r="B18" s="1965"/>
      <c r="C18" s="1970"/>
      <c r="D18" s="1973"/>
      <c r="E18" s="1945"/>
      <c r="F18" s="1945"/>
      <c r="G18" s="1945"/>
      <c r="H18" s="1945"/>
      <c r="I18" s="1948"/>
      <c r="J18" s="1926" t="s">
        <v>1599</v>
      </c>
      <c r="K18" s="1927"/>
      <c r="L18" s="1928"/>
      <c r="M18" s="1926" t="s">
        <v>1612</v>
      </c>
      <c r="N18" s="1927"/>
      <c r="O18" s="1928"/>
    </row>
    <row r="19" spans="2:15" ht="30" customHeight="1" x14ac:dyDescent="0.25">
      <c r="B19" s="1968"/>
      <c r="C19" s="1971"/>
      <c r="D19" s="1974"/>
      <c r="E19" s="1946"/>
      <c r="F19" s="1946"/>
      <c r="G19" s="1946"/>
      <c r="H19" s="1946"/>
      <c r="I19" s="1949"/>
      <c r="J19" s="1917" t="s">
        <v>1600</v>
      </c>
      <c r="K19" s="1918"/>
      <c r="L19" s="1919"/>
      <c r="M19" s="1956" t="s">
        <v>1718</v>
      </c>
      <c r="N19" s="1957"/>
      <c r="O19" s="1958"/>
    </row>
    <row r="20" spans="2:15" ht="40.799999999999997" customHeight="1" x14ac:dyDescent="0.25">
      <c r="B20" s="1968"/>
      <c r="C20" s="1971"/>
      <c r="D20" s="1974"/>
      <c r="E20" s="1946"/>
      <c r="F20" s="1946"/>
      <c r="G20" s="1946"/>
      <c r="H20" s="1946"/>
      <c r="I20" s="1949"/>
      <c r="J20" s="1937"/>
      <c r="K20" s="1938"/>
      <c r="L20" s="1955"/>
      <c r="M20" s="1959" t="s">
        <v>1769</v>
      </c>
      <c r="N20" s="1960"/>
      <c r="O20" s="1961"/>
    </row>
    <row r="21" spans="2:15" ht="42" customHeight="1" thickBot="1" x14ac:dyDescent="0.3">
      <c r="B21" s="1969"/>
      <c r="C21" s="1972"/>
      <c r="D21" s="1975"/>
      <c r="E21" s="1947"/>
      <c r="F21" s="1947"/>
      <c r="G21" s="1947"/>
      <c r="H21" s="1947"/>
      <c r="I21" s="1950"/>
      <c r="J21" s="1920"/>
      <c r="K21" s="1921"/>
      <c r="L21" s="1922"/>
      <c r="M21" s="1962"/>
      <c r="N21" s="1963"/>
      <c r="O21" s="1964"/>
    </row>
  </sheetData>
  <mergeCells count="68">
    <mergeCell ref="E2:F2"/>
    <mergeCell ref="J2:K2"/>
    <mergeCell ref="C5:C6"/>
    <mergeCell ref="E5:F6"/>
    <mergeCell ref="G5:G6"/>
    <mergeCell ref="H5:H6"/>
    <mergeCell ref="I5:I6"/>
    <mergeCell ref="J4:L6"/>
    <mergeCell ref="B7:B9"/>
    <mergeCell ref="C7:C9"/>
    <mergeCell ref="D7:D9"/>
    <mergeCell ref="E7:F9"/>
    <mergeCell ref="G7:G9"/>
    <mergeCell ref="I7:I9"/>
    <mergeCell ref="J7:L7"/>
    <mergeCell ref="J8:L8"/>
    <mergeCell ref="J9:L9"/>
    <mergeCell ref="E10:F10"/>
    <mergeCell ref="J10:L10"/>
    <mergeCell ref="H7:H9"/>
    <mergeCell ref="B11:B12"/>
    <mergeCell ref="C11:C12"/>
    <mergeCell ref="D11:D12"/>
    <mergeCell ref="E11:F12"/>
    <mergeCell ref="G11:G12"/>
    <mergeCell ref="J19:L21"/>
    <mergeCell ref="M19:O19"/>
    <mergeCell ref="M20:O21"/>
    <mergeCell ref="B14:B16"/>
    <mergeCell ref="C14:C16"/>
    <mergeCell ref="D14:D16"/>
    <mergeCell ref="E14:F16"/>
    <mergeCell ref="G14:G16"/>
    <mergeCell ref="B17:B21"/>
    <mergeCell ref="C17:C21"/>
    <mergeCell ref="D17:D21"/>
    <mergeCell ref="E17:F21"/>
    <mergeCell ref="G17:G21"/>
    <mergeCell ref="J14:L14"/>
    <mergeCell ref="I11:I12"/>
    <mergeCell ref="J11:L11"/>
    <mergeCell ref="J12:L12"/>
    <mergeCell ref="E13:F13"/>
    <mergeCell ref="J13:L13"/>
    <mergeCell ref="H11:H12"/>
    <mergeCell ref="B1:O1"/>
    <mergeCell ref="M13:O13"/>
    <mergeCell ref="M14:O14"/>
    <mergeCell ref="M17:O17"/>
    <mergeCell ref="B3:D4"/>
    <mergeCell ref="E4:I4"/>
    <mergeCell ref="J15:L16"/>
    <mergeCell ref="M4:O6"/>
    <mergeCell ref="E3:O3"/>
    <mergeCell ref="H17:H21"/>
    <mergeCell ref="I17:I21"/>
    <mergeCell ref="J17:L17"/>
    <mergeCell ref="J18:L18"/>
    <mergeCell ref="H14:H16"/>
    <mergeCell ref="I14:I16"/>
    <mergeCell ref="M18:O18"/>
    <mergeCell ref="M12:O12"/>
    <mergeCell ref="M15:O16"/>
    <mergeCell ref="M7:O7"/>
    <mergeCell ref="M8:O8"/>
    <mergeCell ref="M9:O9"/>
    <mergeCell ref="M10:O10"/>
    <mergeCell ref="M11:O11"/>
  </mergeCells>
  <pageMargins left="0.63" right="0.43" top="0.66" bottom="0.32" header="0.31496062992125984" footer="0.31496062992125984"/>
  <pageSetup paperSize="9" scale="8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16"/>
  <sheetViews>
    <sheetView workbookViewId="0">
      <selection activeCell="G5" sqref="G5"/>
    </sheetView>
  </sheetViews>
  <sheetFormatPr baseColWidth="10" defaultRowHeight="13.2" x14ac:dyDescent="0.25"/>
  <cols>
    <col min="1" max="1" width="4.109375" customWidth="1"/>
    <col min="2" max="2" width="20.6640625" customWidth="1"/>
    <col min="3" max="3" width="11.77734375" customWidth="1"/>
    <col min="4" max="4" width="12" customWidth="1"/>
    <col min="5" max="5" width="26.44140625" customWidth="1"/>
    <col min="6" max="6" width="16.88671875" customWidth="1"/>
    <col min="7" max="7" width="24.33203125" customWidth="1"/>
  </cols>
  <sheetData>
    <row r="1" spans="2:7" x14ac:dyDescent="0.25">
      <c r="B1" s="1871" t="s">
        <v>1562</v>
      </c>
      <c r="C1" s="1871"/>
      <c r="D1" s="1871"/>
      <c r="E1" s="1871"/>
      <c r="F1" s="1871"/>
      <c r="G1" s="1871"/>
    </row>
    <row r="2" spans="2:7" ht="13.8" thickBot="1" x14ac:dyDescent="0.3"/>
    <row r="3" spans="2:7" ht="19.8" thickBot="1" x14ac:dyDescent="0.3">
      <c r="B3" s="1606" t="s">
        <v>1561</v>
      </c>
      <c r="C3" s="1607" t="s">
        <v>1542</v>
      </c>
      <c r="D3" s="1607" t="s">
        <v>1543</v>
      </c>
      <c r="E3" s="1607" t="s">
        <v>1564</v>
      </c>
      <c r="F3" s="1607" t="s">
        <v>1565</v>
      </c>
      <c r="G3" s="1607" t="s">
        <v>1552</v>
      </c>
    </row>
    <row r="4" spans="2:7" ht="120" customHeight="1" x14ac:dyDescent="0.25">
      <c r="B4" s="1608" t="s">
        <v>1563</v>
      </c>
      <c r="C4" s="1609">
        <v>44804</v>
      </c>
      <c r="D4" s="1610" t="s">
        <v>1544</v>
      </c>
      <c r="E4" s="1610" t="s">
        <v>1679</v>
      </c>
      <c r="F4" s="1610" t="s">
        <v>1680</v>
      </c>
      <c r="G4" s="1611" t="s">
        <v>1682</v>
      </c>
    </row>
    <row r="5" spans="2:7" ht="124.2" customHeight="1" x14ac:dyDescent="0.25">
      <c r="B5" s="1736" t="s">
        <v>1563</v>
      </c>
      <c r="C5" s="1737">
        <v>44804</v>
      </c>
      <c r="D5" s="1738" t="s">
        <v>1544</v>
      </c>
      <c r="E5" s="1738" t="s">
        <v>1566</v>
      </c>
      <c r="F5" s="1738" t="s">
        <v>1681</v>
      </c>
      <c r="G5" s="1739" t="s">
        <v>1683</v>
      </c>
    </row>
    <row r="6" spans="2:7" ht="136.19999999999999" customHeight="1" x14ac:dyDescent="0.25">
      <c r="B6" s="1736" t="s">
        <v>1695</v>
      </c>
      <c r="C6" s="1737">
        <v>44854</v>
      </c>
      <c r="D6" s="1738" t="s">
        <v>1696</v>
      </c>
      <c r="E6" s="1738" t="s">
        <v>1566</v>
      </c>
      <c r="F6" s="1738" t="s">
        <v>1697</v>
      </c>
      <c r="G6" s="1739" t="s">
        <v>1722</v>
      </c>
    </row>
    <row r="7" spans="2:7" ht="163.80000000000001" thickBot="1" x14ac:dyDescent="0.3">
      <c r="B7" s="1612" t="s">
        <v>1720</v>
      </c>
      <c r="C7" s="1615">
        <v>44886</v>
      </c>
      <c r="D7" s="1613" t="s">
        <v>1696</v>
      </c>
      <c r="E7" s="1613" t="s">
        <v>1566</v>
      </c>
      <c r="F7" s="1613" t="s">
        <v>1721</v>
      </c>
      <c r="G7" s="1614" t="s">
        <v>1719</v>
      </c>
    </row>
    <row r="9" spans="2:7" x14ac:dyDescent="0.25">
      <c r="B9" s="1659"/>
    </row>
    <row r="10" spans="2:7" x14ac:dyDescent="0.25">
      <c r="B10" s="1660"/>
    </row>
    <row r="11" spans="2:7" x14ac:dyDescent="0.25">
      <c r="B11" s="1660"/>
    </row>
    <row r="12" spans="2:7" x14ac:dyDescent="0.25">
      <c r="B12" s="1661"/>
    </row>
    <row r="13" spans="2:7" x14ac:dyDescent="0.25">
      <c r="B13" s="1662"/>
    </row>
    <row r="14" spans="2:7" x14ac:dyDescent="0.25">
      <c r="B14" s="1663"/>
    </row>
    <row r="15" spans="2:7" x14ac:dyDescent="0.25">
      <c r="C15" s="1661" t="s">
        <v>88</v>
      </c>
    </row>
    <row r="16" spans="2:7" x14ac:dyDescent="0.25">
      <c r="B16" s="1661"/>
    </row>
  </sheetData>
  <mergeCells count="1">
    <mergeCell ref="B1:G1"/>
  </mergeCells>
  <pageMargins left="0.55000000000000004" right="0.22" top="0.9055118110236221" bottom="0.74803149606299213" header="0.31496062992125984" footer="0.31496062992125984"/>
  <pageSetup paperSize="9" scale="8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21"/>
  <sheetViews>
    <sheetView topLeftCell="A18" workbookViewId="0">
      <selection activeCell="J20" sqref="J20"/>
    </sheetView>
  </sheetViews>
  <sheetFormatPr baseColWidth="10" defaultRowHeight="13.2" x14ac:dyDescent="0.25"/>
  <cols>
    <col min="1" max="1" width="2.77734375" customWidth="1"/>
    <col min="2" max="2" width="17.21875" customWidth="1"/>
    <col min="4" max="4" width="15.77734375" customWidth="1"/>
    <col min="5" max="6" width="26.21875" customWidth="1"/>
    <col min="7" max="7" width="22.6640625" customWidth="1"/>
  </cols>
  <sheetData>
    <row r="1" spans="2:7" x14ac:dyDescent="0.25">
      <c r="B1" s="1871" t="s">
        <v>1560</v>
      </c>
      <c r="C1" s="1871"/>
      <c r="D1" s="1871"/>
      <c r="E1" s="1871"/>
      <c r="F1" s="1871"/>
      <c r="G1" s="1871"/>
    </row>
    <row r="2" spans="2:7" ht="13.8" thickBot="1" x14ac:dyDescent="0.3"/>
    <row r="3" spans="2:7" ht="34.200000000000003" customHeight="1" thickBot="1" x14ac:dyDescent="0.3">
      <c r="B3" s="1710" t="s">
        <v>1806</v>
      </c>
      <c r="C3" s="1711" t="s">
        <v>1542</v>
      </c>
      <c r="D3" s="1711" t="s">
        <v>1543</v>
      </c>
      <c r="E3" s="1711" t="s">
        <v>1549</v>
      </c>
      <c r="F3" s="1711" t="s">
        <v>1555</v>
      </c>
      <c r="G3" s="1712" t="s">
        <v>1552</v>
      </c>
    </row>
    <row r="4" spans="2:7" ht="51" x14ac:dyDescent="0.25">
      <c r="B4" s="1706">
        <v>87</v>
      </c>
      <c r="C4" s="1707">
        <v>44789</v>
      </c>
      <c r="D4" s="1708" t="s">
        <v>1544</v>
      </c>
      <c r="E4" s="1708" t="s">
        <v>1550</v>
      </c>
      <c r="F4" s="1708" t="s">
        <v>1551</v>
      </c>
      <c r="G4" s="1709" t="s">
        <v>1556</v>
      </c>
    </row>
    <row r="5" spans="2:7" ht="61.2" x14ac:dyDescent="0.25">
      <c r="B5" s="1699">
        <v>88</v>
      </c>
      <c r="C5" s="1701" t="s">
        <v>1545</v>
      </c>
      <c r="D5" s="1701" t="s">
        <v>1544</v>
      </c>
      <c r="E5" s="1701" t="s">
        <v>1553</v>
      </c>
      <c r="F5" s="1701" t="s">
        <v>1554</v>
      </c>
      <c r="G5" s="1703" t="s">
        <v>1558</v>
      </c>
    </row>
    <row r="6" spans="2:7" ht="51" x14ac:dyDescent="0.25">
      <c r="B6" s="1699">
        <v>92</v>
      </c>
      <c r="C6" s="1700">
        <v>44791</v>
      </c>
      <c r="D6" s="1701" t="s">
        <v>25</v>
      </c>
      <c r="E6" s="1701" t="s">
        <v>1546</v>
      </c>
      <c r="F6" s="1701" t="s">
        <v>1723</v>
      </c>
      <c r="G6" s="1703" t="s">
        <v>1725</v>
      </c>
    </row>
    <row r="7" spans="2:7" ht="61.2" x14ac:dyDescent="0.25">
      <c r="B7" s="1699">
        <v>93</v>
      </c>
      <c r="C7" s="1700">
        <v>44793</v>
      </c>
      <c r="D7" s="1701" t="s">
        <v>1544</v>
      </c>
      <c r="E7" s="1701" t="s">
        <v>1547</v>
      </c>
      <c r="F7" s="1701" t="s">
        <v>1557</v>
      </c>
      <c r="G7" s="1703" t="s">
        <v>1482</v>
      </c>
    </row>
    <row r="8" spans="2:7" ht="51" customHeight="1" x14ac:dyDescent="0.25">
      <c r="B8" s="1992">
        <v>94</v>
      </c>
      <c r="C8" s="1993">
        <v>44793</v>
      </c>
      <c r="D8" s="1994" t="s">
        <v>25</v>
      </c>
      <c r="E8" s="1994" t="s">
        <v>1548</v>
      </c>
      <c r="F8" s="1994" t="s">
        <v>1559</v>
      </c>
      <c r="G8" s="1995" t="s">
        <v>1724</v>
      </c>
    </row>
    <row r="9" spans="2:7" ht="66.599999999999994" customHeight="1" x14ac:dyDescent="0.25">
      <c r="B9" s="1992"/>
      <c r="C9" s="1993"/>
      <c r="D9" s="1994"/>
      <c r="E9" s="1994"/>
      <c r="F9" s="1994"/>
      <c r="G9" s="1995"/>
    </row>
    <row r="10" spans="2:7" ht="112.2" x14ac:dyDescent="0.25">
      <c r="B10" s="1704" t="s">
        <v>1482</v>
      </c>
      <c r="C10" s="1700">
        <v>44802</v>
      </c>
      <c r="D10" s="1701" t="s">
        <v>25</v>
      </c>
      <c r="E10" s="1701" t="s">
        <v>1613</v>
      </c>
      <c r="F10" s="1705" t="s">
        <v>1482</v>
      </c>
      <c r="G10" s="1703" t="s">
        <v>1726</v>
      </c>
    </row>
    <row r="11" spans="2:7" ht="91.8" x14ac:dyDescent="0.25">
      <c r="B11" s="1704" t="s">
        <v>1482</v>
      </c>
      <c r="C11" s="1700">
        <v>44817</v>
      </c>
      <c r="D11" s="1701" t="s">
        <v>25</v>
      </c>
      <c r="E11" s="1701" t="s">
        <v>1678</v>
      </c>
      <c r="F11" s="1705" t="s">
        <v>1482</v>
      </c>
      <c r="G11" s="1702" t="s">
        <v>1727</v>
      </c>
    </row>
    <row r="12" spans="2:7" ht="112.2" x14ac:dyDescent="0.25">
      <c r="B12" s="1704" t="s">
        <v>1482</v>
      </c>
      <c r="C12" s="1700">
        <v>44817</v>
      </c>
      <c r="D12" s="1701" t="s">
        <v>25</v>
      </c>
      <c r="E12" s="1701" t="s">
        <v>1684</v>
      </c>
      <c r="F12" s="1705" t="s">
        <v>1482</v>
      </c>
      <c r="G12" s="1702" t="s">
        <v>1728</v>
      </c>
    </row>
    <row r="13" spans="2:7" ht="71.400000000000006" x14ac:dyDescent="0.25">
      <c r="B13" s="1704">
        <v>127</v>
      </c>
      <c r="C13" s="1700">
        <v>44820</v>
      </c>
      <c r="D13" s="1701" t="s">
        <v>1544</v>
      </c>
      <c r="E13" s="1701" t="s">
        <v>1685</v>
      </c>
      <c r="F13" s="1705" t="s">
        <v>1688</v>
      </c>
      <c r="G13" s="1702" t="s">
        <v>1686</v>
      </c>
    </row>
    <row r="14" spans="2:7" ht="91.8" x14ac:dyDescent="0.25">
      <c r="B14" s="1704" t="s">
        <v>1482</v>
      </c>
      <c r="C14" s="1700">
        <v>44817</v>
      </c>
      <c r="D14" s="1701" t="s">
        <v>25</v>
      </c>
      <c r="E14" s="1701" t="s">
        <v>1770</v>
      </c>
      <c r="F14" s="1705" t="s">
        <v>1482</v>
      </c>
      <c r="G14" s="1702" t="s">
        <v>1729</v>
      </c>
    </row>
    <row r="15" spans="2:7" ht="81.599999999999994" x14ac:dyDescent="0.25">
      <c r="B15" s="1704">
        <v>247</v>
      </c>
      <c r="C15" s="1700">
        <v>44897</v>
      </c>
      <c r="D15" s="1701" t="s">
        <v>1771</v>
      </c>
      <c r="E15" s="1701" t="s">
        <v>1772</v>
      </c>
      <c r="F15" s="1705" t="s">
        <v>1773</v>
      </c>
      <c r="G15" s="1702" t="s">
        <v>1774</v>
      </c>
    </row>
    <row r="16" spans="2:7" ht="81.599999999999994" x14ac:dyDescent="0.25">
      <c r="B16" s="1704">
        <v>254</v>
      </c>
      <c r="C16" s="1700">
        <v>44901</v>
      </c>
      <c r="D16" s="1701" t="s">
        <v>1771</v>
      </c>
      <c r="E16" s="1701" t="s">
        <v>1775</v>
      </c>
      <c r="F16" s="1705" t="s">
        <v>1776</v>
      </c>
      <c r="G16" s="1702" t="s">
        <v>1774</v>
      </c>
    </row>
    <row r="17" spans="2:7" ht="132.6" x14ac:dyDescent="0.25">
      <c r="B17" s="1704" t="s">
        <v>1482</v>
      </c>
      <c r="C17" s="1700">
        <v>44916</v>
      </c>
      <c r="D17" s="1701" t="s">
        <v>25</v>
      </c>
      <c r="E17" s="1701" t="s">
        <v>1777</v>
      </c>
      <c r="F17" s="1705" t="s">
        <v>1482</v>
      </c>
      <c r="G17" s="1702" t="s">
        <v>1774</v>
      </c>
    </row>
    <row r="18" spans="2:7" ht="102" x14ac:dyDescent="0.25">
      <c r="B18" s="1704">
        <v>255</v>
      </c>
      <c r="C18" s="1700">
        <v>44901</v>
      </c>
      <c r="D18" s="1701" t="s">
        <v>1771</v>
      </c>
      <c r="E18" s="1777" t="s">
        <v>1778</v>
      </c>
      <c r="F18" s="1705" t="s">
        <v>1779</v>
      </c>
      <c r="G18" s="1702" t="s">
        <v>1774</v>
      </c>
    </row>
    <row r="19" spans="2:7" ht="122.4" x14ac:dyDescent="0.25">
      <c r="B19" s="1704" t="s">
        <v>1482</v>
      </c>
      <c r="C19" s="1700">
        <v>44903</v>
      </c>
      <c r="D19" s="1701" t="s">
        <v>1771</v>
      </c>
      <c r="E19" s="1777" t="s">
        <v>1780</v>
      </c>
      <c r="F19" s="1705" t="s">
        <v>1782</v>
      </c>
      <c r="G19" s="1702" t="s">
        <v>1774</v>
      </c>
    </row>
    <row r="20" spans="2:7" ht="91.8" x14ac:dyDescent="0.25">
      <c r="B20" s="1704" t="s">
        <v>1482</v>
      </c>
      <c r="C20" s="1700">
        <v>44923</v>
      </c>
      <c r="D20" s="1701" t="s">
        <v>1771</v>
      </c>
      <c r="E20" s="1777" t="s">
        <v>1781</v>
      </c>
      <c r="F20" s="1705" t="s">
        <v>1783</v>
      </c>
      <c r="G20" s="1702" t="s">
        <v>1774</v>
      </c>
    </row>
    <row r="21" spans="2:7" ht="13.8" thickBot="1" x14ac:dyDescent="0.3">
      <c r="B21" s="1772"/>
      <c r="C21" s="1773"/>
      <c r="D21" s="1774"/>
      <c r="E21" s="1774"/>
      <c r="F21" s="1775"/>
      <c r="G21" s="1776"/>
    </row>
  </sheetData>
  <mergeCells count="7">
    <mergeCell ref="B1:G1"/>
    <mergeCell ref="B8:B9"/>
    <mergeCell ref="C8:C9"/>
    <mergeCell ref="D8:D9"/>
    <mergeCell ref="G8:G9"/>
    <mergeCell ref="E8:E9"/>
    <mergeCell ref="F8:F9"/>
  </mergeCells>
  <pageMargins left="0.38" right="0.11811023622047245" top="0.9055118110236221" bottom="0.74803149606299213" header="0.31496062992125984" footer="0.31496062992125984"/>
  <pageSetup paperSize="9" scale="8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2"/>
  <sheetViews>
    <sheetView workbookViewId="0">
      <selection activeCell="E16" sqref="E16"/>
    </sheetView>
  </sheetViews>
  <sheetFormatPr baseColWidth="10" defaultRowHeight="13.2" x14ac:dyDescent="0.25"/>
  <cols>
    <col min="1" max="1" width="2.5546875" customWidth="1"/>
    <col min="2" max="2" width="7.5546875" customWidth="1"/>
    <col min="3" max="3" width="29.109375" customWidth="1"/>
    <col min="4" max="4" width="47.33203125" customWidth="1"/>
    <col min="5" max="5" width="39.109375" customWidth="1"/>
  </cols>
  <sheetData>
    <row r="1" spans="1:7" x14ac:dyDescent="0.25">
      <c r="B1" s="1871" t="s">
        <v>1538</v>
      </c>
      <c r="C1" s="1871"/>
      <c r="D1" s="1871"/>
      <c r="E1" s="1871"/>
    </row>
    <row r="2" spans="1:7" ht="13.8" thickBot="1" x14ac:dyDescent="0.3">
      <c r="A2" s="1008"/>
    </row>
    <row r="3" spans="1:7" ht="14.4" x14ac:dyDescent="0.25">
      <c r="B3" s="2004" t="s">
        <v>1392</v>
      </c>
      <c r="C3" s="2004" t="s">
        <v>1212</v>
      </c>
      <c r="D3" s="2002" t="s">
        <v>1492</v>
      </c>
      <c r="E3" s="2004" t="s">
        <v>1527</v>
      </c>
      <c r="F3" s="1603"/>
      <c r="G3" s="1603"/>
    </row>
    <row r="4" spans="1:7" ht="15" thickBot="1" x14ac:dyDescent="0.35">
      <c r="B4" s="2005"/>
      <c r="C4" s="2005"/>
      <c r="D4" s="2003"/>
      <c r="E4" s="2005"/>
      <c r="F4" s="1762"/>
      <c r="G4" s="1603"/>
    </row>
    <row r="5" spans="1:7" ht="14.4" x14ac:dyDescent="0.25">
      <c r="B5" s="1779">
        <v>1</v>
      </c>
      <c r="C5" s="1780" t="s">
        <v>1539</v>
      </c>
      <c r="D5" s="1781" t="s">
        <v>1403</v>
      </c>
      <c r="E5" s="1794"/>
      <c r="F5" s="1603"/>
      <c r="G5" s="1603"/>
    </row>
    <row r="6" spans="1:7" ht="14.4" x14ac:dyDescent="0.25">
      <c r="B6" s="1782">
        <v>2</v>
      </c>
      <c r="C6" s="1783" t="s">
        <v>1493</v>
      </c>
      <c r="D6" s="1784" t="s">
        <v>1494</v>
      </c>
      <c r="E6" s="1795" t="s">
        <v>1495</v>
      </c>
      <c r="F6" s="1603"/>
      <c r="G6" s="1603"/>
    </row>
    <row r="7" spans="1:7" ht="14.4" x14ac:dyDescent="0.25">
      <c r="B7" s="1785">
        <v>3</v>
      </c>
      <c r="C7" s="1783" t="s">
        <v>1496</v>
      </c>
      <c r="D7" s="1784" t="s">
        <v>1497</v>
      </c>
      <c r="E7" s="1795" t="s">
        <v>1498</v>
      </c>
      <c r="F7" s="1603"/>
      <c r="G7" s="1603"/>
    </row>
    <row r="8" spans="1:7" ht="27" x14ac:dyDescent="0.25">
      <c r="B8" s="1785">
        <v>4</v>
      </c>
      <c r="C8" s="1783" t="s">
        <v>1499</v>
      </c>
      <c r="D8" s="1784" t="s">
        <v>1500</v>
      </c>
      <c r="E8" s="1795" t="s">
        <v>1536</v>
      </c>
      <c r="F8" s="1603"/>
      <c r="G8" s="1603"/>
    </row>
    <row r="9" spans="1:7" ht="14.4" x14ac:dyDescent="0.25">
      <c r="B9" s="1996">
        <v>5</v>
      </c>
      <c r="C9" s="1999" t="s">
        <v>1501</v>
      </c>
      <c r="D9" s="1784" t="s">
        <v>1502</v>
      </c>
      <c r="E9" s="2006" t="s">
        <v>1504</v>
      </c>
      <c r="F9" s="1603"/>
      <c r="G9" s="1603"/>
    </row>
    <row r="10" spans="1:7" ht="14.4" x14ac:dyDescent="0.25">
      <c r="B10" s="1996"/>
      <c r="C10" s="1999"/>
      <c r="D10" s="1784" t="s">
        <v>1503</v>
      </c>
      <c r="E10" s="2006"/>
      <c r="F10" s="1603"/>
      <c r="G10" s="1603"/>
    </row>
    <row r="11" spans="1:7" ht="14.4" x14ac:dyDescent="0.25">
      <c r="B11" s="1996"/>
      <c r="C11" s="1999"/>
      <c r="D11" s="1784" t="s">
        <v>1793</v>
      </c>
      <c r="E11" s="2006"/>
      <c r="F11" s="1603"/>
      <c r="G11" s="1603"/>
    </row>
    <row r="12" spans="1:7" ht="14.4" x14ac:dyDescent="0.25">
      <c r="B12" s="1996"/>
      <c r="C12" s="1999"/>
      <c r="D12" s="1784" t="s">
        <v>1794</v>
      </c>
      <c r="E12" s="2006"/>
      <c r="F12" s="1603"/>
      <c r="G12" s="1603"/>
    </row>
    <row r="13" spans="1:7" ht="14.4" x14ac:dyDescent="0.25">
      <c r="B13" s="1996"/>
      <c r="C13" s="1999"/>
      <c r="D13" s="1786" t="s">
        <v>1795</v>
      </c>
      <c r="E13" s="2006"/>
      <c r="F13" s="1603"/>
      <c r="G13" s="1603"/>
    </row>
    <row r="14" spans="1:7" ht="14.4" x14ac:dyDescent="0.25">
      <c r="B14" s="1996">
        <v>6</v>
      </c>
      <c r="C14" s="1999" t="s">
        <v>1505</v>
      </c>
      <c r="D14" s="2001" t="s">
        <v>1461</v>
      </c>
      <c r="E14" s="1795" t="s">
        <v>1528</v>
      </c>
      <c r="F14" s="1603"/>
      <c r="G14" s="1603"/>
    </row>
    <row r="15" spans="1:7" ht="14.4" x14ac:dyDescent="0.25">
      <c r="B15" s="1996"/>
      <c r="C15" s="1999"/>
      <c r="D15" s="2001"/>
      <c r="E15" s="1795" t="s">
        <v>1537</v>
      </c>
      <c r="F15" s="1603"/>
      <c r="G15" s="1603"/>
    </row>
    <row r="16" spans="1:7" ht="14.4" x14ac:dyDescent="0.25">
      <c r="B16" s="1785">
        <v>7</v>
      </c>
      <c r="C16" s="1783" t="s">
        <v>1506</v>
      </c>
      <c r="D16" s="1787" t="s">
        <v>1507</v>
      </c>
      <c r="E16" s="1795" t="s">
        <v>1529</v>
      </c>
      <c r="F16" s="1603"/>
      <c r="G16" s="1603"/>
    </row>
    <row r="17" spans="2:7" ht="14.4" x14ac:dyDescent="0.25">
      <c r="B17" s="1785">
        <v>8</v>
      </c>
      <c r="C17" s="1783" t="s">
        <v>1508</v>
      </c>
      <c r="D17" s="1787" t="s">
        <v>1509</v>
      </c>
      <c r="E17" s="1796" t="s">
        <v>1482</v>
      </c>
      <c r="F17" s="1603"/>
      <c r="G17" s="1603"/>
    </row>
    <row r="18" spans="2:7" ht="14.4" x14ac:dyDescent="0.25">
      <c r="B18" s="1785">
        <v>9</v>
      </c>
      <c r="C18" s="1783" t="s">
        <v>1510</v>
      </c>
      <c r="D18" s="1788">
        <v>17878272.109999999</v>
      </c>
      <c r="E18" s="1796" t="s">
        <v>1530</v>
      </c>
      <c r="F18" s="1603"/>
      <c r="G18" s="1603"/>
    </row>
    <row r="19" spans="2:7" ht="14.4" x14ac:dyDescent="0.25">
      <c r="B19" s="1996">
        <v>10</v>
      </c>
      <c r="C19" s="1999" t="s">
        <v>1531</v>
      </c>
      <c r="D19" s="1998">
        <v>1787827.21</v>
      </c>
      <c r="E19" s="1796" t="s">
        <v>1534</v>
      </c>
      <c r="F19" s="1603"/>
      <c r="G19" s="1603"/>
    </row>
    <row r="20" spans="2:7" ht="14.4" x14ac:dyDescent="0.25">
      <c r="B20" s="1996"/>
      <c r="C20" s="1999"/>
      <c r="D20" s="1998"/>
      <c r="E20" s="1796" t="s">
        <v>1541</v>
      </c>
      <c r="F20" s="1603"/>
      <c r="G20" s="1603"/>
    </row>
    <row r="21" spans="2:7" ht="14.4" x14ac:dyDescent="0.25">
      <c r="B21" s="1996">
        <v>11</v>
      </c>
      <c r="C21" s="1999" t="s">
        <v>1532</v>
      </c>
      <c r="D21" s="1998">
        <v>3575654.42</v>
      </c>
      <c r="E21" s="1796" t="s">
        <v>1533</v>
      </c>
      <c r="F21" s="1603"/>
      <c r="G21" s="1603"/>
    </row>
    <row r="22" spans="2:7" ht="14.4" x14ac:dyDescent="0.25">
      <c r="B22" s="1996"/>
      <c r="C22" s="1999"/>
      <c r="D22" s="1998"/>
      <c r="E22" s="1796" t="s">
        <v>1540</v>
      </c>
      <c r="F22" s="1603"/>
      <c r="G22" s="1603"/>
    </row>
    <row r="23" spans="2:7" ht="14.4" x14ac:dyDescent="0.25">
      <c r="B23" s="1785">
        <v>12</v>
      </c>
      <c r="C23" s="1783" t="s">
        <v>1511</v>
      </c>
      <c r="D23" s="1787" t="s">
        <v>1512</v>
      </c>
      <c r="E23" s="1795" t="s">
        <v>1513</v>
      </c>
      <c r="F23" s="1603"/>
      <c r="G23" s="1603"/>
    </row>
    <row r="24" spans="2:7" ht="14.4" x14ac:dyDescent="0.25">
      <c r="B24" s="1785">
        <v>13</v>
      </c>
      <c r="C24" s="1789" t="s">
        <v>1730</v>
      </c>
      <c r="D24" s="1790" t="s">
        <v>1731</v>
      </c>
      <c r="E24" s="1795" t="s">
        <v>1732</v>
      </c>
      <c r="F24" s="1778"/>
      <c r="G24" s="1603"/>
    </row>
    <row r="25" spans="2:7" ht="14.4" x14ac:dyDescent="0.25">
      <c r="B25" s="1785">
        <v>14</v>
      </c>
      <c r="C25" s="1789" t="s">
        <v>1784</v>
      </c>
      <c r="D25" s="1790" t="s">
        <v>1785</v>
      </c>
      <c r="E25" s="1795" t="s">
        <v>1786</v>
      </c>
      <c r="F25" s="1778"/>
      <c r="G25" s="1603"/>
    </row>
    <row r="26" spans="2:7" ht="14.4" x14ac:dyDescent="0.25">
      <c r="B26" s="1996">
        <v>15</v>
      </c>
      <c r="C26" s="1997" t="s">
        <v>1690</v>
      </c>
      <c r="D26" s="1998">
        <v>730952.79</v>
      </c>
      <c r="E26" s="1795" t="s">
        <v>1691</v>
      </c>
      <c r="F26" s="1603"/>
      <c r="G26" s="1603"/>
    </row>
    <row r="27" spans="2:7" ht="14.4" x14ac:dyDescent="0.25">
      <c r="B27" s="1996"/>
      <c r="C27" s="1997"/>
      <c r="D27" s="1998"/>
      <c r="E27" s="1795" t="s">
        <v>1692</v>
      </c>
      <c r="F27" s="1603"/>
      <c r="G27" s="1603"/>
    </row>
    <row r="28" spans="2:7" ht="14.4" x14ac:dyDescent="0.25">
      <c r="B28" s="1996">
        <v>16</v>
      </c>
      <c r="C28" s="1997" t="s">
        <v>1733</v>
      </c>
      <c r="D28" s="1998">
        <v>770275.93</v>
      </c>
      <c r="E28" s="1795" t="s">
        <v>1691</v>
      </c>
      <c r="F28" s="1603"/>
      <c r="G28" s="1603"/>
    </row>
    <row r="29" spans="2:7" ht="14.4" x14ac:dyDescent="0.25">
      <c r="B29" s="1996"/>
      <c r="C29" s="1997"/>
      <c r="D29" s="1998"/>
      <c r="E29" s="1795" t="s">
        <v>1692</v>
      </c>
      <c r="F29" s="1603"/>
      <c r="G29" s="1603"/>
    </row>
    <row r="30" spans="2:7" ht="14.4" x14ac:dyDescent="0.25">
      <c r="B30" s="1996">
        <v>17</v>
      </c>
      <c r="C30" s="1997" t="s">
        <v>1693</v>
      </c>
      <c r="D30" s="1998">
        <v>17838948.969999999</v>
      </c>
      <c r="E30" s="1795" t="s">
        <v>1691</v>
      </c>
      <c r="F30" s="1603"/>
      <c r="G30" s="1603"/>
    </row>
    <row r="31" spans="2:7" ht="14.4" x14ac:dyDescent="0.25">
      <c r="B31" s="1996"/>
      <c r="C31" s="1997"/>
      <c r="D31" s="1998"/>
      <c r="E31" s="1795" t="s">
        <v>1692</v>
      </c>
      <c r="F31" s="1603"/>
      <c r="G31" s="1603"/>
    </row>
    <row r="32" spans="2:7" ht="14.4" x14ac:dyDescent="0.25">
      <c r="B32" s="1996">
        <v>18</v>
      </c>
      <c r="C32" s="1999" t="s">
        <v>1514</v>
      </c>
      <c r="D32" s="2000" t="s">
        <v>1515</v>
      </c>
      <c r="E32" s="1795" t="s">
        <v>1516</v>
      </c>
      <c r="F32" s="1603"/>
      <c r="G32" s="1603"/>
    </row>
    <row r="33" spans="2:7" ht="14.4" x14ac:dyDescent="0.25">
      <c r="B33" s="1996"/>
      <c r="C33" s="1999"/>
      <c r="D33" s="2000"/>
      <c r="E33" s="1797" t="s">
        <v>1517</v>
      </c>
      <c r="F33" s="1603"/>
      <c r="G33" s="1603"/>
    </row>
    <row r="34" spans="2:7" ht="14.4" x14ac:dyDescent="0.25">
      <c r="B34" s="1996"/>
      <c r="C34" s="1999"/>
      <c r="D34" s="2000" t="s">
        <v>1518</v>
      </c>
      <c r="E34" s="1795" t="s">
        <v>1787</v>
      </c>
      <c r="F34" s="1603"/>
      <c r="G34" s="1603"/>
    </row>
    <row r="35" spans="2:7" ht="14.4" x14ac:dyDescent="0.25">
      <c r="B35" s="1996"/>
      <c r="C35" s="1999"/>
      <c r="D35" s="2000"/>
      <c r="E35" s="1797" t="s">
        <v>1517</v>
      </c>
      <c r="F35" s="1603"/>
      <c r="G35" s="1603"/>
    </row>
    <row r="36" spans="2:7" ht="14.4" x14ac:dyDescent="0.25">
      <c r="B36" s="1996"/>
      <c r="C36" s="1999"/>
      <c r="D36" s="2000" t="s">
        <v>1519</v>
      </c>
      <c r="E36" s="1795" t="s">
        <v>1687</v>
      </c>
      <c r="F36" s="1603"/>
      <c r="G36" s="1603"/>
    </row>
    <row r="37" spans="2:7" ht="14.4" x14ac:dyDescent="0.25">
      <c r="B37" s="1996"/>
      <c r="C37" s="1999"/>
      <c r="D37" s="2000"/>
      <c r="E37" s="1797" t="s">
        <v>1517</v>
      </c>
      <c r="F37" s="1603"/>
      <c r="G37" s="1603"/>
    </row>
    <row r="38" spans="2:7" ht="14.4" x14ac:dyDescent="0.25">
      <c r="B38" s="1785">
        <v>19</v>
      </c>
      <c r="C38" s="1783" t="s">
        <v>1520</v>
      </c>
      <c r="D38" s="1787" t="s">
        <v>1521</v>
      </c>
      <c r="E38" s="1795" t="s">
        <v>1522</v>
      </c>
      <c r="F38" s="1603"/>
      <c r="G38" s="1603"/>
    </row>
    <row r="39" spans="2:7" ht="14.4" x14ac:dyDescent="0.25">
      <c r="B39" s="1785">
        <v>20</v>
      </c>
      <c r="C39" s="1783" t="s">
        <v>1523</v>
      </c>
      <c r="D39" s="1787" t="s">
        <v>1524</v>
      </c>
      <c r="E39" s="1795" t="s">
        <v>1535</v>
      </c>
      <c r="F39" s="1603"/>
      <c r="G39" s="1603"/>
    </row>
    <row r="40" spans="2:7" ht="14.4" x14ac:dyDescent="0.25">
      <c r="B40" s="1785">
        <v>21</v>
      </c>
      <c r="C40" s="1783" t="s">
        <v>1525</v>
      </c>
      <c r="D40" s="1787" t="s">
        <v>1526</v>
      </c>
      <c r="E40" s="1795" t="s">
        <v>1734</v>
      </c>
      <c r="F40" s="1778"/>
      <c r="G40" s="1603"/>
    </row>
    <row r="41" spans="2:7" ht="22.8" x14ac:dyDescent="0.25">
      <c r="B41" s="1785">
        <v>22</v>
      </c>
      <c r="C41" s="1783" t="s">
        <v>1788</v>
      </c>
      <c r="D41" s="1787" t="s">
        <v>1735</v>
      </c>
      <c r="E41" s="1795" t="s">
        <v>1789</v>
      </c>
      <c r="F41" s="1603"/>
      <c r="G41" s="1603"/>
    </row>
    <row r="42" spans="2:7" ht="23.4" thickBot="1" x14ac:dyDescent="0.3">
      <c r="B42" s="1791">
        <v>23</v>
      </c>
      <c r="C42" s="1792" t="s">
        <v>1790</v>
      </c>
      <c r="D42" s="1793" t="s">
        <v>1791</v>
      </c>
      <c r="E42" s="1798" t="s">
        <v>1792</v>
      </c>
      <c r="F42" s="1778"/>
      <c r="G42" s="1603"/>
    </row>
  </sheetData>
  <mergeCells count="31">
    <mergeCell ref="D3:D4"/>
    <mergeCell ref="E3:E4"/>
    <mergeCell ref="B9:B13"/>
    <mergeCell ref="C9:C13"/>
    <mergeCell ref="E9:E13"/>
    <mergeCell ref="B3:B4"/>
    <mergeCell ref="C3:C4"/>
    <mergeCell ref="B28:B29"/>
    <mergeCell ref="C28:C29"/>
    <mergeCell ref="D26:D27"/>
    <mergeCell ref="D28:D29"/>
    <mergeCell ref="B1:E1"/>
    <mergeCell ref="B21:B22"/>
    <mergeCell ref="C21:C22"/>
    <mergeCell ref="D21:D22"/>
    <mergeCell ref="C14:C15"/>
    <mergeCell ref="D14:D15"/>
    <mergeCell ref="D19:D20"/>
    <mergeCell ref="B14:B15"/>
    <mergeCell ref="B19:B20"/>
    <mergeCell ref="C19:C20"/>
    <mergeCell ref="B26:B27"/>
    <mergeCell ref="C26:C27"/>
    <mergeCell ref="B30:B31"/>
    <mergeCell ref="C30:C31"/>
    <mergeCell ref="D30:D31"/>
    <mergeCell ref="B32:B37"/>
    <mergeCell ref="C32:C37"/>
    <mergeCell ref="D32:D33"/>
    <mergeCell ref="D34:D35"/>
    <mergeCell ref="D36:D37"/>
  </mergeCells>
  <pageMargins left="1.2598425196850394" right="0.70866141732283472" top="0.7" bottom="0.32" header="0.31496062992125984" footer="0.31496062992125984"/>
  <pageSetup paperSize="9" scale="85" orientation="landscape"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
    <tabColor rgb="FFFFC000"/>
  </sheetPr>
  <dimension ref="A1:HR62"/>
  <sheetViews>
    <sheetView view="pageBreakPreview" topLeftCell="B22" zoomScaleNormal="85" zoomScaleSheetLayoutView="100" workbookViewId="0">
      <selection activeCell="C19" sqref="C19"/>
    </sheetView>
  </sheetViews>
  <sheetFormatPr baseColWidth="10" defaultColWidth="10.5546875" defaultRowHeight="13.2" x14ac:dyDescent="0.25"/>
  <cols>
    <col min="1" max="1" width="7" style="2" customWidth="1"/>
    <col min="2" max="2" width="37.33203125" style="2" customWidth="1"/>
    <col min="3" max="3" width="18.6640625" style="2" customWidth="1"/>
    <col min="4" max="4" width="16.88671875" style="2" customWidth="1"/>
    <col min="5" max="5" width="18.33203125" style="2" customWidth="1"/>
    <col min="6" max="6" width="5.6640625" style="2" customWidth="1"/>
    <col min="7" max="7" width="11.6640625" style="2" bestFit="1" customWidth="1"/>
    <col min="8" max="8" width="13.44140625" style="2" customWidth="1"/>
    <col min="9" max="16384" width="10.5546875" style="2"/>
  </cols>
  <sheetData>
    <row r="1" spans="1:226" x14ac:dyDescent="0.25">
      <c r="A1" s="32" t="s">
        <v>1465</v>
      </c>
      <c r="B1" s="32"/>
      <c r="C1" s="196" t="str">
        <f>+CARAT_!F47</f>
        <v>ESPECIFICO Nº SP-2022-012</v>
      </c>
      <c r="D1" s="33"/>
      <c r="E1" s="27"/>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c r="AL1" s="27"/>
      <c r="AM1" s="27"/>
      <c r="AN1" s="27"/>
      <c r="AO1" s="27"/>
      <c r="AP1" s="27"/>
      <c r="AQ1" s="27"/>
      <c r="AR1" s="27"/>
      <c r="AS1" s="27"/>
      <c r="AT1" s="27"/>
      <c r="AU1" s="27"/>
      <c r="AV1" s="27"/>
      <c r="AW1" s="27"/>
      <c r="AX1" s="27"/>
      <c r="AY1" s="27"/>
      <c r="AZ1" s="27"/>
      <c r="BA1" s="27"/>
      <c r="BB1" s="27"/>
      <c r="BC1" s="27"/>
      <c r="BD1" s="27"/>
      <c r="BE1" s="27"/>
      <c r="BF1" s="27"/>
      <c r="BG1" s="27"/>
      <c r="BH1" s="27"/>
      <c r="BI1" s="27"/>
      <c r="BJ1" s="27"/>
      <c r="BK1" s="27"/>
      <c r="BL1" s="27"/>
      <c r="BM1" s="27"/>
      <c r="BN1" s="27"/>
      <c r="BO1" s="27"/>
      <c r="BP1" s="27"/>
      <c r="BQ1" s="27"/>
      <c r="BR1" s="27"/>
      <c r="BS1" s="27"/>
      <c r="BT1" s="27"/>
      <c r="BU1" s="27"/>
      <c r="BV1" s="27"/>
      <c r="BW1" s="27"/>
      <c r="BX1" s="27"/>
      <c r="BY1" s="27"/>
      <c r="BZ1" s="27"/>
      <c r="CA1" s="27"/>
      <c r="CB1" s="27"/>
      <c r="CC1" s="27"/>
      <c r="CD1" s="27"/>
      <c r="CE1" s="27"/>
      <c r="CF1" s="27"/>
      <c r="CG1" s="27"/>
      <c r="CH1" s="27"/>
      <c r="CI1" s="27"/>
      <c r="CJ1" s="27"/>
      <c r="CK1" s="27"/>
      <c r="CL1" s="27"/>
      <c r="CM1" s="27"/>
      <c r="CN1" s="27"/>
      <c r="CO1" s="27"/>
      <c r="CP1" s="27"/>
      <c r="CQ1" s="27"/>
      <c r="CR1" s="27"/>
      <c r="CS1" s="27"/>
      <c r="CT1" s="27"/>
      <c r="CU1" s="27"/>
      <c r="CV1" s="27"/>
      <c r="CW1" s="27"/>
      <c r="CX1" s="27"/>
      <c r="CY1" s="27"/>
      <c r="CZ1" s="27"/>
      <c r="DA1" s="27"/>
      <c r="DB1" s="27"/>
      <c r="DC1" s="27"/>
      <c r="DD1" s="27"/>
      <c r="DE1" s="27"/>
      <c r="DF1" s="27"/>
      <c r="DG1" s="27"/>
      <c r="DH1" s="27"/>
      <c r="DI1" s="27"/>
      <c r="DJ1" s="27"/>
      <c r="DK1" s="27"/>
      <c r="DL1" s="27"/>
      <c r="DM1" s="27"/>
      <c r="DN1" s="27"/>
      <c r="DO1" s="27"/>
      <c r="DP1" s="27"/>
      <c r="DQ1" s="27"/>
      <c r="DR1" s="27"/>
      <c r="DS1" s="27"/>
      <c r="DT1" s="27"/>
      <c r="DU1" s="27"/>
      <c r="DV1" s="27"/>
      <c r="DW1" s="27"/>
      <c r="DX1" s="27"/>
      <c r="DY1" s="27"/>
      <c r="DZ1" s="27"/>
      <c r="EA1" s="27"/>
      <c r="EB1" s="27"/>
      <c r="EC1" s="27"/>
      <c r="ED1" s="27"/>
      <c r="EE1" s="27"/>
      <c r="EF1" s="27"/>
      <c r="EG1" s="27"/>
      <c r="EH1" s="27"/>
      <c r="EI1" s="27"/>
      <c r="EJ1" s="27"/>
      <c r="EK1" s="27"/>
      <c r="EL1" s="27"/>
      <c r="EM1" s="27"/>
      <c r="EN1" s="27"/>
      <c r="EO1" s="27"/>
      <c r="EP1" s="27"/>
      <c r="EQ1" s="27"/>
      <c r="ER1" s="27"/>
      <c r="ES1" s="27"/>
      <c r="ET1" s="27"/>
      <c r="EU1" s="27"/>
      <c r="EV1" s="27"/>
      <c r="EW1" s="27"/>
      <c r="EX1" s="27"/>
      <c r="EY1" s="27"/>
      <c r="EZ1" s="27"/>
      <c r="FA1" s="27"/>
      <c r="FB1" s="27"/>
      <c r="FC1" s="27"/>
      <c r="FD1" s="27"/>
      <c r="FE1" s="27"/>
      <c r="FF1" s="27"/>
      <c r="FG1" s="27"/>
      <c r="FH1" s="27"/>
      <c r="FI1" s="27"/>
      <c r="FJ1" s="27"/>
      <c r="FK1" s="27"/>
      <c r="FL1" s="27"/>
      <c r="FM1" s="27"/>
      <c r="FN1" s="27"/>
      <c r="FO1" s="27"/>
      <c r="FP1" s="27"/>
      <c r="FQ1" s="27"/>
      <c r="FR1" s="27"/>
      <c r="FS1" s="27"/>
      <c r="FT1" s="27"/>
      <c r="FU1" s="27"/>
      <c r="FV1" s="27"/>
      <c r="FW1" s="27"/>
      <c r="FX1" s="27"/>
      <c r="FY1" s="27"/>
      <c r="FZ1" s="27"/>
      <c r="GA1" s="27"/>
      <c r="GB1" s="27"/>
      <c r="GC1" s="27"/>
      <c r="GD1" s="27"/>
      <c r="GE1" s="27"/>
      <c r="GF1" s="27"/>
      <c r="GG1" s="27"/>
      <c r="GH1" s="27"/>
      <c r="GI1" s="27"/>
      <c r="GJ1" s="27"/>
      <c r="GK1" s="27"/>
      <c r="GL1" s="27"/>
      <c r="GM1" s="27"/>
      <c r="GN1" s="27"/>
      <c r="GO1" s="27"/>
      <c r="GP1" s="27"/>
      <c r="GQ1" s="27"/>
      <c r="GR1" s="27"/>
      <c r="GS1" s="27"/>
      <c r="GT1" s="27"/>
      <c r="GU1" s="27"/>
      <c r="GV1" s="27"/>
      <c r="GW1" s="27"/>
      <c r="GX1" s="27"/>
      <c r="GY1" s="27"/>
      <c r="GZ1" s="27"/>
      <c r="HA1" s="27"/>
      <c r="HB1" s="27"/>
      <c r="HC1" s="27"/>
      <c r="HD1" s="27"/>
      <c r="HE1" s="27"/>
      <c r="HF1" s="27"/>
      <c r="HG1" s="27"/>
      <c r="HH1" s="27"/>
      <c r="HI1" s="27"/>
      <c r="HJ1" s="27"/>
      <c r="HK1" s="27"/>
      <c r="HL1" s="27"/>
      <c r="HM1" s="27"/>
      <c r="HN1" s="27"/>
      <c r="HO1" s="27"/>
      <c r="HP1" s="27"/>
      <c r="HQ1" s="27"/>
      <c r="HR1" s="27"/>
    </row>
    <row r="2" spans="1:226" ht="12.75" customHeight="1" x14ac:dyDescent="0.25">
      <c r="A2" s="2009" t="s">
        <v>107</v>
      </c>
      <c r="B2" s="2010"/>
      <c r="C2" s="2013" t="str">
        <f>+CARAT_!F48</f>
        <v>“CREACION DEL PUENTE VEHICULAR CCANCHIS SOBRE EL RIO PAMPAS, DISTRITO DE CHUNGUI - PROVINCIA LA MAR - DEPARTAMENTO AYACUCHO”.</v>
      </c>
      <c r="D2" s="2014"/>
      <c r="E2" s="2014"/>
      <c r="F2" s="101"/>
      <c r="G2" s="101"/>
      <c r="H2" s="27"/>
      <c r="I2" s="27"/>
      <c r="J2" s="27"/>
      <c r="K2" s="27"/>
      <c r="L2" s="27"/>
      <c r="M2" s="27"/>
      <c r="N2" s="27"/>
      <c r="O2" s="27"/>
      <c r="P2" s="27"/>
      <c r="Q2" s="27"/>
      <c r="R2" s="27"/>
      <c r="S2" s="27"/>
      <c r="T2" s="27"/>
      <c r="U2" s="27"/>
      <c r="V2" s="27"/>
      <c r="W2" s="27"/>
      <c r="X2" s="27"/>
      <c r="Y2" s="27"/>
      <c r="Z2" s="27"/>
      <c r="AA2" s="27"/>
      <c r="AB2" s="27"/>
      <c r="AC2" s="27"/>
      <c r="AD2" s="27"/>
      <c r="AE2" s="27"/>
      <c r="AF2" s="27"/>
      <c r="AG2" s="27"/>
      <c r="AH2" s="27"/>
      <c r="AI2" s="27"/>
      <c r="AJ2" s="27"/>
      <c r="AK2" s="27"/>
      <c r="AL2" s="27"/>
      <c r="AM2" s="27"/>
      <c r="AN2" s="27"/>
      <c r="AO2" s="27"/>
      <c r="AP2" s="27"/>
      <c r="AQ2" s="27"/>
      <c r="AR2" s="27"/>
      <c r="AS2" s="27"/>
      <c r="AT2" s="27"/>
      <c r="AU2" s="27"/>
      <c r="AV2" s="27"/>
      <c r="AW2" s="27"/>
      <c r="AX2" s="27"/>
      <c r="AY2" s="27"/>
      <c r="AZ2" s="27"/>
      <c r="BA2" s="27"/>
      <c r="BB2" s="27"/>
      <c r="BC2" s="27"/>
      <c r="BD2" s="27"/>
      <c r="BE2" s="27"/>
      <c r="BF2" s="27"/>
      <c r="BG2" s="27"/>
      <c r="BH2" s="27"/>
      <c r="BI2" s="27"/>
      <c r="BJ2" s="27"/>
      <c r="BK2" s="27"/>
      <c r="BL2" s="27"/>
      <c r="BM2" s="27"/>
      <c r="BN2" s="27"/>
      <c r="BO2" s="27"/>
      <c r="BP2" s="27"/>
      <c r="BQ2" s="27"/>
      <c r="BR2" s="27"/>
      <c r="BS2" s="27"/>
      <c r="BT2" s="27"/>
      <c r="BU2" s="27"/>
      <c r="BV2" s="27"/>
      <c r="BW2" s="27"/>
      <c r="BX2" s="27"/>
      <c r="BY2" s="27"/>
      <c r="BZ2" s="27"/>
      <c r="CA2" s="27"/>
      <c r="CB2" s="27"/>
      <c r="CC2" s="27"/>
      <c r="CD2" s="27"/>
      <c r="CE2" s="27"/>
      <c r="CF2" s="27"/>
      <c r="CG2" s="27"/>
      <c r="CH2" s="27"/>
      <c r="CI2" s="27"/>
      <c r="CJ2" s="27"/>
      <c r="CK2" s="27"/>
      <c r="CL2" s="27"/>
      <c r="CM2" s="27"/>
      <c r="CN2" s="27"/>
      <c r="CO2" s="27"/>
      <c r="CP2" s="27"/>
      <c r="CQ2" s="27"/>
      <c r="CR2" s="27"/>
      <c r="CS2" s="27"/>
      <c r="CT2" s="27"/>
      <c r="CU2" s="27"/>
      <c r="CV2" s="27"/>
      <c r="CW2" s="27"/>
      <c r="CX2" s="27"/>
      <c r="CY2" s="27"/>
      <c r="CZ2" s="27"/>
      <c r="DA2" s="27"/>
      <c r="DB2" s="27"/>
      <c r="DC2" s="27"/>
      <c r="DD2" s="27"/>
      <c r="DE2" s="27"/>
      <c r="DF2" s="27"/>
      <c r="DG2" s="27"/>
      <c r="DH2" s="27"/>
      <c r="DI2" s="27"/>
      <c r="DJ2" s="27"/>
      <c r="DK2" s="27"/>
      <c r="DL2" s="27"/>
      <c r="DM2" s="27"/>
      <c r="DN2" s="27"/>
      <c r="DO2" s="27"/>
      <c r="DP2" s="27"/>
      <c r="DQ2" s="27"/>
      <c r="DR2" s="27"/>
      <c r="DS2" s="27"/>
      <c r="DT2" s="27"/>
      <c r="DU2" s="27"/>
      <c r="DV2" s="27"/>
      <c r="DW2" s="27"/>
      <c r="DX2" s="27"/>
      <c r="DY2" s="27"/>
      <c r="DZ2" s="27"/>
      <c r="EA2" s="27"/>
      <c r="EB2" s="27"/>
      <c r="EC2" s="27"/>
      <c r="ED2" s="27"/>
      <c r="EE2" s="27"/>
      <c r="EF2" s="27"/>
      <c r="EG2" s="27"/>
      <c r="EH2" s="27"/>
      <c r="EI2" s="27"/>
      <c r="EJ2" s="27"/>
      <c r="EK2" s="27"/>
      <c r="EL2" s="27"/>
      <c r="EM2" s="27"/>
      <c r="EN2" s="27"/>
      <c r="EO2" s="27"/>
      <c r="EP2" s="27"/>
      <c r="EQ2" s="27"/>
      <c r="ER2" s="27"/>
      <c r="ES2" s="27"/>
      <c r="ET2" s="27"/>
      <c r="EU2" s="27"/>
      <c r="EV2" s="27"/>
      <c r="EW2" s="27"/>
      <c r="EX2" s="27"/>
      <c r="EY2" s="27"/>
      <c r="EZ2" s="27"/>
      <c r="FA2" s="27"/>
      <c r="FB2" s="27"/>
      <c r="FC2" s="27"/>
      <c r="FD2" s="27"/>
      <c r="FE2" s="27"/>
      <c r="FF2" s="27"/>
      <c r="FG2" s="27"/>
      <c r="FH2" s="27"/>
      <c r="FI2" s="27"/>
      <c r="FJ2" s="27"/>
      <c r="FK2" s="27"/>
      <c r="FL2" s="27"/>
      <c r="FM2" s="27"/>
      <c r="FN2" s="27"/>
      <c r="FO2" s="27"/>
      <c r="FP2" s="27"/>
      <c r="FQ2" s="27"/>
      <c r="FR2" s="27"/>
      <c r="FS2" s="27"/>
      <c r="FT2" s="27"/>
      <c r="FU2" s="27"/>
      <c r="FV2" s="27"/>
      <c r="FW2" s="27"/>
      <c r="FX2" s="27"/>
      <c r="FY2" s="27"/>
      <c r="FZ2" s="27"/>
      <c r="GA2" s="27"/>
      <c r="GB2" s="27"/>
      <c r="GC2" s="27"/>
      <c r="GD2" s="27"/>
      <c r="GE2" s="27"/>
      <c r="GF2" s="27"/>
      <c r="GG2" s="27"/>
      <c r="GH2" s="27"/>
      <c r="GI2" s="27"/>
      <c r="GJ2" s="27"/>
      <c r="GK2" s="27"/>
      <c r="GL2" s="27"/>
      <c r="GM2" s="27"/>
      <c r="GN2" s="27"/>
      <c r="GO2" s="27"/>
      <c r="GP2" s="27"/>
      <c r="GQ2" s="27"/>
      <c r="GR2" s="27"/>
      <c r="GS2" s="27"/>
      <c r="GT2" s="27"/>
      <c r="GU2" s="27"/>
      <c r="GV2" s="27"/>
      <c r="GW2" s="27"/>
      <c r="GX2" s="27"/>
      <c r="GY2" s="27"/>
      <c r="GZ2" s="27"/>
      <c r="HA2" s="27"/>
      <c r="HB2" s="27"/>
      <c r="HC2" s="27"/>
      <c r="HD2" s="27"/>
      <c r="HE2" s="27"/>
      <c r="HF2" s="27"/>
      <c r="HG2" s="27"/>
      <c r="HH2" s="27"/>
      <c r="HI2" s="27"/>
      <c r="HJ2" s="27"/>
      <c r="HK2" s="27"/>
      <c r="HL2" s="27"/>
      <c r="HM2" s="27"/>
      <c r="HN2" s="27"/>
      <c r="HO2" s="27"/>
      <c r="HP2" s="27"/>
      <c r="HQ2" s="27"/>
      <c r="HR2" s="27"/>
    </row>
    <row r="3" spans="1:226" ht="12.75" customHeight="1" x14ac:dyDescent="0.25">
      <c r="A3" s="2011"/>
      <c r="B3" s="2012"/>
      <c r="C3" s="2013"/>
      <c r="D3" s="2014"/>
      <c r="E3" s="2014"/>
      <c r="F3" s="101"/>
      <c r="G3" s="101"/>
      <c r="H3" s="27"/>
      <c r="I3" s="27"/>
      <c r="J3" s="27"/>
      <c r="K3" s="27"/>
      <c r="L3" s="27"/>
      <c r="M3" s="27"/>
      <c r="N3" s="27"/>
      <c r="O3" s="27"/>
      <c r="P3" s="27"/>
      <c r="Q3" s="27"/>
      <c r="R3" s="27"/>
      <c r="S3" s="27"/>
      <c r="T3" s="27"/>
      <c r="U3" s="27"/>
      <c r="V3" s="27"/>
      <c r="W3" s="27"/>
      <c r="X3" s="27"/>
      <c r="Y3" s="27"/>
      <c r="Z3" s="27"/>
      <c r="AA3" s="27"/>
      <c r="AB3" s="27"/>
      <c r="AC3" s="27"/>
      <c r="AD3" s="27"/>
      <c r="AE3" s="27"/>
      <c r="AF3" s="27"/>
      <c r="AG3" s="27"/>
      <c r="AH3" s="27"/>
      <c r="AI3" s="27"/>
      <c r="AJ3" s="27"/>
      <c r="AK3" s="27"/>
      <c r="AL3" s="27"/>
      <c r="AM3" s="27"/>
      <c r="AN3" s="27"/>
      <c r="AO3" s="27"/>
      <c r="AP3" s="27"/>
      <c r="AQ3" s="27"/>
      <c r="AR3" s="27"/>
      <c r="AS3" s="27"/>
      <c r="AT3" s="27"/>
      <c r="AU3" s="27"/>
      <c r="AV3" s="27"/>
      <c r="AW3" s="27"/>
      <c r="AX3" s="27"/>
      <c r="AY3" s="27"/>
      <c r="AZ3" s="27"/>
      <c r="BA3" s="27"/>
      <c r="BB3" s="27"/>
      <c r="BC3" s="27"/>
      <c r="BD3" s="27"/>
      <c r="BE3" s="27"/>
      <c r="BF3" s="27"/>
      <c r="BG3" s="27"/>
      <c r="BH3" s="27"/>
      <c r="BI3" s="27"/>
      <c r="BJ3" s="27"/>
      <c r="BK3" s="27"/>
      <c r="BL3" s="27"/>
      <c r="BM3" s="27"/>
      <c r="BN3" s="27"/>
      <c r="BO3" s="27"/>
      <c r="BP3" s="27"/>
      <c r="BQ3" s="27"/>
      <c r="BR3" s="27"/>
      <c r="BS3" s="27"/>
      <c r="BT3" s="27"/>
      <c r="BU3" s="27"/>
      <c r="BV3" s="27"/>
      <c r="BW3" s="27"/>
      <c r="BX3" s="27"/>
      <c r="BY3" s="27"/>
      <c r="BZ3" s="27"/>
      <c r="CA3" s="27"/>
      <c r="CB3" s="27"/>
      <c r="CC3" s="27"/>
      <c r="CD3" s="27"/>
      <c r="CE3" s="27"/>
      <c r="CF3" s="27"/>
      <c r="CG3" s="27"/>
      <c r="CH3" s="27"/>
      <c r="CI3" s="27"/>
      <c r="CJ3" s="27"/>
      <c r="CK3" s="27"/>
      <c r="CL3" s="27"/>
      <c r="CM3" s="27"/>
      <c r="CN3" s="27"/>
      <c r="CO3" s="27"/>
      <c r="CP3" s="27"/>
      <c r="CQ3" s="27"/>
      <c r="CR3" s="27"/>
      <c r="CS3" s="27"/>
      <c r="CT3" s="27"/>
      <c r="CU3" s="27"/>
      <c r="CV3" s="27"/>
      <c r="CW3" s="27"/>
      <c r="CX3" s="27"/>
      <c r="CY3" s="27"/>
      <c r="CZ3" s="27"/>
      <c r="DA3" s="27"/>
      <c r="DB3" s="27"/>
      <c r="DC3" s="27"/>
      <c r="DD3" s="27"/>
      <c r="DE3" s="27"/>
      <c r="DF3" s="27"/>
      <c r="DG3" s="27"/>
      <c r="DH3" s="27"/>
      <c r="DI3" s="27"/>
      <c r="DJ3" s="27"/>
      <c r="DK3" s="27"/>
      <c r="DL3" s="27"/>
      <c r="DM3" s="27"/>
      <c r="DN3" s="27"/>
      <c r="DO3" s="27"/>
      <c r="DP3" s="27"/>
      <c r="DQ3" s="27"/>
      <c r="DR3" s="27"/>
      <c r="DS3" s="27"/>
      <c r="DT3" s="27"/>
      <c r="DU3" s="27"/>
      <c r="DV3" s="27"/>
      <c r="DW3" s="27"/>
      <c r="DX3" s="27"/>
      <c r="DY3" s="27"/>
      <c r="DZ3" s="27"/>
      <c r="EA3" s="27"/>
      <c r="EB3" s="27"/>
      <c r="EC3" s="27"/>
      <c r="ED3" s="27"/>
      <c r="EE3" s="27"/>
      <c r="EF3" s="27"/>
      <c r="EG3" s="27"/>
      <c r="EH3" s="27"/>
      <c r="EI3" s="27"/>
      <c r="EJ3" s="27"/>
      <c r="EK3" s="27"/>
      <c r="EL3" s="27"/>
      <c r="EM3" s="27"/>
      <c r="EN3" s="27"/>
      <c r="EO3" s="27"/>
      <c r="EP3" s="27"/>
      <c r="EQ3" s="27"/>
      <c r="ER3" s="27"/>
      <c r="ES3" s="27"/>
      <c r="ET3" s="27"/>
      <c r="EU3" s="27"/>
      <c r="EV3" s="27"/>
      <c r="EW3" s="27"/>
      <c r="EX3" s="27"/>
      <c r="EY3" s="27"/>
      <c r="EZ3" s="27"/>
      <c r="FA3" s="27"/>
      <c r="FB3" s="27"/>
      <c r="FC3" s="27"/>
      <c r="FD3" s="27"/>
      <c r="FE3" s="27"/>
      <c r="FF3" s="27"/>
      <c r="FG3" s="27"/>
      <c r="FH3" s="27"/>
      <c r="FI3" s="27"/>
      <c r="FJ3" s="27"/>
      <c r="FK3" s="27"/>
      <c r="FL3" s="27"/>
      <c r="FM3" s="27"/>
      <c r="FN3" s="27"/>
      <c r="FO3" s="27"/>
      <c r="FP3" s="27"/>
      <c r="FQ3" s="27"/>
      <c r="FR3" s="27"/>
      <c r="FS3" s="27"/>
      <c r="FT3" s="27"/>
      <c r="FU3" s="27"/>
      <c r="FV3" s="27"/>
      <c r="FW3" s="27"/>
      <c r="FX3" s="27"/>
      <c r="FY3" s="27"/>
      <c r="FZ3" s="27"/>
      <c r="GA3" s="27"/>
      <c r="GB3" s="27"/>
      <c r="GC3" s="27"/>
      <c r="GD3" s="27"/>
      <c r="GE3" s="27"/>
      <c r="GF3" s="27"/>
      <c r="GG3" s="27"/>
      <c r="GH3" s="27"/>
      <c r="GI3" s="27"/>
      <c r="GJ3" s="27"/>
      <c r="GK3" s="27"/>
      <c r="GL3" s="27"/>
      <c r="GM3" s="27"/>
      <c r="GN3" s="27"/>
      <c r="GO3" s="27"/>
      <c r="GP3" s="27"/>
      <c r="GQ3" s="27"/>
      <c r="GR3" s="27"/>
      <c r="GS3" s="27"/>
      <c r="GT3" s="27"/>
      <c r="GU3" s="27"/>
      <c r="GV3" s="27"/>
      <c r="GW3" s="27"/>
      <c r="GX3" s="27"/>
      <c r="GY3" s="27"/>
      <c r="GZ3" s="27"/>
      <c r="HA3" s="27"/>
      <c r="HB3" s="27"/>
      <c r="HC3" s="27"/>
      <c r="HD3" s="27"/>
      <c r="HE3" s="27"/>
      <c r="HF3" s="27"/>
      <c r="HG3" s="27"/>
      <c r="HH3" s="27"/>
      <c r="HI3" s="27"/>
      <c r="HJ3" s="27"/>
      <c r="HK3" s="27"/>
      <c r="HL3" s="27"/>
      <c r="HM3" s="27"/>
      <c r="HN3" s="27"/>
      <c r="HO3" s="27"/>
      <c r="HP3" s="27"/>
      <c r="HQ3" s="27"/>
      <c r="HR3" s="27"/>
    </row>
    <row r="4" spans="1:226" ht="12.75" customHeight="1" x14ac:dyDescent="0.25">
      <c r="A4" s="2011"/>
      <c r="B4" s="2012"/>
      <c r="C4" s="2013"/>
      <c r="D4" s="2014"/>
      <c r="E4" s="2014"/>
      <c r="F4" s="101"/>
      <c r="G4" s="101"/>
      <c r="H4" s="27"/>
      <c r="I4" s="27"/>
      <c r="J4" s="27"/>
      <c r="K4" s="27"/>
      <c r="L4" s="27"/>
      <c r="M4" s="27"/>
      <c r="N4" s="27"/>
      <c r="O4" s="27"/>
      <c r="P4" s="27"/>
      <c r="Q4" s="27"/>
      <c r="R4" s="27"/>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c r="AW4" s="27"/>
      <c r="AX4" s="27"/>
      <c r="AY4" s="27"/>
      <c r="AZ4" s="27"/>
      <c r="BA4" s="27"/>
      <c r="BB4" s="27"/>
      <c r="BC4" s="27"/>
      <c r="BD4" s="27"/>
      <c r="BE4" s="27"/>
      <c r="BF4" s="27"/>
      <c r="BG4" s="27"/>
      <c r="BH4" s="27"/>
      <c r="BI4" s="27"/>
      <c r="BJ4" s="27"/>
      <c r="BK4" s="27"/>
      <c r="BL4" s="27"/>
      <c r="BM4" s="27"/>
      <c r="BN4" s="27"/>
      <c r="BO4" s="27"/>
      <c r="BP4" s="27"/>
      <c r="BQ4" s="27"/>
      <c r="BR4" s="27"/>
      <c r="BS4" s="27"/>
      <c r="BT4" s="27"/>
      <c r="BU4" s="27"/>
      <c r="BV4" s="27"/>
      <c r="BW4" s="27"/>
      <c r="BX4" s="27"/>
      <c r="BY4" s="27"/>
      <c r="BZ4" s="27"/>
      <c r="CA4" s="27"/>
      <c r="CB4" s="27"/>
      <c r="CC4" s="27"/>
      <c r="CD4" s="27"/>
      <c r="CE4" s="27"/>
      <c r="CF4" s="27"/>
      <c r="CG4" s="27"/>
      <c r="CH4" s="27"/>
      <c r="CI4" s="27"/>
      <c r="CJ4" s="27"/>
      <c r="CK4" s="27"/>
      <c r="CL4" s="27"/>
      <c r="CM4" s="27"/>
      <c r="CN4" s="27"/>
      <c r="CO4" s="27"/>
      <c r="CP4" s="27"/>
      <c r="CQ4" s="27"/>
      <c r="CR4" s="27"/>
      <c r="CS4" s="27"/>
      <c r="CT4" s="27"/>
      <c r="CU4" s="27"/>
      <c r="CV4" s="27"/>
      <c r="CW4" s="27"/>
      <c r="CX4" s="27"/>
      <c r="CY4" s="27"/>
      <c r="CZ4" s="27"/>
      <c r="DA4" s="27"/>
      <c r="DB4" s="27"/>
      <c r="DC4" s="27"/>
      <c r="DD4" s="27"/>
      <c r="DE4" s="27"/>
      <c r="DF4" s="27"/>
      <c r="DG4" s="27"/>
      <c r="DH4" s="27"/>
      <c r="DI4" s="27"/>
      <c r="DJ4" s="27"/>
      <c r="DK4" s="27"/>
      <c r="DL4" s="27"/>
      <c r="DM4" s="27"/>
      <c r="DN4" s="27"/>
      <c r="DO4" s="27"/>
      <c r="DP4" s="27"/>
      <c r="DQ4" s="27"/>
      <c r="DR4" s="27"/>
      <c r="DS4" s="27"/>
      <c r="DT4" s="27"/>
      <c r="DU4" s="27"/>
      <c r="DV4" s="27"/>
      <c r="DW4" s="27"/>
      <c r="DX4" s="27"/>
      <c r="DY4" s="27"/>
      <c r="DZ4" s="27"/>
      <c r="EA4" s="27"/>
      <c r="EB4" s="27"/>
      <c r="EC4" s="27"/>
      <c r="ED4" s="27"/>
      <c r="EE4" s="27"/>
      <c r="EF4" s="27"/>
      <c r="EG4" s="27"/>
      <c r="EH4" s="27"/>
      <c r="EI4" s="27"/>
      <c r="EJ4" s="27"/>
      <c r="EK4" s="27"/>
      <c r="EL4" s="27"/>
      <c r="EM4" s="27"/>
      <c r="EN4" s="27"/>
      <c r="EO4" s="27"/>
      <c r="EP4" s="27"/>
      <c r="EQ4" s="27"/>
      <c r="ER4" s="27"/>
      <c r="ES4" s="27"/>
      <c r="ET4" s="27"/>
      <c r="EU4" s="27"/>
      <c r="EV4" s="27"/>
      <c r="EW4" s="27"/>
      <c r="EX4" s="27"/>
      <c r="EY4" s="27"/>
      <c r="EZ4" s="27"/>
      <c r="FA4" s="27"/>
      <c r="FB4" s="27"/>
      <c r="FC4" s="27"/>
      <c r="FD4" s="27"/>
      <c r="FE4" s="27"/>
      <c r="FF4" s="27"/>
      <c r="FG4" s="27"/>
      <c r="FH4" s="27"/>
      <c r="FI4" s="27"/>
      <c r="FJ4" s="27"/>
      <c r="FK4" s="27"/>
      <c r="FL4" s="27"/>
      <c r="FM4" s="27"/>
      <c r="FN4" s="27"/>
      <c r="FO4" s="27"/>
      <c r="FP4" s="27"/>
      <c r="FQ4" s="27"/>
      <c r="FR4" s="27"/>
      <c r="FS4" s="27"/>
      <c r="FT4" s="27"/>
      <c r="FU4" s="27"/>
      <c r="FV4" s="27"/>
      <c r="FW4" s="27"/>
      <c r="FX4" s="27"/>
      <c r="FY4" s="27"/>
      <c r="FZ4" s="27"/>
      <c r="GA4" s="27"/>
      <c r="GB4" s="27"/>
      <c r="GC4" s="27"/>
      <c r="GD4" s="27"/>
      <c r="GE4" s="27"/>
      <c r="GF4" s="27"/>
      <c r="GG4" s="27"/>
      <c r="GH4" s="27"/>
      <c r="GI4" s="27"/>
      <c r="GJ4" s="27"/>
      <c r="GK4" s="27"/>
      <c r="GL4" s="27"/>
      <c r="GM4" s="27"/>
      <c r="GN4" s="27"/>
      <c r="GO4" s="27"/>
      <c r="GP4" s="27"/>
      <c r="GQ4" s="27"/>
      <c r="GR4" s="27"/>
      <c r="GS4" s="27"/>
      <c r="GT4" s="27"/>
      <c r="GU4" s="27"/>
      <c r="GV4" s="27"/>
      <c r="GW4" s="27"/>
      <c r="GX4" s="27"/>
      <c r="GY4" s="27"/>
      <c r="GZ4" s="27"/>
      <c r="HA4" s="27"/>
      <c r="HB4" s="27"/>
      <c r="HC4" s="27"/>
      <c r="HD4" s="27"/>
      <c r="HE4" s="27"/>
      <c r="HF4" s="27"/>
      <c r="HG4" s="27"/>
      <c r="HH4" s="27"/>
      <c r="HI4" s="27"/>
      <c r="HJ4" s="27"/>
      <c r="HK4" s="27"/>
      <c r="HL4" s="27"/>
      <c r="HM4" s="27"/>
      <c r="HN4" s="27"/>
      <c r="HO4" s="27"/>
      <c r="HP4" s="27"/>
      <c r="HQ4" s="27"/>
      <c r="HR4" s="27"/>
    </row>
    <row r="5" spans="1:226" ht="12.75" customHeight="1" x14ac:dyDescent="0.25">
      <c r="A5" s="2011"/>
      <c r="B5" s="2012"/>
      <c r="C5" s="2013"/>
      <c r="D5" s="2014"/>
      <c r="E5" s="2014"/>
      <c r="F5" s="101"/>
      <c r="G5" s="101"/>
      <c r="H5" s="27"/>
      <c r="I5" s="27"/>
      <c r="J5" s="27"/>
      <c r="K5" s="27"/>
      <c r="L5" s="27"/>
      <c r="M5" s="27"/>
      <c r="N5" s="27"/>
      <c r="O5" s="27"/>
      <c r="P5" s="27"/>
      <c r="Q5" s="27"/>
      <c r="R5" s="27"/>
      <c r="S5" s="27"/>
      <c r="T5" s="27"/>
      <c r="U5" s="27"/>
      <c r="V5" s="27"/>
      <c r="W5" s="27"/>
      <c r="X5" s="27"/>
      <c r="Y5" s="27"/>
      <c r="Z5" s="27"/>
      <c r="AA5" s="27"/>
      <c r="AB5" s="27"/>
      <c r="AC5" s="27"/>
      <c r="AD5" s="27"/>
      <c r="AE5" s="27"/>
      <c r="AF5" s="27"/>
      <c r="AG5" s="27"/>
      <c r="AH5" s="27"/>
      <c r="AI5" s="27"/>
      <c r="AJ5" s="27"/>
      <c r="AK5" s="27"/>
      <c r="AL5" s="27"/>
      <c r="AM5" s="27"/>
      <c r="AN5" s="27"/>
      <c r="AO5" s="27"/>
      <c r="AP5" s="27"/>
      <c r="AQ5" s="27"/>
      <c r="AR5" s="27"/>
      <c r="AS5" s="27"/>
      <c r="AT5" s="27"/>
      <c r="AU5" s="27"/>
      <c r="AV5" s="27"/>
      <c r="AW5" s="27"/>
      <c r="AX5" s="27"/>
      <c r="AY5" s="27"/>
      <c r="AZ5" s="27"/>
      <c r="BA5" s="27"/>
      <c r="BB5" s="27"/>
      <c r="BC5" s="27"/>
      <c r="BD5" s="27"/>
      <c r="BE5" s="27"/>
      <c r="BF5" s="27"/>
      <c r="BG5" s="27"/>
      <c r="BH5" s="27"/>
      <c r="BI5" s="27"/>
      <c r="BJ5" s="27"/>
      <c r="BK5" s="27"/>
      <c r="BL5" s="27"/>
      <c r="BM5" s="27"/>
      <c r="BN5" s="27"/>
      <c r="BO5" s="27"/>
      <c r="BP5" s="27"/>
      <c r="BQ5" s="27"/>
      <c r="BR5" s="27"/>
      <c r="BS5" s="27"/>
      <c r="BT5" s="27"/>
      <c r="BU5" s="27"/>
      <c r="BV5" s="27"/>
      <c r="BW5" s="27"/>
      <c r="BX5" s="27"/>
      <c r="BY5" s="27"/>
      <c r="BZ5" s="27"/>
      <c r="CA5" s="27"/>
      <c r="CB5" s="27"/>
      <c r="CC5" s="27"/>
      <c r="CD5" s="27"/>
      <c r="CE5" s="27"/>
      <c r="CF5" s="27"/>
      <c r="CG5" s="27"/>
      <c r="CH5" s="27"/>
      <c r="CI5" s="27"/>
      <c r="CJ5" s="27"/>
      <c r="CK5" s="27"/>
      <c r="CL5" s="27"/>
      <c r="CM5" s="27"/>
      <c r="CN5" s="27"/>
      <c r="CO5" s="27"/>
      <c r="CP5" s="27"/>
      <c r="CQ5" s="27"/>
      <c r="CR5" s="27"/>
      <c r="CS5" s="27"/>
      <c r="CT5" s="27"/>
      <c r="CU5" s="27"/>
      <c r="CV5" s="27"/>
      <c r="CW5" s="27"/>
      <c r="CX5" s="27"/>
      <c r="CY5" s="27"/>
      <c r="CZ5" s="27"/>
      <c r="DA5" s="27"/>
      <c r="DB5" s="27"/>
      <c r="DC5" s="27"/>
      <c r="DD5" s="27"/>
      <c r="DE5" s="27"/>
      <c r="DF5" s="27"/>
      <c r="DG5" s="27"/>
      <c r="DH5" s="27"/>
      <c r="DI5" s="27"/>
      <c r="DJ5" s="27"/>
      <c r="DK5" s="27"/>
      <c r="DL5" s="27"/>
      <c r="DM5" s="27"/>
      <c r="DN5" s="27"/>
      <c r="DO5" s="27"/>
      <c r="DP5" s="27"/>
      <c r="DQ5" s="27"/>
      <c r="DR5" s="27"/>
      <c r="DS5" s="27"/>
      <c r="DT5" s="27"/>
      <c r="DU5" s="27"/>
      <c r="DV5" s="27"/>
      <c r="DW5" s="27"/>
      <c r="DX5" s="27"/>
      <c r="DY5" s="27"/>
      <c r="DZ5" s="27"/>
      <c r="EA5" s="27"/>
      <c r="EB5" s="27"/>
      <c r="EC5" s="27"/>
      <c r="ED5" s="27"/>
      <c r="EE5" s="27"/>
      <c r="EF5" s="27"/>
      <c r="EG5" s="27"/>
      <c r="EH5" s="27"/>
      <c r="EI5" s="27"/>
      <c r="EJ5" s="27"/>
      <c r="EK5" s="27"/>
      <c r="EL5" s="27"/>
      <c r="EM5" s="27"/>
      <c r="EN5" s="27"/>
      <c r="EO5" s="27"/>
      <c r="EP5" s="27"/>
      <c r="EQ5" s="27"/>
      <c r="ER5" s="27"/>
      <c r="ES5" s="27"/>
      <c r="ET5" s="27"/>
      <c r="EU5" s="27"/>
      <c r="EV5" s="27"/>
      <c r="EW5" s="27"/>
      <c r="EX5" s="27"/>
      <c r="EY5" s="27"/>
      <c r="EZ5" s="27"/>
      <c r="FA5" s="27"/>
      <c r="FB5" s="27"/>
      <c r="FC5" s="27"/>
      <c r="FD5" s="27"/>
      <c r="FE5" s="27"/>
      <c r="FF5" s="27"/>
      <c r="FG5" s="27"/>
      <c r="FH5" s="27"/>
      <c r="FI5" s="27"/>
      <c r="FJ5" s="27"/>
      <c r="FK5" s="27"/>
      <c r="FL5" s="27"/>
      <c r="FM5" s="27"/>
      <c r="FN5" s="27"/>
      <c r="FO5" s="27"/>
      <c r="FP5" s="27"/>
      <c r="FQ5" s="27"/>
      <c r="FR5" s="27"/>
      <c r="FS5" s="27"/>
      <c r="FT5" s="27"/>
      <c r="FU5" s="27"/>
      <c r="FV5" s="27"/>
      <c r="FW5" s="27"/>
      <c r="FX5" s="27"/>
      <c r="FY5" s="27"/>
      <c r="FZ5" s="27"/>
      <c r="GA5" s="27"/>
      <c r="GB5" s="27"/>
      <c r="GC5" s="27"/>
      <c r="GD5" s="27"/>
      <c r="GE5" s="27"/>
      <c r="GF5" s="27"/>
      <c r="GG5" s="27"/>
      <c r="GH5" s="27"/>
      <c r="GI5" s="27"/>
      <c r="GJ5" s="27"/>
      <c r="GK5" s="27"/>
      <c r="GL5" s="27"/>
      <c r="GM5" s="27"/>
      <c r="GN5" s="27"/>
      <c r="GO5" s="27"/>
      <c r="GP5" s="27"/>
      <c r="GQ5" s="27"/>
      <c r="GR5" s="27"/>
      <c r="GS5" s="27"/>
      <c r="GT5" s="27"/>
      <c r="GU5" s="27"/>
      <c r="GV5" s="27"/>
      <c r="GW5" s="27"/>
      <c r="GX5" s="27"/>
      <c r="GY5" s="27"/>
      <c r="GZ5" s="27"/>
      <c r="HA5" s="27"/>
      <c r="HB5" s="27"/>
      <c r="HC5" s="27"/>
      <c r="HD5" s="27"/>
      <c r="HE5" s="27"/>
      <c r="HF5" s="27"/>
      <c r="HG5" s="27"/>
      <c r="HH5" s="27"/>
      <c r="HI5" s="27"/>
      <c r="HJ5" s="27"/>
      <c r="HK5" s="27"/>
      <c r="HL5" s="27"/>
      <c r="HM5" s="27"/>
      <c r="HN5" s="27"/>
      <c r="HO5" s="27"/>
      <c r="HP5" s="27"/>
      <c r="HQ5" s="27"/>
      <c r="HR5" s="27"/>
    </row>
    <row r="6" spans="1:226" x14ac:dyDescent="0.25">
      <c r="A6" s="32" t="s">
        <v>108</v>
      </c>
      <c r="B6" s="32"/>
      <c r="C6" s="38" t="s">
        <v>1208</v>
      </c>
      <c r="D6" s="33"/>
      <c r="E6" s="27"/>
      <c r="F6" s="27"/>
      <c r="G6" s="27"/>
      <c r="H6" s="27"/>
      <c r="I6" s="27"/>
      <c r="J6" s="27"/>
      <c r="K6" s="27"/>
      <c r="L6" s="27"/>
      <c r="M6" s="27"/>
      <c r="N6" s="27"/>
      <c r="O6" s="27"/>
      <c r="P6" s="27"/>
      <c r="Q6" s="27"/>
      <c r="R6" s="27"/>
      <c r="S6" s="27"/>
      <c r="T6" s="27"/>
      <c r="U6" s="27"/>
      <c r="V6" s="27"/>
      <c r="W6" s="27"/>
      <c r="X6" s="27"/>
      <c r="Y6" s="27"/>
      <c r="Z6" s="27"/>
      <c r="AA6" s="27"/>
      <c r="AB6" s="27"/>
      <c r="AC6" s="27"/>
      <c r="AD6" s="27"/>
      <c r="AE6" s="27"/>
      <c r="AF6" s="27"/>
      <c r="AG6" s="27"/>
      <c r="AH6" s="27"/>
      <c r="AI6" s="27"/>
      <c r="AJ6" s="27"/>
      <c r="AK6" s="27"/>
      <c r="AL6" s="27"/>
      <c r="AM6" s="27"/>
      <c r="AN6" s="27"/>
      <c r="AO6" s="27"/>
      <c r="AP6" s="27"/>
      <c r="AQ6" s="27"/>
      <c r="AR6" s="27"/>
      <c r="AS6" s="27"/>
      <c r="AT6" s="27"/>
      <c r="AU6" s="27"/>
      <c r="AV6" s="27"/>
      <c r="AW6" s="27"/>
      <c r="AX6" s="27"/>
      <c r="AY6" s="27"/>
      <c r="AZ6" s="27"/>
      <c r="BA6" s="27"/>
      <c r="BB6" s="27"/>
      <c r="BC6" s="27"/>
      <c r="BD6" s="27"/>
      <c r="BE6" s="27"/>
      <c r="BF6" s="27"/>
      <c r="BG6" s="27"/>
      <c r="BH6" s="27"/>
      <c r="BI6" s="27"/>
      <c r="BJ6" s="27"/>
      <c r="BK6" s="27"/>
      <c r="BL6" s="27"/>
      <c r="BM6" s="27"/>
      <c r="BN6" s="27"/>
      <c r="BO6" s="27"/>
      <c r="BP6" s="27"/>
      <c r="BQ6" s="27"/>
      <c r="BR6" s="27"/>
      <c r="BS6" s="27"/>
      <c r="BT6" s="27"/>
      <c r="BU6" s="27"/>
      <c r="BV6" s="27"/>
      <c r="BW6" s="27"/>
      <c r="BX6" s="27"/>
      <c r="BY6" s="27"/>
      <c r="BZ6" s="27"/>
      <c r="CA6" s="27"/>
      <c r="CB6" s="27"/>
      <c r="CC6" s="27"/>
      <c r="CD6" s="27"/>
      <c r="CE6" s="27"/>
      <c r="CF6" s="27"/>
      <c r="CG6" s="27"/>
      <c r="CH6" s="27"/>
      <c r="CI6" s="27"/>
      <c r="CJ6" s="27"/>
      <c r="CK6" s="27"/>
      <c r="CL6" s="27"/>
      <c r="CM6" s="27"/>
      <c r="CN6" s="27"/>
      <c r="CO6" s="27"/>
      <c r="CP6" s="27"/>
      <c r="CQ6" s="27"/>
      <c r="CR6" s="27"/>
      <c r="CS6" s="27"/>
      <c r="CT6" s="27"/>
      <c r="CU6" s="27"/>
      <c r="CV6" s="27"/>
      <c r="CW6" s="27"/>
      <c r="CX6" s="27"/>
      <c r="CY6" s="27"/>
      <c r="CZ6" s="27"/>
      <c r="DA6" s="27"/>
      <c r="DB6" s="27"/>
      <c r="DC6" s="27"/>
      <c r="DD6" s="27"/>
      <c r="DE6" s="27"/>
      <c r="DF6" s="27"/>
      <c r="DG6" s="27"/>
      <c r="DH6" s="27"/>
      <c r="DI6" s="27"/>
      <c r="DJ6" s="27"/>
      <c r="DK6" s="27"/>
      <c r="DL6" s="27"/>
      <c r="DM6" s="27"/>
      <c r="DN6" s="27"/>
      <c r="DO6" s="27"/>
      <c r="DP6" s="27"/>
      <c r="DQ6" s="27"/>
      <c r="DR6" s="27"/>
      <c r="DS6" s="27"/>
      <c r="DT6" s="27"/>
      <c r="DU6" s="27"/>
      <c r="DV6" s="27"/>
      <c r="DW6" s="27"/>
      <c r="DX6" s="27"/>
      <c r="DY6" s="27"/>
      <c r="DZ6" s="27"/>
      <c r="EA6" s="27"/>
      <c r="EB6" s="27"/>
      <c r="EC6" s="27"/>
      <c r="ED6" s="27"/>
      <c r="EE6" s="27"/>
      <c r="EF6" s="27"/>
      <c r="EG6" s="27"/>
      <c r="EH6" s="27"/>
      <c r="EI6" s="27"/>
      <c r="EJ6" s="27"/>
      <c r="EK6" s="27"/>
      <c r="EL6" s="27"/>
      <c r="EM6" s="27"/>
      <c r="EN6" s="27"/>
      <c r="EO6" s="27"/>
      <c r="EP6" s="27"/>
      <c r="EQ6" s="27"/>
      <c r="ER6" s="27"/>
      <c r="ES6" s="27"/>
      <c r="ET6" s="27"/>
      <c r="EU6" s="27"/>
      <c r="EV6" s="27"/>
      <c r="EW6" s="27"/>
      <c r="EX6" s="27"/>
      <c r="EY6" s="27"/>
      <c r="EZ6" s="27"/>
      <c r="FA6" s="27"/>
      <c r="FB6" s="27"/>
      <c r="FC6" s="27"/>
      <c r="FD6" s="27"/>
      <c r="FE6" s="27"/>
      <c r="FF6" s="27"/>
      <c r="FG6" s="27"/>
      <c r="FH6" s="27"/>
      <c r="FI6" s="27"/>
      <c r="FJ6" s="27"/>
      <c r="FK6" s="27"/>
      <c r="FL6" s="27"/>
      <c r="FM6" s="27"/>
      <c r="FN6" s="27"/>
      <c r="FO6" s="27"/>
      <c r="FP6" s="27"/>
      <c r="FQ6" s="27"/>
      <c r="FR6" s="27"/>
      <c r="FS6" s="27"/>
      <c r="FT6" s="27"/>
      <c r="FU6" s="27"/>
      <c r="FV6" s="27"/>
      <c r="FW6" s="27"/>
      <c r="FX6" s="27"/>
      <c r="FY6" s="27"/>
      <c r="FZ6" s="27"/>
      <c r="GA6" s="27"/>
      <c r="GB6" s="27"/>
      <c r="GC6" s="27"/>
      <c r="GD6" s="27"/>
      <c r="GE6" s="27"/>
      <c r="GF6" s="27"/>
      <c r="GG6" s="27"/>
      <c r="GH6" s="27"/>
      <c r="GI6" s="27"/>
      <c r="GJ6" s="27"/>
      <c r="GK6" s="27"/>
      <c r="GL6" s="27"/>
      <c r="GM6" s="27"/>
      <c r="GN6" s="27"/>
      <c r="GO6" s="27"/>
      <c r="GP6" s="27"/>
      <c r="GQ6" s="27"/>
      <c r="GR6" s="27"/>
      <c r="GS6" s="27"/>
      <c r="GT6" s="27"/>
      <c r="GU6" s="27"/>
      <c r="GV6" s="27"/>
      <c r="GW6" s="27"/>
      <c r="GX6" s="27"/>
      <c r="GY6" s="27"/>
      <c r="GZ6" s="27"/>
      <c r="HA6" s="27"/>
      <c r="HB6" s="27"/>
      <c r="HC6" s="27"/>
      <c r="HD6" s="27"/>
      <c r="HE6" s="27"/>
      <c r="HF6" s="27"/>
      <c r="HG6" s="27"/>
      <c r="HH6" s="27"/>
      <c r="HI6" s="27"/>
      <c r="HJ6" s="27"/>
      <c r="HK6" s="27"/>
      <c r="HL6" s="27"/>
      <c r="HM6" s="27"/>
      <c r="HN6" s="27"/>
      <c r="HO6" s="27"/>
      <c r="HP6" s="27"/>
      <c r="HQ6" s="27"/>
      <c r="HR6" s="27"/>
    </row>
    <row r="7" spans="1:226" x14ac:dyDescent="0.25">
      <c r="A7" s="32" t="s">
        <v>1462</v>
      </c>
      <c r="B7" s="32"/>
      <c r="C7" s="38" t="str">
        <f>+CARAT_!F52</f>
        <v>SIMA PERU S.A.</v>
      </c>
      <c r="D7" s="33"/>
      <c r="E7" s="27"/>
      <c r="F7" s="27"/>
      <c r="G7" s="27"/>
      <c r="H7" s="27"/>
      <c r="I7" s="27"/>
      <c r="J7" s="27"/>
      <c r="K7" s="27"/>
      <c r="L7" s="27"/>
      <c r="M7" s="27"/>
      <c r="N7" s="27"/>
      <c r="O7" s="27"/>
      <c r="P7" s="27"/>
      <c r="Q7" s="27"/>
      <c r="R7" s="27"/>
      <c r="S7" s="27"/>
      <c r="T7" s="27"/>
      <c r="U7" s="27"/>
      <c r="V7" s="27"/>
      <c r="W7" s="27"/>
      <c r="X7" s="27"/>
      <c r="Y7" s="27"/>
      <c r="Z7" s="27"/>
      <c r="AA7" s="27"/>
      <c r="AB7" s="27"/>
      <c r="AC7" s="27"/>
      <c r="AD7" s="27"/>
      <c r="AE7" s="27"/>
      <c r="AF7" s="27"/>
      <c r="AG7" s="27"/>
      <c r="AH7" s="27"/>
      <c r="AI7" s="27"/>
      <c r="AJ7" s="27"/>
      <c r="AK7" s="27"/>
      <c r="AL7" s="27"/>
      <c r="AM7" s="27"/>
      <c r="AN7" s="27"/>
      <c r="AO7" s="27"/>
      <c r="AP7" s="27"/>
      <c r="AQ7" s="27"/>
      <c r="AR7" s="27"/>
      <c r="AS7" s="27"/>
      <c r="AT7" s="27"/>
      <c r="AU7" s="27"/>
      <c r="AV7" s="27"/>
      <c r="AW7" s="27"/>
      <c r="AX7" s="27"/>
      <c r="AY7" s="27"/>
      <c r="AZ7" s="27"/>
      <c r="BA7" s="27"/>
      <c r="BB7" s="27"/>
      <c r="BC7" s="27"/>
      <c r="BD7" s="27"/>
      <c r="BE7" s="27"/>
      <c r="BF7" s="27"/>
      <c r="BG7" s="27"/>
      <c r="BH7" s="27"/>
      <c r="BI7" s="27"/>
      <c r="BJ7" s="27"/>
      <c r="BK7" s="27"/>
      <c r="BL7" s="27"/>
      <c r="BM7" s="27"/>
      <c r="BN7" s="27"/>
      <c r="BO7" s="27"/>
      <c r="BP7" s="27"/>
      <c r="BQ7" s="27"/>
      <c r="BR7" s="27"/>
      <c r="BS7" s="27"/>
      <c r="BT7" s="27"/>
      <c r="BU7" s="27"/>
      <c r="BV7" s="27"/>
      <c r="BW7" s="27"/>
      <c r="BX7" s="27"/>
      <c r="BY7" s="27"/>
      <c r="BZ7" s="27"/>
      <c r="CA7" s="27"/>
      <c r="CB7" s="27"/>
      <c r="CC7" s="27"/>
      <c r="CD7" s="27"/>
      <c r="CE7" s="27"/>
      <c r="CF7" s="27"/>
      <c r="CG7" s="27"/>
      <c r="CH7" s="27"/>
      <c r="CI7" s="27"/>
      <c r="CJ7" s="27"/>
      <c r="CK7" s="27"/>
      <c r="CL7" s="27"/>
      <c r="CM7" s="27"/>
      <c r="CN7" s="27"/>
      <c r="CO7" s="27"/>
      <c r="CP7" s="27"/>
      <c r="CQ7" s="27"/>
      <c r="CR7" s="27"/>
      <c r="CS7" s="27"/>
      <c r="CT7" s="27"/>
      <c r="CU7" s="27"/>
      <c r="CV7" s="27"/>
      <c r="CW7" s="27"/>
      <c r="CX7" s="27"/>
      <c r="CY7" s="27"/>
      <c r="CZ7" s="27"/>
      <c r="DA7" s="27"/>
      <c r="DB7" s="27"/>
      <c r="DC7" s="27"/>
      <c r="DD7" s="27"/>
      <c r="DE7" s="27"/>
      <c r="DF7" s="27"/>
      <c r="DG7" s="27"/>
      <c r="DH7" s="27"/>
      <c r="DI7" s="27"/>
      <c r="DJ7" s="27"/>
      <c r="DK7" s="27"/>
      <c r="DL7" s="27"/>
      <c r="DM7" s="27"/>
      <c r="DN7" s="27"/>
      <c r="DO7" s="27"/>
      <c r="DP7" s="27"/>
      <c r="DQ7" s="27"/>
      <c r="DR7" s="27"/>
      <c r="DS7" s="27"/>
      <c r="DT7" s="27"/>
      <c r="DU7" s="27"/>
      <c r="DV7" s="27"/>
      <c r="DW7" s="27"/>
      <c r="DX7" s="27"/>
      <c r="DY7" s="27"/>
      <c r="DZ7" s="27"/>
      <c r="EA7" s="27"/>
      <c r="EB7" s="27"/>
      <c r="EC7" s="27"/>
      <c r="ED7" s="27"/>
      <c r="EE7" s="27"/>
      <c r="EF7" s="27"/>
      <c r="EG7" s="27"/>
      <c r="EH7" s="27"/>
      <c r="EI7" s="27"/>
      <c r="EJ7" s="27"/>
      <c r="EK7" s="27"/>
      <c r="EL7" s="27"/>
      <c r="EM7" s="27"/>
      <c r="EN7" s="27"/>
      <c r="EO7" s="27"/>
      <c r="EP7" s="27"/>
      <c r="EQ7" s="27"/>
      <c r="ER7" s="27"/>
      <c r="ES7" s="27"/>
      <c r="ET7" s="27"/>
      <c r="EU7" s="27"/>
      <c r="EV7" s="27"/>
      <c r="EW7" s="27"/>
      <c r="EX7" s="27"/>
      <c r="EY7" s="27"/>
      <c r="EZ7" s="27"/>
      <c r="FA7" s="27"/>
      <c r="FB7" s="27"/>
      <c r="FC7" s="27"/>
      <c r="FD7" s="27"/>
      <c r="FE7" s="27"/>
      <c r="FF7" s="27"/>
      <c r="FG7" s="27"/>
      <c r="FH7" s="27"/>
      <c r="FI7" s="27"/>
      <c r="FJ7" s="27"/>
      <c r="FK7" s="27"/>
      <c r="FL7" s="27"/>
      <c r="FM7" s="27"/>
      <c r="FN7" s="27"/>
      <c r="FO7" s="27"/>
      <c r="FP7" s="27"/>
      <c r="FQ7" s="27"/>
      <c r="FR7" s="27"/>
      <c r="FS7" s="27"/>
      <c r="FT7" s="27"/>
      <c r="FU7" s="27"/>
      <c r="FV7" s="27"/>
      <c r="FW7" s="27"/>
      <c r="FX7" s="27"/>
      <c r="FY7" s="27"/>
      <c r="FZ7" s="27"/>
      <c r="GA7" s="27"/>
      <c r="GB7" s="27"/>
      <c r="GC7" s="27"/>
      <c r="GD7" s="27"/>
      <c r="GE7" s="27"/>
      <c r="GF7" s="27"/>
      <c r="GG7" s="27"/>
      <c r="GH7" s="27"/>
      <c r="GI7" s="27"/>
      <c r="GJ7" s="27"/>
      <c r="GK7" s="27"/>
      <c r="GL7" s="27"/>
      <c r="GM7" s="27"/>
      <c r="GN7" s="27"/>
      <c r="GO7" s="27"/>
      <c r="GP7" s="27"/>
      <c r="GQ7" s="27"/>
      <c r="GR7" s="27"/>
      <c r="GS7" s="27"/>
      <c r="GT7" s="27"/>
      <c r="GU7" s="27"/>
      <c r="GV7" s="27"/>
      <c r="GW7" s="27"/>
      <c r="GX7" s="27"/>
      <c r="GY7" s="27"/>
      <c r="GZ7" s="27"/>
      <c r="HA7" s="27"/>
      <c r="HB7" s="27"/>
      <c r="HC7" s="27"/>
      <c r="HD7" s="27"/>
      <c r="HE7" s="27"/>
      <c r="HF7" s="27"/>
      <c r="HG7" s="27"/>
      <c r="HH7" s="27"/>
      <c r="HI7" s="27"/>
      <c r="HJ7" s="27"/>
      <c r="HK7" s="27"/>
      <c r="HL7" s="27"/>
      <c r="HM7" s="27"/>
      <c r="HN7" s="27"/>
      <c r="HO7" s="27"/>
      <c r="HP7" s="27"/>
      <c r="HQ7" s="27"/>
      <c r="HR7" s="27"/>
    </row>
    <row r="8" spans="1:226" x14ac:dyDescent="0.25">
      <c r="A8" s="32" t="s">
        <v>1463</v>
      </c>
      <c r="B8" s="32"/>
      <c r="C8" s="103">
        <v>17878272.109999999</v>
      </c>
      <c r="D8" s="35" t="s">
        <v>109</v>
      </c>
      <c r="E8" s="35"/>
      <c r="F8" s="35"/>
      <c r="G8" s="27"/>
      <c r="H8" s="33"/>
      <c r="I8" s="27"/>
      <c r="J8" s="27"/>
      <c r="K8" s="27"/>
      <c r="L8" s="27"/>
      <c r="M8" s="27"/>
      <c r="N8" s="27"/>
      <c r="O8" s="27"/>
      <c r="P8" s="27"/>
      <c r="Q8" s="27"/>
      <c r="R8" s="27"/>
      <c r="S8" s="27"/>
      <c r="T8" s="27"/>
      <c r="U8" s="27"/>
      <c r="V8" s="27"/>
      <c r="W8" s="27"/>
      <c r="X8" s="27"/>
      <c r="Y8" s="27"/>
      <c r="Z8" s="27"/>
      <c r="AA8" s="27"/>
      <c r="AB8" s="27"/>
      <c r="AC8" s="27"/>
      <c r="AD8" s="27"/>
      <c r="AE8" s="27"/>
      <c r="AF8" s="27"/>
      <c r="AG8" s="27"/>
      <c r="AH8" s="27"/>
      <c r="AI8" s="27"/>
      <c r="AJ8" s="27"/>
      <c r="AK8" s="27"/>
      <c r="AL8" s="27"/>
      <c r="AM8" s="27"/>
      <c r="AN8" s="27"/>
      <c r="AO8" s="27"/>
      <c r="AP8" s="27"/>
      <c r="AQ8" s="27"/>
      <c r="AR8" s="27"/>
      <c r="AS8" s="27"/>
      <c r="AT8" s="27"/>
      <c r="AU8" s="27"/>
      <c r="AV8" s="27"/>
      <c r="AW8" s="27"/>
      <c r="AX8" s="27"/>
      <c r="AY8" s="27"/>
      <c r="AZ8" s="27"/>
      <c r="BA8" s="27"/>
      <c r="BB8" s="27"/>
      <c r="BC8" s="27"/>
      <c r="BD8" s="27"/>
      <c r="BE8" s="27"/>
      <c r="BF8" s="27"/>
      <c r="BG8" s="27"/>
      <c r="BH8" s="27"/>
      <c r="BI8" s="27"/>
      <c r="BJ8" s="27"/>
      <c r="BK8" s="27"/>
      <c r="BL8" s="27"/>
      <c r="BM8" s="27"/>
      <c r="BN8" s="27"/>
      <c r="BO8" s="27"/>
      <c r="BP8" s="27"/>
      <c r="BQ8" s="27"/>
      <c r="BR8" s="27"/>
      <c r="BS8" s="27"/>
      <c r="BT8" s="27"/>
      <c r="BU8" s="27"/>
      <c r="BV8" s="27"/>
      <c r="BW8" s="27"/>
      <c r="BX8" s="27"/>
      <c r="BY8" s="27"/>
      <c r="BZ8" s="27"/>
      <c r="CA8" s="27"/>
      <c r="CB8" s="27"/>
      <c r="CC8" s="27"/>
      <c r="CD8" s="27"/>
      <c r="CE8" s="27"/>
      <c r="CF8" s="27"/>
      <c r="CG8" s="27"/>
      <c r="CH8" s="27"/>
      <c r="CI8" s="27"/>
      <c r="CJ8" s="27"/>
      <c r="CK8" s="27"/>
      <c r="CL8" s="27"/>
      <c r="CM8" s="27"/>
      <c r="CN8" s="27"/>
      <c r="CO8" s="27"/>
      <c r="CP8" s="27"/>
      <c r="CQ8" s="27"/>
      <c r="CR8" s="27"/>
      <c r="CS8" s="27"/>
      <c r="CT8" s="27"/>
      <c r="CU8" s="27"/>
      <c r="CV8" s="27"/>
      <c r="CW8" s="27"/>
      <c r="CX8" s="27"/>
      <c r="CY8" s="27"/>
      <c r="CZ8" s="27"/>
      <c r="DA8" s="27"/>
      <c r="DB8" s="27"/>
      <c r="DC8" s="27"/>
      <c r="DD8" s="27"/>
      <c r="DE8" s="27"/>
      <c r="DF8" s="27"/>
      <c r="DG8" s="27"/>
      <c r="DH8" s="27"/>
      <c r="DI8" s="27"/>
      <c r="DJ8" s="27"/>
      <c r="DK8" s="27"/>
      <c r="DL8" s="27"/>
      <c r="DM8" s="27"/>
      <c r="DN8" s="27"/>
      <c r="DO8" s="27"/>
      <c r="DP8" s="27"/>
      <c r="DQ8" s="27"/>
      <c r="DR8" s="27"/>
      <c r="DS8" s="27"/>
      <c r="DT8" s="27"/>
      <c r="DU8" s="27"/>
      <c r="DV8" s="27"/>
      <c r="DW8" s="27"/>
      <c r="DX8" s="27"/>
      <c r="DY8" s="27"/>
      <c r="DZ8" s="27"/>
      <c r="EA8" s="27"/>
      <c r="EB8" s="27"/>
      <c r="EC8" s="27"/>
      <c r="ED8" s="27"/>
      <c r="EE8" s="27"/>
      <c r="EF8" s="27"/>
      <c r="EG8" s="27"/>
      <c r="EH8" s="27"/>
      <c r="EI8" s="27"/>
      <c r="EJ8" s="27"/>
      <c r="EK8" s="27"/>
      <c r="EL8" s="27"/>
      <c r="EM8" s="27"/>
      <c r="EN8" s="27"/>
      <c r="EO8" s="27"/>
      <c r="EP8" s="27"/>
      <c r="EQ8" s="27"/>
      <c r="ER8" s="27"/>
      <c r="ES8" s="27"/>
      <c r="ET8" s="27"/>
      <c r="EU8" s="27"/>
      <c r="EV8" s="27"/>
      <c r="EW8" s="27"/>
      <c r="EX8" s="27"/>
      <c r="EY8" s="27"/>
      <c r="EZ8" s="27"/>
      <c r="FA8" s="27"/>
      <c r="FB8" s="27"/>
      <c r="FC8" s="27"/>
      <c r="FD8" s="27"/>
      <c r="FE8" s="27"/>
      <c r="FF8" s="27"/>
      <c r="FG8" s="27"/>
      <c r="FH8" s="27"/>
      <c r="FI8" s="27"/>
      <c r="FJ8" s="27"/>
      <c r="FK8" s="27"/>
      <c r="FL8" s="27"/>
      <c r="FM8" s="27"/>
      <c r="FN8" s="27"/>
      <c r="FO8" s="27"/>
      <c r="FP8" s="27"/>
      <c r="FQ8" s="27"/>
      <c r="FR8" s="27"/>
      <c r="FS8" s="27"/>
      <c r="FT8" s="27"/>
      <c r="FU8" s="27"/>
      <c r="FV8" s="27"/>
      <c r="FW8" s="27"/>
      <c r="FX8" s="27"/>
      <c r="FY8" s="27"/>
      <c r="FZ8" s="27"/>
      <c r="GA8" s="27"/>
      <c r="GB8" s="27"/>
      <c r="GC8" s="27"/>
      <c r="GD8" s="27"/>
      <c r="GE8" s="27"/>
      <c r="GF8" s="27"/>
      <c r="GG8" s="27"/>
      <c r="GH8" s="27"/>
      <c r="GI8" s="27"/>
      <c r="GJ8" s="27"/>
      <c r="GK8" s="27"/>
      <c r="GL8" s="27"/>
      <c r="GM8" s="27"/>
      <c r="GN8" s="27"/>
      <c r="GO8" s="27"/>
      <c r="GP8" s="27"/>
      <c r="GQ8" s="27"/>
      <c r="GR8" s="27"/>
      <c r="GS8" s="27"/>
      <c r="GT8" s="27"/>
      <c r="GU8" s="27"/>
      <c r="GV8" s="27"/>
      <c r="GW8" s="27"/>
      <c r="GX8" s="27"/>
      <c r="GY8" s="27"/>
      <c r="GZ8" s="27"/>
      <c r="HA8" s="27"/>
      <c r="HB8" s="27"/>
      <c r="HC8" s="27"/>
      <c r="HD8" s="27"/>
      <c r="HE8" s="27"/>
      <c r="HF8" s="27"/>
      <c r="HG8" s="27"/>
      <c r="HH8" s="27"/>
      <c r="HI8" s="27"/>
      <c r="HJ8" s="27"/>
      <c r="HK8" s="27"/>
      <c r="HL8" s="27"/>
      <c r="HM8" s="27"/>
      <c r="HN8" s="27"/>
      <c r="HO8" s="27"/>
      <c r="HP8" s="27"/>
      <c r="HQ8" s="27"/>
      <c r="HR8" s="27"/>
    </row>
    <row r="9" spans="1:226" x14ac:dyDescent="0.25">
      <c r="A9" s="32" t="s">
        <v>1464</v>
      </c>
      <c r="B9" s="32"/>
      <c r="C9" s="103">
        <f>+C8</f>
        <v>17878272.109999999</v>
      </c>
      <c r="D9" s="35" t="s">
        <v>109</v>
      </c>
      <c r="E9" s="841"/>
      <c r="F9" s="35"/>
      <c r="G9" s="27"/>
      <c r="H9" s="140"/>
      <c r="I9" s="376"/>
      <c r="J9" s="27"/>
      <c r="K9" s="27"/>
      <c r="L9" s="27"/>
      <c r="M9" s="27"/>
      <c r="N9" s="27"/>
      <c r="O9" s="27"/>
      <c r="P9" s="27"/>
      <c r="Q9" s="27"/>
      <c r="R9" s="27"/>
      <c r="S9" s="27"/>
      <c r="T9" s="27"/>
      <c r="U9" s="27"/>
      <c r="V9" s="27"/>
      <c r="W9" s="27"/>
      <c r="X9" s="27"/>
      <c r="Y9" s="27"/>
      <c r="Z9" s="27"/>
      <c r="AA9" s="27"/>
      <c r="AB9" s="27"/>
      <c r="AC9" s="27"/>
      <c r="AD9" s="27"/>
      <c r="AE9" s="27"/>
      <c r="AF9" s="27"/>
      <c r="AG9" s="27"/>
      <c r="AH9" s="27"/>
      <c r="AI9" s="27"/>
      <c r="AJ9" s="27"/>
      <c r="AK9" s="27"/>
      <c r="AL9" s="27"/>
      <c r="AM9" s="27"/>
      <c r="AN9" s="27"/>
      <c r="AO9" s="27"/>
      <c r="AP9" s="27"/>
      <c r="AQ9" s="27"/>
      <c r="AR9" s="27"/>
      <c r="AS9" s="27"/>
      <c r="AT9" s="27"/>
      <c r="AU9" s="27"/>
      <c r="AV9" s="27"/>
      <c r="AW9" s="27"/>
      <c r="AX9" s="27"/>
      <c r="AY9" s="27"/>
      <c r="AZ9" s="27"/>
      <c r="BA9" s="27"/>
      <c r="BB9" s="27"/>
      <c r="BC9" s="27"/>
      <c r="BD9" s="27"/>
      <c r="BE9" s="27"/>
      <c r="BF9" s="27"/>
      <c r="BG9" s="27"/>
      <c r="BH9" s="27"/>
      <c r="BI9" s="27"/>
      <c r="BJ9" s="27"/>
      <c r="BK9" s="27"/>
      <c r="BL9" s="27"/>
      <c r="BM9" s="27"/>
      <c r="BN9" s="27"/>
      <c r="BO9" s="27"/>
      <c r="BP9" s="27"/>
      <c r="BQ9" s="27"/>
      <c r="BR9" s="27"/>
      <c r="BS9" s="27"/>
      <c r="BT9" s="27"/>
      <c r="BU9" s="27"/>
      <c r="BV9" s="27"/>
      <c r="BW9" s="27"/>
      <c r="BX9" s="27"/>
      <c r="BY9" s="27"/>
      <c r="BZ9" s="27"/>
      <c r="CA9" s="27"/>
      <c r="CB9" s="27"/>
      <c r="CC9" s="27"/>
      <c r="CD9" s="27"/>
      <c r="CE9" s="27"/>
      <c r="CF9" s="27"/>
      <c r="CG9" s="27"/>
      <c r="CH9" s="27"/>
      <c r="CI9" s="27"/>
      <c r="CJ9" s="27"/>
      <c r="CK9" s="27"/>
      <c r="CL9" s="27"/>
      <c r="CM9" s="27"/>
      <c r="CN9" s="27"/>
      <c r="CO9" s="27"/>
      <c r="CP9" s="27"/>
      <c r="CQ9" s="27"/>
      <c r="CR9" s="27"/>
      <c r="CS9" s="27"/>
      <c r="CT9" s="27"/>
      <c r="CU9" s="27"/>
      <c r="CV9" s="27"/>
      <c r="CW9" s="27"/>
      <c r="CX9" s="27"/>
      <c r="CY9" s="27"/>
      <c r="CZ9" s="27"/>
      <c r="DA9" s="27"/>
      <c r="DB9" s="27"/>
      <c r="DC9" s="27"/>
      <c r="DD9" s="27"/>
      <c r="DE9" s="27"/>
      <c r="DF9" s="27"/>
      <c r="DG9" s="27"/>
      <c r="DH9" s="27"/>
      <c r="DI9" s="27"/>
      <c r="DJ9" s="27"/>
      <c r="DK9" s="27"/>
      <c r="DL9" s="27"/>
      <c r="DM9" s="27"/>
      <c r="DN9" s="27"/>
      <c r="DO9" s="27"/>
      <c r="DP9" s="27"/>
      <c r="DQ9" s="27"/>
      <c r="DR9" s="27"/>
      <c r="DS9" s="27"/>
      <c r="DT9" s="27"/>
      <c r="DU9" s="27"/>
      <c r="DV9" s="27"/>
      <c r="DW9" s="27"/>
      <c r="DX9" s="27"/>
      <c r="DY9" s="27"/>
      <c r="DZ9" s="27"/>
      <c r="EA9" s="27"/>
      <c r="EB9" s="27"/>
      <c r="EC9" s="27"/>
      <c r="ED9" s="27"/>
      <c r="EE9" s="27"/>
      <c r="EF9" s="27"/>
      <c r="EG9" s="27"/>
      <c r="EH9" s="27"/>
      <c r="EI9" s="27"/>
      <c r="EJ9" s="27"/>
      <c r="EK9" s="27"/>
      <c r="EL9" s="27"/>
      <c r="EM9" s="27"/>
      <c r="EN9" s="27"/>
      <c r="EO9" s="27"/>
      <c r="EP9" s="27"/>
      <c r="EQ9" s="27"/>
      <c r="ER9" s="27"/>
      <c r="ES9" s="27"/>
      <c r="ET9" s="27"/>
      <c r="EU9" s="27"/>
      <c r="EV9" s="27"/>
      <c r="EW9" s="27"/>
      <c r="EX9" s="27"/>
      <c r="EY9" s="27"/>
      <c r="EZ9" s="27"/>
      <c r="FA9" s="27"/>
      <c r="FB9" s="27"/>
      <c r="FC9" s="27"/>
      <c r="FD9" s="27"/>
      <c r="FE9" s="27"/>
      <c r="FF9" s="27"/>
      <c r="FG9" s="27"/>
      <c r="FH9" s="27"/>
      <c r="FI9" s="27"/>
      <c r="FJ9" s="27"/>
      <c r="FK9" s="27"/>
      <c r="FL9" s="27"/>
      <c r="FM9" s="27"/>
      <c r="FN9" s="27"/>
      <c r="FO9" s="27"/>
      <c r="FP9" s="27"/>
      <c r="FQ9" s="27"/>
      <c r="FR9" s="27"/>
      <c r="FS9" s="27"/>
      <c r="FT9" s="27"/>
      <c r="FU9" s="27"/>
      <c r="FV9" s="27"/>
      <c r="FW9" s="27"/>
      <c r="FX9" s="27"/>
      <c r="FY9" s="27"/>
      <c r="FZ9" s="27"/>
      <c r="GA9" s="27"/>
      <c r="GB9" s="27"/>
      <c r="GC9" s="27"/>
      <c r="GD9" s="27"/>
      <c r="GE9" s="27"/>
      <c r="GF9" s="27"/>
      <c r="GG9" s="27"/>
      <c r="GH9" s="27"/>
      <c r="GI9" s="27"/>
      <c r="GJ9" s="27"/>
      <c r="GK9" s="27"/>
      <c r="GL9" s="27"/>
      <c r="GM9" s="27"/>
      <c r="GN9" s="27"/>
      <c r="GO9" s="27"/>
      <c r="GP9" s="27"/>
      <c r="GQ9" s="27"/>
      <c r="GR9" s="27"/>
      <c r="GS9" s="27"/>
      <c r="GT9" s="27"/>
      <c r="GU9" s="27"/>
      <c r="GV9" s="27"/>
      <c r="GW9" s="27"/>
      <c r="GX9" s="27"/>
      <c r="GY9" s="27"/>
      <c r="GZ9" s="27"/>
      <c r="HA9" s="27"/>
      <c r="HB9" s="27"/>
      <c r="HC9" s="27"/>
      <c r="HD9" s="27"/>
      <c r="HE9" s="27"/>
      <c r="HF9" s="27"/>
      <c r="HG9" s="27"/>
      <c r="HH9" s="27"/>
      <c r="HI9" s="27"/>
      <c r="HJ9" s="27"/>
      <c r="HK9" s="27"/>
      <c r="HL9" s="27"/>
      <c r="HM9" s="27"/>
      <c r="HN9" s="27"/>
      <c r="HO9" s="27"/>
      <c r="HP9" s="27"/>
      <c r="HQ9" s="27"/>
      <c r="HR9" s="27"/>
    </row>
    <row r="10" spans="1:226" x14ac:dyDescent="0.25">
      <c r="A10" s="34" t="s">
        <v>472</v>
      </c>
      <c r="B10" s="32"/>
      <c r="C10" s="1584" t="s">
        <v>1209</v>
      </c>
      <c r="D10" s="33"/>
      <c r="E10" s="33" t="s">
        <v>88</v>
      </c>
      <c r="F10" s="27"/>
      <c r="G10" s="27"/>
      <c r="H10" s="27"/>
      <c r="I10" s="27"/>
      <c r="J10" s="27"/>
      <c r="K10" s="27"/>
      <c r="L10" s="140"/>
      <c r="M10" s="27"/>
      <c r="N10" s="27"/>
      <c r="O10" s="27"/>
      <c r="P10" s="27"/>
      <c r="Q10" s="27"/>
      <c r="R10" s="27"/>
      <c r="S10" s="27"/>
      <c r="T10" s="27"/>
      <c r="U10" s="27"/>
      <c r="V10" s="27"/>
      <c r="W10" s="27"/>
      <c r="X10" s="27"/>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27"/>
      <c r="BC10" s="27"/>
      <c r="BD10" s="27"/>
      <c r="BE10" s="27"/>
      <c r="BF10" s="27"/>
      <c r="BG10" s="27"/>
      <c r="BH10" s="27"/>
      <c r="BI10" s="27"/>
      <c r="BJ10" s="27"/>
      <c r="BK10" s="27"/>
      <c r="BL10" s="27"/>
      <c r="BM10" s="27"/>
      <c r="BN10" s="27"/>
      <c r="BO10" s="27"/>
      <c r="BP10" s="27"/>
      <c r="BQ10" s="27"/>
      <c r="BR10" s="27"/>
      <c r="BS10" s="27"/>
      <c r="BT10" s="27"/>
      <c r="BU10" s="27"/>
      <c r="BV10" s="27"/>
      <c r="BW10" s="27"/>
      <c r="BX10" s="27"/>
      <c r="BY10" s="27"/>
      <c r="BZ10" s="27"/>
      <c r="CA10" s="27"/>
      <c r="CB10" s="27"/>
      <c r="CC10" s="27"/>
      <c r="CD10" s="27"/>
      <c r="CE10" s="27"/>
      <c r="CF10" s="27"/>
      <c r="CG10" s="27"/>
      <c r="CH10" s="27"/>
      <c r="CI10" s="27"/>
      <c r="CJ10" s="27"/>
      <c r="CK10" s="27"/>
      <c r="CL10" s="27"/>
      <c r="CM10" s="27"/>
      <c r="CN10" s="27"/>
      <c r="CO10" s="27"/>
      <c r="CP10" s="27"/>
      <c r="CQ10" s="27"/>
      <c r="CR10" s="27"/>
      <c r="CS10" s="27"/>
      <c r="CT10" s="27"/>
      <c r="CU10" s="27"/>
      <c r="CV10" s="27"/>
      <c r="CW10" s="27"/>
      <c r="CX10" s="27"/>
      <c r="CY10" s="27"/>
      <c r="CZ10" s="27"/>
      <c r="DA10" s="27"/>
      <c r="DB10" s="27"/>
      <c r="DC10" s="27"/>
      <c r="DD10" s="27"/>
      <c r="DE10" s="27"/>
      <c r="DF10" s="27"/>
      <c r="DG10" s="27"/>
      <c r="DH10" s="27"/>
      <c r="DI10" s="27"/>
      <c r="DJ10" s="27"/>
      <c r="DK10" s="27"/>
      <c r="DL10" s="27"/>
      <c r="DM10" s="27"/>
      <c r="DN10" s="27"/>
      <c r="DO10" s="27"/>
      <c r="DP10" s="27"/>
      <c r="DQ10" s="27"/>
      <c r="DR10" s="27"/>
      <c r="DS10" s="27"/>
      <c r="DT10" s="27"/>
      <c r="DU10" s="27"/>
      <c r="DV10" s="27"/>
      <c r="DW10" s="27"/>
      <c r="DX10" s="27"/>
      <c r="DY10" s="27"/>
      <c r="DZ10" s="27"/>
      <c r="EA10" s="27"/>
      <c r="EB10" s="27"/>
      <c r="EC10" s="27"/>
      <c r="ED10" s="27"/>
      <c r="EE10" s="27"/>
      <c r="EF10" s="27"/>
      <c r="EG10" s="27"/>
      <c r="EH10" s="27"/>
      <c r="EI10" s="27"/>
      <c r="EJ10" s="27"/>
      <c r="EK10" s="27"/>
      <c r="EL10" s="27"/>
      <c r="EM10" s="27"/>
      <c r="EN10" s="27"/>
      <c r="EO10" s="27"/>
      <c r="EP10" s="27"/>
      <c r="EQ10" s="27"/>
      <c r="ER10" s="27"/>
      <c r="ES10" s="27"/>
      <c r="ET10" s="27"/>
      <c r="EU10" s="27"/>
      <c r="EV10" s="27"/>
      <c r="EW10" s="27"/>
      <c r="EX10" s="27"/>
      <c r="EY10" s="27"/>
      <c r="EZ10" s="27"/>
      <c r="FA10" s="27"/>
      <c r="FB10" s="27"/>
      <c r="FC10" s="27"/>
      <c r="FD10" s="27"/>
      <c r="FE10" s="27"/>
      <c r="FF10" s="27"/>
      <c r="FG10" s="27"/>
      <c r="FH10" s="27"/>
      <c r="FI10" s="27"/>
      <c r="FJ10" s="27"/>
      <c r="FK10" s="27"/>
      <c r="FL10" s="27"/>
      <c r="FM10" s="27"/>
      <c r="FN10" s="27"/>
      <c r="FO10" s="27"/>
      <c r="FP10" s="27"/>
      <c r="FQ10" s="27"/>
      <c r="FR10" s="27"/>
      <c r="FS10" s="27"/>
      <c r="FT10" s="27"/>
      <c r="FU10" s="27"/>
      <c r="FV10" s="27"/>
      <c r="FW10" s="27"/>
      <c r="FX10" s="27"/>
      <c r="FY10" s="27"/>
      <c r="FZ10" s="27"/>
      <c r="GA10" s="27"/>
      <c r="GB10" s="27"/>
      <c r="GC10" s="27"/>
      <c r="GD10" s="27"/>
      <c r="GE10" s="27"/>
      <c r="GF10" s="27"/>
      <c r="GG10" s="27"/>
      <c r="GH10" s="27"/>
      <c r="GI10" s="27"/>
      <c r="GJ10" s="27"/>
      <c r="GK10" s="27"/>
      <c r="GL10" s="27"/>
      <c r="GM10" s="27"/>
      <c r="GN10" s="27"/>
      <c r="GO10" s="27"/>
      <c r="GP10" s="27"/>
      <c r="GQ10" s="27"/>
      <c r="GR10" s="27"/>
      <c r="GS10" s="27"/>
      <c r="GT10" s="27"/>
      <c r="GU10" s="27"/>
      <c r="GV10" s="27"/>
      <c r="GW10" s="27"/>
      <c r="GX10" s="27"/>
      <c r="GY10" s="27"/>
      <c r="GZ10" s="27"/>
      <c r="HA10" s="27"/>
      <c r="HB10" s="27"/>
      <c r="HC10" s="27"/>
      <c r="HD10" s="27"/>
      <c r="HE10" s="27"/>
      <c r="HF10" s="27"/>
      <c r="HG10" s="27"/>
      <c r="HH10" s="27"/>
      <c r="HI10" s="27"/>
      <c r="HJ10" s="27"/>
      <c r="HK10" s="27"/>
      <c r="HL10" s="27"/>
      <c r="HM10" s="27"/>
      <c r="HN10" s="27"/>
      <c r="HO10" s="27"/>
      <c r="HP10" s="27"/>
      <c r="HQ10" s="27"/>
      <c r="HR10" s="27"/>
    </row>
    <row r="11" spans="1:226" x14ac:dyDescent="0.25">
      <c r="A11" s="32" t="s">
        <v>110</v>
      </c>
      <c r="B11" s="32"/>
      <c r="C11" s="36">
        <v>365</v>
      </c>
      <c r="D11" s="33" t="s">
        <v>96</v>
      </c>
      <c r="E11" s="33"/>
      <c r="F11" s="27"/>
      <c r="G11" s="27"/>
      <c r="H11" s="27"/>
      <c r="I11" s="27"/>
      <c r="J11" s="27"/>
      <c r="K11" s="27"/>
      <c r="L11" s="140"/>
      <c r="M11" s="27"/>
      <c r="N11" s="27"/>
      <c r="O11" s="27"/>
      <c r="P11" s="27"/>
      <c r="Q11" s="27"/>
      <c r="R11" s="27"/>
      <c r="S11" s="27"/>
      <c r="T11" s="27"/>
      <c r="U11" s="27"/>
      <c r="V11" s="27"/>
      <c r="W11" s="27"/>
      <c r="X11" s="27"/>
      <c r="Y11" s="27"/>
      <c r="Z11" s="27"/>
      <c r="AA11" s="27"/>
      <c r="AB11" s="27"/>
      <c r="AC11" s="27"/>
      <c r="AD11" s="27"/>
      <c r="AE11" s="27"/>
      <c r="AF11" s="27"/>
      <c r="AG11" s="27"/>
      <c r="AH11" s="27"/>
      <c r="AI11" s="27"/>
      <c r="AJ11" s="27"/>
      <c r="AK11" s="27"/>
      <c r="AL11" s="27"/>
      <c r="AM11" s="27"/>
      <c r="AN11" s="27"/>
      <c r="AO11" s="27"/>
      <c r="AP11" s="27"/>
      <c r="AQ11" s="27"/>
      <c r="AR11" s="27"/>
      <c r="AS11" s="27"/>
      <c r="AT11" s="27"/>
      <c r="AU11" s="27"/>
      <c r="AV11" s="27"/>
      <c r="AW11" s="27"/>
      <c r="AX11" s="27"/>
      <c r="AY11" s="27"/>
      <c r="AZ11" s="27"/>
      <c r="BA11" s="27"/>
      <c r="BB11" s="27"/>
      <c r="BC11" s="27"/>
      <c r="BD11" s="27"/>
      <c r="BE11" s="27"/>
      <c r="BF11" s="27"/>
      <c r="BG11" s="27"/>
      <c r="BH11" s="27"/>
      <c r="BI11" s="27"/>
      <c r="BJ11" s="27"/>
      <c r="BK11" s="27"/>
      <c r="BL11" s="27"/>
      <c r="BM11" s="27"/>
      <c r="BN11" s="27"/>
      <c r="BO11" s="27"/>
      <c r="BP11" s="27"/>
      <c r="BQ11" s="27"/>
      <c r="BR11" s="27"/>
      <c r="BS11" s="27"/>
      <c r="BT11" s="27"/>
      <c r="BU11" s="27"/>
      <c r="BV11" s="27"/>
      <c r="BW11" s="27"/>
      <c r="BX11" s="27"/>
      <c r="BY11" s="27"/>
      <c r="BZ11" s="27"/>
      <c r="CA11" s="27"/>
      <c r="CB11" s="27"/>
      <c r="CC11" s="27"/>
      <c r="CD11" s="27"/>
      <c r="CE11" s="27"/>
      <c r="CF11" s="27"/>
      <c r="CG11" s="27"/>
      <c r="CH11" s="27"/>
      <c r="CI11" s="27"/>
      <c r="CJ11" s="27"/>
      <c r="CK11" s="27"/>
      <c r="CL11" s="27"/>
      <c r="CM11" s="27"/>
      <c r="CN11" s="27"/>
      <c r="CO11" s="27"/>
      <c r="CP11" s="27"/>
      <c r="CQ11" s="27"/>
      <c r="CR11" s="27"/>
      <c r="CS11" s="27"/>
      <c r="CT11" s="27"/>
      <c r="CU11" s="27"/>
      <c r="CV11" s="27"/>
      <c r="CW11" s="27"/>
      <c r="CX11" s="27"/>
      <c r="CY11" s="27"/>
      <c r="CZ11" s="27"/>
      <c r="DA11" s="27"/>
      <c r="DB11" s="27"/>
      <c r="DC11" s="27"/>
      <c r="DD11" s="27"/>
      <c r="DE11" s="27"/>
      <c r="DF11" s="27"/>
      <c r="DG11" s="27"/>
      <c r="DH11" s="27"/>
      <c r="DI11" s="27"/>
      <c r="DJ11" s="27"/>
      <c r="DK11" s="27"/>
      <c r="DL11" s="27"/>
      <c r="DM11" s="27"/>
      <c r="DN11" s="27"/>
      <c r="DO11" s="27"/>
      <c r="DP11" s="27"/>
      <c r="DQ11" s="27"/>
      <c r="DR11" s="27"/>
      <c r="DS11" s="27"/>
      <c r="DT11" s="27"/>
      <c r="DU11" s="27"/>
      <c r="DV11" s="27"/>
      <c r="DW11" s="27"/>
      <c r="DX11" s="27"/>
      <c r="DY11" s="27"/>
      <c r="DZ11" s="27"/>
      <c r="EA11" s="27"/>
      <c r="EB11" s="27"/>
      <c r="EC11" s="27"/>
      <c r="ED11" s="27"/>
      <c r="EE11" s="27"/>
      <c r="EF11" s="27"/>
      <c r="EG11" s="27"/>
      <c r="EH11" s="27"/>
      <c r="EI11" s="27"/>
      <c r="EJ11" s="27"/>
      <c r="EK11" s="27"/>
      <c r="EL11" s="27"/>
      <c r="EM11" s="27"/>
      <c r="EN11" s="27"/>
      <c r="EO11" s="27"/>
      <c r="EP11" s="27"/>
      <c r="EQ11" s="27"/>
      <c r="ER11" s="27"/>
      <c r="ES11" s="27"/>
      <c r="ET11" s="27"/>
      <c r="EU11" s="27"/>
      <c r="EV11" s="27"/>
      <c r="EW11" s="27"/>
      <c r="EX11" s="27"/>
      <c r="EY11" s="27"/>
      <c r="EZ11" s="27"/>
      <c r="FA11" s="27"/>
      <c r="FB11" s="27"/>
      <c r="FC11" s="27"/>
      <c r="FD11" s="27"/>
      <c r="FE11" s="27"/>
      <c r="FF11" s="27"/>
      <c r="FG11" s="27"/>
      <c r="FH11" s="27"/>
      <c r="FI11" s="27"/>
      <c r="FJ11" s="27"/>
      <c r="FK11" s="27"/>
      <c r="FL11" s="27"/>
      <c r="FM11" s="27"/>
      <c r="FN11" s="27"/>
      <c r="FO11" s="27"/>
      <c r="FP11" s="27"/>
      <c r="FQ11" s="27"/>
      <c r="FR11" s="27"/>
      <c r="FS11" s="27"/>
      <c r="FT11" s="27"/>
      <c r="FU11" s="27"/>
      <c r="FV11" s="27"/>
      <c r="FW11" s="27"/>
      <c r="FX11" s="27"/>
      <c r="FY11" s="27"/>
      <c r="FZ11" s="27"/>
      <c r="GA11" s="27"/>
      <c r="GB11" s="27"/>
      <c r="GC11" s="27"/>
      <c r="GD11" s="27"/>
      <c r="GE11" s="27"/>
      <c r="GF11" s="27"/>
      <c r="GG11" s="27"/>
      <c r="GH11" s="27"/>
      <c r="GI11" s="27"/>
      <c r="GJ11" s="27"/>
      <c r="GK11" s="27"/>
      <c r="GL11" s="27"/>
      <c r="GM11" s="27"/>
      <c r="GN11" s="27"/>
      <c r="GO11" s="27"/>
      <c r="GP11" s="27"/>
      <c r="GQ11" s="27"/>
      <c r="GR11" s="27"/>
      <c r="GS11" s="27"/>
      <c r="GT11" s="27"/>
      <c r="GU11" s="27"/>
      <c r="GV11" s="27"/>
      <c r="GW11" s="27"/>
      <c r="GX11" s="27"/>
      <c r="GY11" s="27"/>
      <c r="GZ11" s="27"/>
      <c r="HA11" s="27"/>
      <c r="HB11" s="27"/>
      <c r="HC11" s="27"/>
      <c r="HD11" s="27"/>
      <c r="HE11" s="27"/>
      <c r="HF11" s="27"/>
      <c r="HG11" s="27"/>
      <c r="HH11" s="27"/>
      <c r="HI11" s="27"/>
      <c r="HJ11" s="27"/>
      <c r="HK11" s="27"/>
      <c r="HL11" s="27"/>
      <c r="HM11" s="27"/>
      <c r="HN11" s="27"/>
      <c r="HO11" s="27"/>
      <c r="HP11" s="27"/>
      <c r="HQ11" s="27"/>
      <c r="HR11" s="27"/>
    </row>
    <row r="12" spans="1:226" x14ac:dyDescent="0.25">
      <c r="A12" s="100" t="s">
        <v>111</v>
      </c>
      <c r="B12" s="100"/>
      <c r="C12" s="102">
        <v>44671</v>
      </c>
      <c r="D12" s="33"/>
      <c r="E12" s="33"/>
      <c r="F12" s="27"/>
      <c r="G12" s="27"/>
      <c r="H12" s="27"/>
      <c r="I12" s="27"/>
      <c r="J12" s="27"/>
      <c r="K12" s="27"/>
      <c r="L12" s="140"/>
      <c r="M12" s="27"/>
      <c r="N12" s="27"/>
      <c r="O12" s="27"/>
      <c r="P12" s="27"/>
      <c r="Q12" s="27"/>
      <c r="R12" s="27"/>
      <c r="S12" s="27"/>
      <c r="T12" s="27"/>
      <c r="U12" s="27"/>
      <c r="V12" s="27"/>
      <c r="W12" s="27"/>
      <c r="X12" s="27"/>
      <c r="Y12" s="27"/>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7"/>
      <c r="CA12" s="27"/>
      <c r="CB12" s="27"/>
      <c r="CC12" s="27"/>
      <c r="CD12" s="27"/>
      <c r="CE12" s="27"/>
      <c r="CF12" s="27"/>
      <c r="CG12" s="27"/>
      <c r="CH12" s="27"/>
      <c r="CI12" s="27"/>
      <c r="CJ12" s="27"/>
      <c r="CK12" s="27"/>
      <c r="CL12" s="27"/>
      <c r="CM12" s="27"/>
      <c r="CN12" s="27"/>
      <c r="CO12" s="27"/>
      <c r="CP12" s="27"/>
      <c r="CQ12" s="27"/>
      <c r="CR12" s="27"/>
      <c r="CS12" s="27"/>
      <c r="CT12" s="27"/>
      <c r="CU12" s="27"/>
      <c r="CV12" s="27"/>
      <c r="CW12" s="27"/>
      <c r="CX12" s="27"/>
      <c r="CY12" s="27"/>
      <c r="CZ12" s="27"/>
      <c r="DA12" s="27"/>
      <c r="DB12" s="27"/>
      <c r="DC12" s="27"/>
      <c r="DD12" s="27"/>
      <c r="DE12" s="27"/>
      <c r="DF12" s="27"/>
      <c r="DG12" s="27"/>
      <c r="DH12" s="27"/>
      <c r="DI12" s="27"/>
      <c r="DJ12" s="27"/>
      <c r="DK12" s="27"/>
      <c r="DL12" s="27"/>
      <c r="DM12" s="27"/>
      <c r="DN12" s="27"/>
      <c r="DO12" s="27"/>
      <c r="DP12" s="27"/>
      <c r="DQ12" s="27"/>
      <c r="DR12" s="27"/>
      <c r="DS12" s="27"/>
      <c r="DT12" s="27"/>
      <c r="DU12" s="27"/>
      <c r="DV12" s="27"/>
      <c r="DW12" s="27"/>
      <c r="DX12" s="27"/>
      <c r="DY12" s="27"/>
      <c r="DZ12" s="27"/>
      <c r="EA12" s="27"/>
      <c r="EB12" s="27"/>
      <c r="EC12" s="27"/>
      <c r="ED12" s="27"/>
      <c r="EE12" s="27"/>
      <c r="EF12" s="27"/>
      <c r="EG12" s="27"/>
      <c r="EH12" s="27"/>
      <c r="EI12" s="27"/>
      <c r="EJ12" s="27"/>
      <c r="EK12" s="27"/>
      <c r="EL12" s="27"/>
      <c r="EM12" s="27"/>
      <c r="EN12" s="27"/>
      <c r="EO12" s="27"/>
      <c r="EP12" s="27"/>
      <c r="EQ12" s="27"/>
      <c r="ER12" s="27"/>
      <c r="ES12" s="27"/>
      <c r="ET12" s="27"/>
      <c r="EU12" s="27"/>
      <c r="EV12" s="27"/>
      <c r="EW12" s="27"/>
      <c r="EX12" s="27"/>
      <c r="EY12" s="27"/>
      <c r="EZ12" s="27"/>
      <c r="FA12" s="27"/>
      <c r="FB12" s="27"/>
      <c r="FC12" s="27"/>
      <c r="FD12" s="27"/>
      <c r="FE12" s="27"/>
      <c r="FF12" s="27"/>
      <c r="FG12" s="27"/>
      <c r="FH12" s="27"/>
      <c r="FI12" s="27"/>
      <c r="FJ12" s="27"/>
      <c r="FK12" s="27"/>
      <c r="FL12" s="27"/>
      <c r="FM12" s="27"/>
      <c r="FN12" s="27"/>
      <c r="FO12" s="27"/>
      <c r="FP12" s="27"/>
      <c r="FQ12" s="27"/>
      <c r="FR12" s="27"/>
      <c r="FS12" s="27"/>
      <c r="FT12" s="27"/>
      <c r="FU12" s="27"/>
      <c r="FV12" s="27"/>
      <c r="FW12" s="27"/>
      <c r="FX12" s="27"/>
      <c r="FY12" s="27"/>
      <c r="FZ12" s="27"/>
      <c r="GA12" s="27"/>
      <c r="GB12" s="27"/>
      <c r="GC12" s="27"/>
      <c r="GD12" s="27"/>
      <c r="GE12" s="27"/>
      <c r="GF12" s="27"/>
      <c r="GG12" s="27"/>
      <c r="GH12" s="27"/>
      <c r="GI12" s="27"/>
      <c r="GJ12" s="27"/>
      <c r="GK12" s="27"/>
      <c r="GL12" s="27"/>
      <c r="GM12" s="27"/>
      <c r="GN12" s="27"/>
      <c r="GO12" s="27"/>
      <c r="GP12" s="27"/>
      <c r="GQ12" s="27"/>
      <c r="GR12" s="27"/>
      <c r="GS12" s="27"/>
      <c r="GT12" s="27"/>
      <c r="GU12" s="27"/>
      <c r="GV12" s="27"/>
      <c r="GW12" s="27"/>
      <c r="GX12" s="27"/>
      <c r="GY12" s="27"/>
      <c r="GZ12" s="27"/>
      <c r="HA12" s="27"/>
      <c r="HB12" s="27"/>
      <c r="HC12" s="27"/>
      <c r="HD12" s="27"/>
      <c r="HE12" s="27"/>
      <c r="HF12" s="27"/>
      <c r="HG12" s="27"/>
      <c r="HH12" s="27"/>
      <c r="HI12" s="27"/>
      <c r="HJ12" s="27"/>
      <c r="HK12" s="27"/>
      <c r="HL12" s="27"/>
      <c r="HM12" s="27"/>
      <c r="HN12" s="27"/>
      <c r="HO12" s="27"/>
      <c r="HP12" s="27"/>
      <c r="HQ12" s="27"/>
      <c r="HR12" s="27"/>
    </row>
    <row r="13" spans="1:226" x14ac:dyDescent="0.25">
      <c r="A13" s="867"/>
      <c r="B13" s="868"/>
      <c r="C13" s="775" t="s">
        <v>112</v>
      </c>
      <c r="D13" s="775" t="s">
        <v>113</v>
      </c>
      <c r="E13" s="775" t="s">
        <v>114</v>
      </c>
      <c r="F13" s="27"/>
      <c r="G13" s="27"/>
      <c r="H13" s="27"/>
      <c r="I13" s="27"/>
      <c r="J13" s="27"/>
      <c r="K13" s="27"/>
      <c r="L13" s="140"/>
      <c r="M13" s="27"/>
      <c r="N13" s="27"/>
      <c r="O13" s="27"/>
      <c r="P13" s="27"/>
      <c r="Q13" s="27"/>
      <c r="R13" s="27"/>
      <c r="S13" s="27"/>
      <c r="T13" s="27"/>
      <c r="U13" s="27"/>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c r="BJ13" s="27"/>
      <c r="BK13" s="27"/>
      <c r="BL13" s="27"/>
      <c r="BM13" s="27"/>
      <c r="BN13" s="27"/>
      <c r="BO13" s="27"/>
      <c r="BP13" s="27"/>
      <c r="BQ13" s="27"/>
      <c r="BR13" s="27"/>
      <c r="BS13" s="27"/>
      <c r="BT13" s="27"/>
      <c r="BU13" s="27"/>
      <c r="BV13" s="27"/>
      <c r="BW13" s="27"/>
      <c r="BX13" s="27"/>
      <c r="BY13" s="27"/>
      <c r="BZ13" s="27"/>
      <c r="CA13" s="27"/>
      <c r="CB13" s="27"/>
      <c r="CC13" s="27"/>
      <c r="CD13" s="27"/>
      <c r="CE13" s="27"/>
      <c r="CF13" s="27"/>
      <c r="CG13" s="27"/>
      <c r="CH13" s="27"/>
      <c r="CI13" s="27"/>
      <c r="CJ13" s="27"/>
      <c r="CK13" s="27"/>
      <c r="CL13" s="27"/>
      <c r="CM13" s="27"/>
      <c r="CN13" s="27"/>
      <c r="CO13" s="27"/>
      <c r="CP13" s="27"/>
      <c r="CQ13" s="27"/>
      <c r="CR13" s="27"/>
      <c r="CS13" s="27"/>
      <c r="CT13" s="27"/>
      <c r="CU13" s="27"/>
      <c r="CV13" s="27"/>
      <c r="CW13" s="27"/>
      <c r="CX13" s="27"/>
      <c r="CY13" s="27"/>
      <c r="CZ13" s="27"/>
      <c r="DA13" s="27"/>
      <c r="DB13" s="27"/>
      <c r="DC13" s="27"/>
      <c r="DD13" s="27"/>
      <c r="DE13" s="27"/>
      <c r="DF13" s="27"/>
      <c r="DG13" s="27"/>
      <c r="DH13" s="27"/>
      <c r="DI13" s="27"/>
      <c r="DJ13" s="27"/>
      <c r="DK13" s="27"/>
      <c r="DL13" s="27"/>
      <c r="DM13" s="27"/>
      <c r="DN13" s="27"/>
      <c r="DO13" s="27"/>
      <c r="DP13" s="27"/>
      <c r="DQ13" s="27"/>
      <c r="DR13" s="27"/>
      <c r="DS13" s="27"/>
      <c r="DT13" s="27"/>
      <c r="DU13" s="27"/>
      <c r="DV13" s="27"/>
      <c r="DW13" s="27"/>
      <c r="DX13" s="27"/>
      <c r="DY13" s="27"/>
      <c r="DZ13" s="27"/>
      <c r="EA13" s="27"/>
      <c r="EB13" s="27"/>
      <c r="EC13" s="27"/>
      <c r="ED13" s="27"/>
      <c r="EE13" s="27"/>
      <c r="EF13" s="27"/>
      <c r="EG13" s="27"/>
      <c r="EH13" s="27"/>
      <c r="EI13" s="27"/>
      <c r="EJ13" s="27"/>
      <c r="EK13" s="27"/>
      <c r="EL13" s="27"/>
      <c r="EM13" s="27"/>
      <c r="EN13" s="27"/>
      <c r="EO13" s="27"/>
      <c r="EP13" s="27"/>
      <c r="EQ13" s="27"/>
      <c r="ER13" s="27"/>
      <c r="ES13" s="27"/>
      <c r="ET13" s="27"/>
      <c r="EU13" s="27"/>
      <c r="EV13" s="27"/>
      <c r="EW13" s="27"/>
      <c r="EX13" s="27"/>
      <c r="EY13" s="27"/>
      <c r="EZ13" s="27"/>
      <c r="FA13" s="27"/>
      <c r="FB13" s="27"/>
      <c r="FC13" s="27"/>
      <c r="FD13" s="27"/>
      <c r="FE13" s="27"/>
      <c r="FF13" s="27"/>
      <c r="FG13" s="27"/>
      <c r="FH13" s="27"/>
      <c r="FI13" s="27"/>
      <c r="FJ13" s="27"/>
      <c r="FK13" s="27"/>
      <c r="FL13" s="27"/>
      <c r="FM13" s="27"/>
      <c r="FN13" s="27"/>
      <c r="FO13" s="27"/>
      <c r="FP13" s="27"/>
      <c r="FQ13" s="27"/>
      <c r="FR13" s="27"/>
      <c r="FS13" s="27"/>
      <c r="FT13" s="27"/>
      <c r="FU13" s="27"/>
      <c r="FV13" s="27"/>
      <c r="FW13" s="27"/>
      <c r="FX13" s="27"/>
      <c r="FY13" s="27"/>
      <c r="FZ13" s="27"/>
      <c r="GA13" s="27"/>
      <c r="GB13" s="27"/>
      <c r="GC13" s="27"/>
      <c r="GD13" s="27"/>
      <c r="GE13" s="27"/>
      <c r="GF13" s="27"/>
      <c r="GG13" s="27"/>
      <c r="GH13" s="27"/>
      <c r="GI13" s="27"/>
      <c r="GJ13" s="27"/>
      <c r="GK13" s="27"/>
      <c r="GL13" s="27"/>
      <c r="GM13" s="27"/>
      <c r="GN13" s="27"/>
      <c r="GO13" s="27"/>
      <c r="GP13" s="27"/>
      <c r="GQ13" s="27"/>
      <c r="GR13" s="27"/>
      <c r="GS13" s="27"/>
      <c r="GT13" s="27"/>
      <c r="GU13" s="27"/>
      <c r="GV13" s="27"/>
      <c r="GW13" s="27"/>
      <c r="GX13" s="27"/>
      <c r="GY13" s="27"/>
      <c r="GZ13" s="27"/>
      <c r="HA13" s="27"/>
      <c r="HB13" s="27"/>
      <c r="HC13" s="27"/>
      <c r="HD13" s="27"/>
      <c r="HE13" s="27"/>
      <c r="HF13" s="27"/>
      <c r="HG13" s="27"/>
      <c r="HH13" s="27"/>
      <c r="HI13" s="27"/>
      <c r="HJ13" s="27"/>
      <c r="HK13" s="27"/>
      <c r="HL13" s="27"/>
      <c r="HM13" s="27"/>
      <c r="HN13" s="27"/>
      <c r="HO13" s="27"/>
      <c r="HP13" s="27"/>
      <c r="HQ13" s="27"/>
      <c r="HR13" s="27"/>
    </row>
    <row r="14" spans="1:226" s="193" customFormat="1" x14ac:dyDescent="0.25">
      <c r="A14" s="859" t="s">
        <v>115</v>
      </c>
      <c r="B14" s="860"/>
      <c r="C14" s="863">
        <v>1787827.21</v>
      </c>
      <c r="D14" s="863">
        <f>ROUND(C14/1.18,2)</f>
        <v>1515107.81</v>
      </c>
      <c r="E14" s="865">
        <v>44657</v>
      </c>
      <c r="G14" s="403"/>
      <c r="H14" s="1217">
        <f>+C14/C8</f>
        <v>9.9999999944066179E-2</v>
      </c>
      <c r="I14" s="403"/>
      <c r="J14" s="403"/>
      <c r="K14" s="403"/>
      <c r="L14" s="403"/>
      <c r="M14" s="403"/>
      <c r="N14" s="403"/>
      <c r="O14" s="403"/>
      <c r="P14" s="403"/>
      <c r="Q14" s="403"/>
      <c r="R14" s="403"/>
      <c r="S14" s="403"/>
      <c r="T14" s="403"/>
      <c r="U14" s="403"/>
      <c r="V14" s="403"/>
      <c r="W14" s="403"/>
      <c r="X14" s="403"/>
      <c r="Y14" s="403"/>
      <c r="Z14" s="403"/>
      <c r="AA14" s="403"/>
      <c r="AB14" s="403"/>
      <c r="AC14" s="403"/>
      <c r="AD14" s="403"/>
      <c r="AE14" s="403"/>
      <c r="AF14" s="403"/>
      <c r="AG14" s="403"/>
      <c r="AH14" s="403"/>
      <c r="AI14" s="403"/>
      <c r="AJ14" s="403"/>
      <c r="AK14" s="403"/>
      <c r="AL14" s="403"/>
      <c r="AM14" s="403"/>
      <c r="AN14" s="403"/>
      <c r="AO14" s="403"/>
      <c r="AP14" s="403"/>
      <c r="AQ14" s="403"/>
      <c r="AR14" s="403"/>
      <c r="AS14" s="403"/>
      <c r="AT14" s="403"/>
      <c r="AU14" s="403"/>
      <c r="AV14" s="403"/>
      <c r="AW14" s="403"/>
      <c r="AX14" s="403"/>
      <c r="AY14" s="403"/>
      <c r="AZ14" s="403"/>
      <c r="BA14" s="403"/>
      <c r="BB14" s="403"/>
      <c r="BC14" s="403"/>
      <c r="BD14" s="403"/>
      <c r="BE14" s="403"/>
      <c r="BF14" s="403"/>
      <c r="BG14" s="403"/>
      <c r="BH14" s="403"/>
      <c r="BI14" s="403"/>
      <c r="BJ14" s="403"/>
      <c r="BK14" s="403"/>
      <c r="BL14" s="403"/>
      <c r="BM14" s="403"/>
      <c r="BN14" s="403"/>
      <c r="BO14" s="403"/>
      <c r="BP14" s="403"/>
      <c r="BQ14" s="403"/>
      <c r="BR14" s="403"/>
      <c r="BS14" s="403"/>
      <c r="BT14" s="403"/>
      <c r="BU14" s="403"/>
      <c r="BV14" s="403"/>
      <c r="BW14" s="403"/>
      <c r="BX14" s="403"/>
      <c r="BY14" s="403"/>
      <c r="BZ14" s="403"/>
      <c r="CA14" s="403"/>
      <c r="CB14" s="403"/>
      <c r="CC14" s="403"/>
      <c r="CD14" s="403"/>
      <c r="CE14" s="403"/>
      <c r="CF14" s="403"/>
      <c r="CG14" s="403"/>
      <c r="CH14" s="403"/>
      <c r="CI14" s="403"/>
      <c r="CJ14" s="403"/>
      <c r="CK14" s="403"/>
      <c r="CL14" s="403"/>
      <c r="CM14" s="403"/>
      <c r="CN14" s="403"/>
      <c r="CO14" s="403"/>
      <c r="CP14" s="403"/>
      <c r="CQ14" s="403"/>
      <c r="CR14" s="403"/>
      <c r="CS14" s="403"/>
      <c r="CT14" s="403"/>
      <c r="CU14" s="403"/>
      <c r="CV14" s="403"/>
      <c r="CW14" s="403"/>
      <c r="CX14" s="403"/>
      <c r="CY14" s="403"/>
      <c r="CZ14" s="403"/>
      <c r="DA14" s="403"/>
      <c r="DB14" s="403"/>
      <c r="DC14" s="403"/>
      <c r="DD14" s="403"/>
      <c r="DE14" s="403"/>
      <c r="DF14" s="403"/>
      <c r="DG14" s="403"/>
      <c r="DH14" s="403"/>
      <c r="DI14" s="403"/>
      <c r="DJ14" s="403"/>
      <c r="DK14" s="403"/>
      <c r="DL14" s="403"/>
      <c r="DM14" s="403"/>
      <c r="DN14" s="403"/>
      <c r="DO14" s="403"/>
      <c r="DP14" s="403"/>
      <c r="DQ14" s="403"/>
      <c r="DR14" s="403"/>
      <c r="DS14" s="403"/>
      <c r="DT14" s="403"/>
      <c r="DU14" s="403"/>
      <c r="DV14" s="403"/>
      <c r="DW14" s="403"/>
      <c r="DX14" s="403"/>
      <c r="DY14" s="403"/>
      <c r="DZ14" s="403"/>
      <c r="EA14" s="403"/>
      <c r="EB14" s="403"/>
      <c r="EC14" s="403"/>
      <c r="ED14" s="403"/>
      <c r="EE14" s="403"/>
      <c r="EF14" s="403"/>
      <c r="EG14" s="403"/>
      <c r="EH14" s="403"/>
      <c r="EI14" s="403"/>
      <c r="EJ14" s="403"/>
      <c r="EK14" s="403"/>
      <c r="EL14" s="403"/>
      <c r="EM14" s="403"/>
      <c r="EN14" s="403"/>
      <c r="EO14" s="403"/>
      <c r="EP14" s="403"/>
      <c r="EQ14" s="403"/>
      <c r="ER14" s="403"/>
      <c r="ES14" s="403"/>
      <c r="ET14" s="403"/>
      <c r="EU14" s="403"/>
      <c r="EV14" s="403"/>
      <c r="EW14" s="403"/>
      <c r="EX14" s="403"/>
      <c r="EY14" s="403"/>
      <c r="EZ14" s="403"/>
      <c r="FA14" s="403"/>
      <c r="FB14" s="403"/>
      <c r="FC14" s="403"/>
      <c r="FD14" s="403"/>
      <c r="FE14" s="403"/>
      <c r="FF14" s="403"/>
      <c r="FG14" s="403"/>
      <c r="FH14" s="403"/>
      <c r="FI14" s="403"/>
      <c r="FJ14" s="403"/>
      <c r="FK14" s="403"/>
      <c r="FL14" s="403"/>
      <c r="FM14" s="403"/>
      <c r="FN14" s="403"/>
      <c r="FO14" s="403"/>
      <c r="FP14" s="403"/>
      <c r="FQ14" s="403"/>
      <c r="FR14" s="403"/>
      <c r="FS14" s="403"/>
      <c r="FT14" s="403"/>
      <c r="FU14" s="403"/>
      <c r="FV14" s="403"/>
      <c r="FW14" s="403"/>
      <c r="FX14" s="403"/>
      <c r="FY14" s="403"/>
      <c r="FZ14" s="403"/>
      <c r="GA14" s="403"/>
      <c r="GB14" s="403"/>
      <c r="GC14" s="403"/>
      <c r="GD14" s="403"/>
      <c r="GE14" s="403"/>
      <c r="GF14" s="403"/>
      <c r="GG14" s="403"/>
      <c r="GH14" s="403"/>
      <c r="GI14" s="403"/>
      <c r="GJ14" s="403"/>
      <c r="GK14" s="403"/>
      <c r="GL14" s="403"/>
      <c r="GM14" s="403"/>
      <c r="GN14" s="403"/>
      <c r="GO14" s="403"/>
      <c r="GP14" s="403"/>
      <c r="GQ14" s="403"/>
      <c r="GR14" s="403"/>
      <c r="GS14" s="403"/>
      <c r="GT14" s="403"/>
      <c r="GU14" s="403"/>
      <c r="GV14" s="403"/>
      <c r="GW14" s="403"/>
      <c r="GX14" s="403"/>
      <c r="GY14" s="403"/>
      <c r="GZ14" s="403"/>
      <c r="HA14" s="403"/>
      <c r="HB14" s="403"/>
      <c r="HC14" s="403"/>
      <c r="HD14" s="403"/>
      <c r="HE14" s="403"/>
      <c r="HF14" s="403"/>
      <c r="HG14" s="403"/>
      <c r="HH14" s="403"/>
      <c r="HI14" s="403"/>
      <c r="HJ14" s="403"/>
      <c r="HK14" s="403"/>
      <c r="HL14" s="403"/>
      <c r="HM14" s="403"/>
      <c r="HN14" s="403"/>
      <c r="HO14" s="403"/>
      <c r="HP14" s="403"/>
      <c r="HQ14" s="403"/>
      <c r="HR14" s="403"/>
    </row>
    <row r="15" spans="1:226" s="193" customFormat="1" x14ac:dyDescent="0.25">
      <c r="A15" s="861" t="s">
        <v>116</v>
      </c>
      <c r="B15" s="862"/>
      <c r="C15" s="864">
        <v>3575654.42</v>
      </c>
      <c r="D15" s="864">
        <f>ROUND(C15/1.18,2)</f>
        <v>3030215.61</v>
      </c>
      <c r="E15" s="866">
        <v>44708</v>
      </c>
      <c r="G15" s="403"/>
      <c r="H15" s="404"/>
      <c r="I15" s="403"/>
      <c r="J15" s="403"/>
      <c r="K15" s="403"/>
      <c r="L15" s="403"/>
      <c r="M15" s="403"/>
      <c r="O15" s="403"/>
      <c r="P15" s="403"/>
      <c r="Q15" s="403"/>
      <c r="R15" s="403"/>
      <c r="S15" s="403"/>
      <c r="T15" s="403"/>
      <c r="U15" s="403"/>
      <c r="V15" s="403"/>
      <c r="W15" s="403"/>
      <c r="X15" s="403"/>
      <c r="Y15" s="403"/>
      <c r="Z15" s="403"/>
      <c r="AA15" s="403"/>
      <c r="AB15" s="403"/>
      <c r="AC15" s="403"/>
      <c r="AD15" s="403"/>
      <c r="AE15" s="403"/>
      <c r="AF15" s="403"/>
      <c r="AG15" s="403"/>
      <c r="AH15" s="403"/>
      <c r="AI15" s="403"/>
      <c r="AJ15" s="403"/>
      <c r="AK15" s="403"/>
      <c r="AL15" s="403"/>
      <c r="AM15" s="403"/>
      <c r="AN15" s="403"/>
      <c r="AO15" s="403"/>
      <c r="AP15" s="403"/>
      <c r="AQ15" s="403"/>
      <c r="AR15" s="403"/>
      <c r="AS15" s="403"/>
      <c r="AT15" s="403"/>
      <c r="AU15" s="403"/>
      <c r="AV15" s="403"/>
      <c r="AW15" s="403"/>
      <c r="AX15" s="403"/>
      <c r="AY15" s="403"/>
      <c r="AZ15" s="403"/>
      <c r="BA15" s="403"/>
      <c r="BB15" s="403"/>
      <c r="BC15" s="403"/>
      <c r="BD15" s="403"/>
      <c r="BE15" s="403"/>
      <c r="BF15" s="403"/>
      <c r="BG15" s="403"/>
      <c r="BH15" s="403"/>
      <c r="BI15" s="403"/>
      <c r="BJ15" s="403"/>
      <c r="BK15" s="403"/>
      <c r="BL15" s="403"/>
      <c r="BM15" s="403"/>
      <c r="BN15" s="403"/>
      <c r="BO15" s="403"/>
      <c r="BP15" s="403"/>
      <c r="BQ15" s="403"/>
      <c r="BR15" s="403"/>
      <c r="BS15" s="403"/>
      <c r="BT15" s="403"/>
      <c r="BU15" s="403"/>
      <c r="BV15" s="403"/>
      <c r="BW15" s="403"/>
      <c r="BX15" s="403"/>
      <c r="BY15" s="403"/>
      <c r="BZ15" s="403"/>
      <c r="CA15" s="403"/>
      <c r="CB15" s="403"/>
      <c r="CC15" s="403"/>
      <c r="CD15" s="403"/>
      <c r="CE15" s="403"/>
      <c r="CF15" s="403"/>
      <c r="CG15" s="403"/>
      <c r="CH15" s="403"/>
      <c r="CI15" s="403"/>
      <c r="CJ15" s="403"/>
      <c r="CK15" s="403"/>
      <c r="CL15" s="403"/>
      <c r="CM15" s="403"/>
      <c r="CN15" s="403"/>
      <c r="CO15" s="403"/>
      <c r="CP15" s="403"/>
      <c r="CQ15" s="403"/>
      <c r="CR15" s="403"/>
      <c r="CS15" s="403"/>
      <c r="CT15" s="403"/>
      <c r="CU15" s="403"/>
      <c r="CV15" s="403"/>
      <c r="CW15" s="403"/>
      <c r="CX15" s="403"/>
      <c r="CY15" s="403"/>
      <c r="CZ15" s="403"/>
      <c r="DA15" s="403"/>
      <c r="DB15" s="403"/>
      <c r="DC15" s="403"/>
      <c r="DD15" s="403"/>
      <c r="DE15" s="403"/>
      <c r="DF15" s="403"/>
      <c r="DG15" s="403"/>
      <c r="DH15" s="403"/>
      <c r="DI15" s="403"/>
      <c r="DJ15" s="403"/>
      <c r="DK15" s="403"/>
      <c r="DL15" s="403"/>
      <c r="DM15" s="403"/>
      <c r="DN15" s="403"/>
      <c r="DO15" s="403"/>
      <c r="DP15" s="403"/>
      <c r="DQ15" s="403"/>
      <c r="DR15" s="403"/>
      <c r="DS15" s="403"/>
      <c r="DT15" s="403"/>
      <c r="DU15" s="403"/>
      <c r="DV15" s="403"/>
      <c r="DW15" s="403"/>
      <c r="DX15" s="403"/>
      <c r="DY15" s="403"/>
      <c r="DZ15" s="403"/>
      <c r="EA15" s="403"/>
      <c r="EB15" s="403"/>
      <c r="EC15" s="403"/>
      <c r="ED15" s="403"/>
      <c r="EE15" s="403"/>
      <c r="EF15" s="403"/>
      <c r="EG15" s="403"/>
      <c r="EH15" s="403"/>
      <c r="EI15" s="403"/>
      <c r="EJ15" s="403"/>
      <c r="EK15" s="403"/>
      <c r="EL15" s="403"/>
      <c r="EM15" s="403"/>
      <c r="EN15" s="403"/>
      <c r="EO15" s="403"/>
      <c r="EP15" s="403"/>
      <c r="EQ15" s="403"/>
      <c r="ER15" s="403"/>
      <c r="ES15" s="403"/>
      <c r="ET15" s="403"/>
      <c r="EU15" s="403"/>
      <c r="EV15" s="403"/>
      <c r="EW15" s="403"/>
      <c r="EX15" s="403"/>
      <c r="EY15" s="403"/>
      <c r="EZ15" s="403"/>
      <c r="FA15" s="403"/>
      <c r="FB15" s="403"/>
      <c r="FC15" s="403"/>
      <c r="FD15" s="403"/>
      <c r="FE15" s="403"/>
      <c r="FF15" s="403"/>
      <c r="FG15" s="403"/>
      <c r="FH15" s="403"/>
      <c r="FI15" s="403"/>
      <c r="FJ15" s="403"/>
      <c r="FK15" s="403"/>
      <c r="FL15" s="403"/>
      <c r="FM15" s="403"/>
      <c r="FN15" s="403"/>
      <c r="FO15" s="403"/>
      <c r="FP15" s="403"/>
      <c r="FQ15" s="403"/>
      <c r="FR15" s="403"/>
      <c r="FS15" s="403"/>
      <c r="FT15" s="403"/>
      <c r="FU15" s="403"/>
      <c r="FV15" s="403"/>
      <c r="FW15" s="403"/>
      <c r="FX15" s="403"/>
      <c r="FY15" s="403"/>
      <c r="FZ15" s="403"/>
      <c r="GA15" s="403"/>
      <c r="GB15" s="403"/>
      <c r="GC15" s="403"/>
      <c r="GD15" s="403"/>
      <c r="GE15" s="403"/>
      <c r="GF15" s="403"/>
      <c r="GG15" s="403"/>
      <c r="GH15" s="403"/>
      <c r="GI15" s="403"/>
      <c r="GJ15" s="403"/>
      <c r="GK15" s="403"/>
      <c r="GL15" s="403"/>
      <c r="GM15" s="403"/>
      <c r="GN15" s="403"/>
      <c r="GO15" s="403"/>
      <c r="GP15" s="403"/>
      <c r="GQ15" s="403"/>
      <c r="GR15" s="403"/>
      <c r="GS15" s="403"/>
      <c r="GT15" s="403"/>
      <c r="GU15" s="403"/>
      <c r="GV15" s="403"/>
      <c r="GW15" s="403"/>
      <c r="GX15" s="403"/>
      <c r="GY15" s="403"/>
      <c r="GZ15" s="403"/>
      <c r="HA15" s="403"/>
      <c r="HB15" s="403"/>
      <c r="HC15" s="403"/>
      <c r="HD15" s="403"/>
      <c r="HE15" s="403"/>
      <c r="HF15" s="403"/>
      <c r="HG15" s="403"/>
      <c r="HH15" s="403"/>
      <c r="HI15" s="403"/>
      <c r="HJ15" s="403"/>
      <c r="HK15" s="403"/>
      <c r="HL15" s="403"/>
      <c r="HM15" s="403"/>
      <c r="HN15" s="403"/>
      <c r="HO15" s="403"/>
      <c r="HP15" s="403"/>
      <c r="HQ15" s="403"/>
      <c r="HR15" s="403"/>
    </row>
    <row r="16" spans="1:226" s="193" customFormat="1" ht="13.8" x14ac:dyDescent="0.25">
      <c r="A16" s="2018" t="str">
        <f>+VAL_RES.!B39</f>
        <v>PUENTE VEHICULAR CCANCHI</v>
      </c>
      <c r="B16" s="2019"/>
      <c r="C16" s="1227"/>
      <c r="D16" s="1227"/>
      <c r="E16" s="1227"/>
      <c r="G16" s="403"/>
      <c r="H16" s="404"/>
      <c r="I16" s="405"/>
      <c r="J16" s="403"/>
      <c r="K16" s="403"/>
      <c r="L16" s="403"/>
      <c r="M16" s="403"/>
      <c r="O16" s="403"/>
      <c r="P16" s="403"/>
      <c r="Q16" s="403"/>
      <c r="R16" s="403"/>
      <c r="S16" s="403"/>
      <c r="T16" s="403"/>
      <c r="U16" s="403"/>
      <c r="V16" s="403"/>
      <c r="W16" s="403"/>
      <c r="X16" s="403"/>
      <c r="Y16" s="403"/>
      <c r="Z16" s="403"/>
      <c r="AA16" s="403"/>
      <c r="AB16" s="403"/>
      <c r="AC16" s="403"/>
      <c r="AD16" s="403"/>
      <c r="AE16" s="403"/>
      <c r="AF16" s="403"/>
      <c r="AG16" s="403"/>
      <c r="AH16" s="403"/>
      <c r="AI16" s="403"/>
      <c r="AJ16" s="403"/>
      <c r="AK16" s="403"/>
      <c r="AL16" s="403"/>
      <c r="AM16" s="403"/>
      <c r="AN16" s="403"/>
      <c r="AO16" s="403"/>
      <c r="AP16" s="403"/>
      <c r="AQ16" s="403"/>
      <c r="AR16" s="403"/>
      <c r="AS16" s="403"/>
      <c r="AT16" s="403"/>
      <c r="AU16" s="403"/>
      <c r="AV16" s="403"/>
      <c r="AW16" s="403"/>
      <c r="AX16" s="403"/>
      <c r="AY16" s="403"/>
      <c r="AZ16" s="403"/>
      <c r="BA16" s="403"/>
      <c r="BB16" s="403"/>
      <c r="BC16" s="403"/>
      <c r="BD16" s="403"/>
      <c r="BE16" s="403"/>
      <c r="BF16" s="403"/>
      <c r="BG16" s="403"/>
      <c r="BH16" s="403"/>
      <c r="BI16" s="403"/>
      <c r="BJ16" s="403"/>
      <c r="BK16" s="403"/>
      <c r="BL16" s="403"/>
      <c r="BM16" s="403"/>
      <c r="BN16" s="403"/>
      <c r="BO16" s="403"/>
      <c r="BP16" s="403"/>
      <c r="BQ16" s="403"/>
      <c r="BR16" s="403"/>
      <c r="BS16" s="403"/>
      <c r="BT16" s="403"/>
      <c r="BU16" s="403"/>
      <c r="BV16" s="403"/>
      <c r="BW16" s="403"/>
      <c r="BX16" s="403"/>
      <c r="BY16" s="403"/>
      <c r="BZ16" s="403"/>
      <c r="CA16" s="403"/>
      <c r="CB16" s="403"/>
      <c r="CC16" s="403"/>
      <c r="CD16" s="403"/>
      <c r="CE16" s="403"/>
      <c r="CF16" s="403"/>
      <c r="CG16" s="403"/>
      <c r="CH16" s="403"/>
      <c r="CI16" s="403"/>
      <c r="CJ16" s="403"/>
      <c r="CK16" s="403"/>
      <c r="CL16" s="403"/>
      <c r="CM16" s="403"/>
      <c r="CN16" s="403"/>
      <c r="CO16" s="403"/>
      <c r="CP16" s="403"/>
      <c r="CQ16" s="403"/>
      <c r="CR16" s="403"/>
      <c r="CS16" s="403"/>
      <c r="CT16" s="403"/>
      <c r="CU16" s="403"/>
      <c r="CV16" s="403"/>
      <c r="CW16" s="403"/>
      <c r="CX16" s="403"/>
      <c r="CY16" s="403"/>
      <c r="CZ16" s="403"/>
      <c r="DA16" s="403"/>
      <c r="DB16" s="403"/>
      <c r="DC16" s="403"/>
      <c r="DD16" s="403"/>
      <c r="DE16" s="403"/>
      <c r="DF16" s="403"/>
      <c r="DG16" s="403"/>
      <c r="DH16" s="403"/>
      <c r="DI16" s="403"/>
      <c r="DJ16" s="403"/>
      <c r="DK16" s="403"/>
      <c r="DL16" s="403"/>
      <c r="DM16" s="403"/>
      <c r="DN16" s="403"/>
      <c r="DO16" s="403"/>
      <c r="DP16" s="403"/>
      <c r="DQ16" s="403"/>
      <c r="DR16" s="403"/>
      <c r="DS16" s="403"/>
      <c r="DT16" s="403"/>
      <c r="DU16" s="403"/>
      <c r="DV16" s="403"/>
      <c r="DW16" s="403"/>
      <c r="DX16" s="403"/>
      <c r="DY16" s="403"/>
      <c r="DZ16" s="403"/>
      <c r="EA16" s="403"/>
      <c r="EB16" s="403"/>
      <c r="EC16" s="403"/>
      <c r="ED16" s="403"/>
      <c r="EE16" s="403"/>
      <c r="EF16" s="403"/>
      <c r="EG16" s="403"/>
      <c r="EH16" s="403"/>
      <c r="EI16" s="403"/>
      <c r="EJ16" s="403"/>
      <c r="EK16" s="403"/>
      <c r="EL16" s="403"/>
      <c r="EM16" s="403"/>
      <c r="EN16" s="403"/>
      <c r="EO16" s="403"/>
      <c r="EP16" s="403"/>
      <c r="EQ16" s="403"/>
      <c r="ER16" s="403"/>
      <c r="ES16" s="403"/>
      <c r="ET16" s="403"/>
      <c r="EU16" s="403"/>
      <c r="EV16" s="403"/>
      <c r="EW16" s="403"/>
      <c r="EX16" s="403"/>
      <c r="EY16" s="403"/>
      <c r="EZ16" s="403"/>
      <c r="FA16" s="403"/>
      <c r="FB16" s="403"/>
      <c r="FC16" s="403"/>
      <c r="FD16" s="403"/>
      <c r="FE16" s="403"/>
      <c r="FF16" s="403"/>
      <c r="FG16" s="403"/>
      <c r="FH16" s="403"/>
      <c r="FI16" s="403"/>
      <c r="FJ16" s="403"/>
      <c r="FK16" s="403"/>
      <c r="FL16" s="403"/>
      <c r="FM16" s="403"/>
      <c r="FN16" s="403"/>
      <c r="FO16" s="403"/>
      <c r="FP16" s="403"/>
      <c r="FQ16" s="403"/>
      <c r="FR16" s="403"/>
      <c r="FS16" s="403"/>
      <c r="FT16" s="403"/>
      <c r="FU16" s="403"/>
      <c r="FV16" s="403"/>
      <c r="FW16" s="403"/>
      <c r="FX16" s="403"/>
      <c r="FY16" s="403"/>
      <c r="FZ16" s="403"/>
      <c r="GA16" s="403"/>
      <c r="GB16" s="403"/>
      <c r="GC16" s="403"/>
      <c r="GD16" s="403"/>
      <c r="GE16" s="403"/>
      <c r="GF16" s="403"/>
      <c r="GG16" s="403"/>
      <c r="GH16" s="403"/>
      <c r="GI16" s="403"/>
      <c r="GJ16" s="403"/>
      <c r="GK16" s="403"/>
      <c r="GL16" s="403"/>
      <c r="GM16" s="403"/>
      <c r="GN16" s="403"/>
      <c r="GO16" s="403"/>
      <c r="GP16" s="403"/>
      <c r="GQ16" s="403"/>
      <c r="GR16" s="403"/>
      <c r="GS16" s="403"/>
      <c r="GT16" s="403"/>
      <c r="GU16" s="403"/>
      <c r="GV16" s="403"/>
      <c r="GW16" s="403"/>
      <c r="GX16" s="403"/>
      <c r="GY16" s="403"/>
      <c r="GZ16" s="403"/>
      <c r="HA16" s="403"/>
      <c r="HB16" s="403"/>
      <c r="HC16" s="403"/>
      <c r="HD16" s="403"/>
      <c r="HE16" s="403"/>
      <c r="HF16" s="403"/>
      <c r="HG16" s="403"/>
      <c r="HH16" s="403"/>
      <c r="HI16" s="403"/>
      <c r="HJ16" s="403"/>
      <c r="HK16" s="403"/>
      <c r="HL16" s="403"/>
      <c r="HM16" s="403"/>
      <c r="HN16" s="403"/>
      <c r="HO16" s="403"/>
      <c r="HP16" s="403"/>
      <c r="HQ16" s="403"/>
      <c r="HR16" s="403"/>
    </row>
    <row r="17" spans="1:226" x14ac:dyDescent="0.25">
      <c r="A17" s="33"/>
      <c r="B17" s="33"/>
      <c r="C17" s="37"/>
      <c r="D17" s="37"/>
      <c r="E17" s="33"/>
      <c r="F17" s="27"/>
      <c r="G17" s="27"/>
      <c r="H17" s="140"/>
      <c r="I17" s="166"/>
      <c r="J17" s="27"/>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c r="AT17" s="27"/>
      <c r="AU17" s="27"/>
      <c r="AV17" s="27"/>
      <c r="AW17" s="27"/>
      <c r="AX17" s="27"/>
      <c r="AY17" s="27"/>
      <c r="AZ17" s="27"/>
      <c r="BA17" s="27"/>
      <c r="BB17" s="27"/>
      <c r="BC17" s="27"/>
      <c r="BD17" s="27"/>
      <c r="BE17" s="27"/>
      <c r="BF17" s="27"/>
      <c r="BG17" s="27"/>
      <c r="BH17" s="27"/>
      <c r="BI17" s="27"/>
      <c r="BJ17" s="27"/>
      <c r="BK17" s="27"/>
      <c r="BL17" s="27"/>
      <c r="BM17" s="27"/>
      <c r="BN17" s="27"/>
      <c r="BO17" s="27"/>
      <c r="BP17" s="27"/>
      <c r="BQ17" s="27"/>
      <c r="BR17" s="27"/>
      <c r="BS17" s="27"/>
      <c r="BT17" s="27"/>
      <c r="BU17" s="27"/>
      <c r="BV17" s="27"/>
      <c r="BW17" s="27"/>
      <c r="BX17" s="27"/>
      <c r="BY17" s="27"/>
      <c r="BZ17" s="27"/>
      <c r="CA17" s="27"/>
      <c r="CB17" s="27"/>
      <c r="CC17" s="27"/>
      <c r="CD17" s="27"/>
      <c r="CE17" s="27"/>
      <c r="CF17" s="27"/>
      <c r="CG17" s="27"/>
      <c r="CH17" s="27"/>
      <c r="CI17" s="27"/>
      <c r="CJ17" s="27"/>
      <c r="CK17" s="27"/>
      <c r="CL17" s="27"/>
      <c r="CM17" s="27"/>
      <c r="CN17" s="27"/>
      <c r="CO17" s="27"/>
      <c r="CP17" s="27"/>
      <c r="CQ17" s="27"/>
      <c r="CR17" s="27"/>
      <c r="CS17" s="27"/>
      <c r="CT17" s="27"/>
      <c r="CU17" s="27"/>
      <c r="CV17" s="27"/>
      <c r="CW17" s="27"/>
      <c r="CX17" s="27"/>
      <c r="CY17" s="27"/>
      <c r="CZ17" s="27"/>
      <c r="DA17" s="27"/>
      <c r="DB17" s="27"/>
      <c r="DC17" s="27"/>
      <c r="DD17" s="27"/>
      <c r="DE17" s="27"/>
      <c r="DF17" s="27"/>
      <c r="DG17" s="27"/>
      <c r="DH17" s="27"/>
      <c r="DI17" s="27"/>
      <c r="DJ17" s="27"/>
      <c r="DK17" s="27"/>
      <c r="DL17" s="27"/>
      <c r="DM17" s="27"/>
      <c r="DN17" s="27"/>
      <c r="DO17" s="27"/>
      <c r="DP17" s="27"/>
      <c r="DQ17" s="27"/>
      <c r="DR17" s="27"/>
      <c r="DS17" s="27"/>
      <c r="DT17" s="27"/>
      <c r="DU17" s="27"/>
      <c r="DV17" s="27"/>
      <c r="DW17" s="27"/>
      <c r="DX17" s="27"/>
      <c r="DY17" s="27"/>
      <c r="DZ17" s="27"/>
      <c r="EA17" s="27"/>
      <c r="EB17" s="27"/>
      <c r="EC17" s="27"/>
      <c r="ED17" s="27"/>
      <c r="EE17" s="27"/>
      <c r="EF17" s="27"/>
      <c r="EG17" s="27"/>
      <c r="EH17" s="27"/>
      <c r="EI17" s="27"/>
      <c r="EJ17" s="27"/>
      <c r="EK17" s="27"/>
      <c r="EL17" s="27"/>
      <c r="EM17" s="27"/>
      <c r="EN17" s="27"/>
      <c r="EO17" s="27"/>
      <c r="EP17" s="27"/>
      <c r="EQ17" s="27"/>
      <c r="ER17" s="27"/>
      <c r="ES17" s="27"/>
      <c r="ET17" s="27"/>
      <c r="EU17" s="27"/>
      <c r="EV17" s="27"/>
      <c r="EW17" s="27"/>
      <c r="EX17" s="27"/>
      <c r="EY17" s="27"/>
      <c r="EZ17" s="27"/>
      <c r="FA17" s="27"/>
      <c r="FB17" s="27"/>
      <c r="FC17" s="27"/>
      <c r="FD17" s="27"/>
      <c r="FE17" s="27"/>
      <c r="FF17" s="27"/>
      <c r="FG17" s="27"/>
      <c r="FH17" s="27"/>
      <c r="FI17" s="27"/>
      <c r="FJ17" s="27"/>
      <c r="FK17" s="27"/>
      <c r="FL17" s="27"/>
      <c r="FM17" s="27"/>
      <c r="FN17" s="27"/>
      <c r="FO17" s="27"/>
      <c r="FP17" s="27"/>
      <c r="FQ17" s="27"/>
      <c r="FR17" s="27"/>
      <c r="FS17" s="27"/>
      <c r="FT17" s="27"/>
      <c r="FU17" s="27"/>
      <c r="FV17" s="27"/>
      <c r="FW17" s="27"/>
      <c r="FX17" s="27"/>
      <c r="FY17" s="27"/>
      <c r="FZ17" s="27"/>
      <c r="GA17" s="27"/>
      <c r="GB17" s="27"/>
      <c r="GC17" s="27"/>
      <c r="GD17" s="27"/>
      <c r="GE17" s="27"/>
      <c r="GF17" s="27"/>
      <c r="GG17" s="27"/>
      <c r="GH17" s="27"/>
      <c r="GI17" s="27"/>
      <c r="GJ17" s="27"/>
      <c r="GK17" s="27"/>
      <c r="GL17" s="27"/>
      <c r="GM17" s="27"/>
      <c r="GN17" s="27"/>
      <c r="GO17" s="27"/>
      <c r="GP17" s="27"/>
      <c r="GQ17" s="27"/>
      <c r="GR17" s="27"/>
      <c r="GS17" s="27"/>
      <c r="GT17" s="27"/>
      <c r="GU17" s="27"/>
      <c r="GV17" s="27"/>
      <c r="GW17" s="27"/>
      <c r="GX17" s="27"/>
      <c r="GY17" s="27"/>
      <c r="GZ17" s="27"/>
      <c r="HA17" s="27"/>
      <c r="HB17" s="27"/>
      <c r="HC17" s="27"/>
      <c r="HD17" s="27"/>
      <c r="HE17" s="27"/>
      <c r="HF17" s="27"/>
      <c r="HG17" s="27"/>
      <c r="HH17" s="27"/>
      <c r="HI17" s="27"/>
      <c r="HJ17" s="27"/>
      <c r="HK17" s="27"/>
      <c r="HL17" s="27"/>
      <c r="HM17" s="27"/>
      <c r="HN17" s="27"/>
      <c r="HO17" s="27"/>
      <c r="HP17" s="27"/>
      <c r="HQ17" s="27"/>
      <c r="HR17" s="27"/>
    </row>
    <row r="18" spans="1:226" ht="13.8" x14ac:dyDescent="0.25">
      <c r="A18" s="32" t="s">
        <v>117</v>
      </c>
      <c r="B18" s="32"/>
      <c r="C18" s="983">
        <v>6</v>
      </c>
      <c r="D18" s="33"/>
      <c r="E18" s="33"/>
      <c r="F18" s="27"/>
      <c r="G18" s="27"/>
      <c r="H18" s="27"/>
      <c r="J18" s="27"/>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c r="AT18" s="27"/>
      <c r="AU18" s="27"/>
      <c r="AV18" s="27"/>
      <c r="AW18" s="27"/>
      <c r="AX18" s="27"/>
      <c r="AY18" s="27"/>
      <c r="AZ18" s="27"/>
      <c r="BA18" s="27"/>
      <c r="BB18" s="27"/>
      <c r="BC18" s="27"/>
      <c r="BD18" s="27"/>
      <c r="BE18" s="27"/>
      <c r="BF18" s="27"/>
      <c r="BG18" s="27"/>
      <c r="BH18" s="27"/>
      <c r="BI18" s="27"/>
      <c r="BJ18" s="27"/>
      <c r="BK18" s="27"/>
      <c r="BL18" s="27"/>
      <c r="BM18" s="27"/>
      <c r="BN18" s="27"/>
      <c r="BO18" s="27"/>
      <c r="BP18" s="27"/>
      <c r="BQ18" s="27"/>
      <c r="BR18" s="27"/>
      <c r="BS18" s="27"/>
      <c r="BT18" s="27"/>
      <c r="BU18" s="27"/>
      <c r="BV18" s="27"/>
      <c r="BW18" s="27"/>
      <c r="BX18" s="27"/>
      <c r="BY18" s="27"/>
      <c r="BZ18" s="27"/>
      <c r="CA18" s="27"/>
      <c r="CB18" s="27"/>
      <c r="CC18" s="27"/>
      <c r="CD18" s="27"/>
      <c r="CE18" s="27"/>
      <c r="CF18" s="27"/>
      <c r="CG18" s="27"/>
      <c r="CH18" s="27"/>
      <c r="CI18" s="27"/>
      <c r="CJ18" s="27"/>
      <c r="CK18" s="27"/>
      <c r="CL18" s="27"/>
      <c r="CM18" s="27"/>
      <c r="CN18" s="27"/>
      <c r="CO18" s="27"/>
      <c r="CP18" s="27"/>
      <c r="CQ18" s="27"/>
      <c r="CR18" s="27"/>
      <c r="CS18" s="27"/>
      <c r="CT18" s="27"/>
      <c r="CU18" s="27"/>
      <c r="CV18" s="27"/>
      <c r="CW18" s="27"/>
      <c r="CX18" s="27"/>
      <c r="CY18" s="27"/>
      <c r="CZ18" s="27"/>
      <c r="DA18" s="27"/>
      <c r="DB18" s="27"/>
      <c r="DC18" s="27"/>
      <c r="DD18" s="27"/>
      <c r="DE18" s="27"/>
      <c r="DF18" s="27"/>
      <c r="DG18" s="27"/>
      <c r="DH18" s="27"/>
      <c r="DI18" s="27"/>
      <c r="DJ18" s="27"/>
      <c r="DK18" s="27"/>
      <c r="DL18" s="27"/>
      <c r="DM18" s="27"/>
      <c r="DN18" s="27"/>
      <c r="DO18" s="27"/>
      <c r="DP18" s="27"/>
      <c r="DQ18" s="27"/>
      <c r="DR18" s="27"/>
      <c r="DS18" s="27"/>
      <c r="DT18" s="27"/>
      <c r="DU18" s="27"/>
      <c r="DV18" s="27"/>
      <c r="DW18" s="27"/>
      <c r="DX18" s="27"/>
      <c r="DY18" s="27"/>
      <c r="DZ18" s="27"/>
      <c r="EA18" s="27"/>
      <c r="EB18" s="27"/>
      <c r="EC18" s="27"/>
      <c r="ED18" s="27"/>
      <c r="EE18" s="27"/>
      <c r="EF18" s="27"/>
      <c r="EG18" s="27"/>
      <c r="EH18" s="27"/>
      <c r="EI18" s="27"/>
      <c r="EJ18" s="27"/>
      <c r="EK18" s="27"/>
      <c r="EL18" s="27"/>
      <c r="EM18" s="27"/>
      <c r="EN18" s="27"/>
      <c r="EO18" s="27"/>
      <c r="EP18" s="27"/>
      <c r="EQ18" s="27"/>
      <c r="ER18" s="27"/>
      <c r="ES18" s="27"/>
      <c r="ET18" s="27"/>
      <c r="EU18" s="27"/>
      <c r="EV18" s="27"/>
      <c r="EW18" s="27"/>
      <c r="EX18" s="27"/>
      <c r="EY18" s="27"/>
      <c r="EZ18" s="27"/>
      <c r="FA18" s="27"/>
      <c r="FB18" s="27"/>
      <c r="FC18" s="27"/>
      <c r="FD18" s="27"/>
      <c r="FE18" s="27"/>
      <c r="FF18" s="27"/>
      <c r="FG18" s="27"/>
      <c r="FH18" s="27"/>
      <c r="FI18" s="27"/>
      <c r="FJ18" s="27"/>
      <c r="FK18" s="27"/>
      <c r="FL18" s="27"/>
      <c r="FM18" s="27"/>
      <c r="FN18" s="27"/>
      <c r="FO18" s="27"/>
      <c r="FP18" s="27"/>
      <c r="FQ18" s="27"/>
      <c r="FR18" s="27"/>
      <c r="FS18" s="27"/>
      <c r="FT18" s="27"/>
      <c r="FU18" s="27"/>
      <c r="FV18" s="27"/>
      <c r="FW18" s="27"/>
      <c r="FX18" s="27"/>
      <c r="FY18" s="27"/>
      <c r="FZ18" s="27"/>
      <c r="GA18" s="27"/>
      <c r="GB18" s="27"/>
      <c r="GC18" s="27"/>
      <c r="GD18" s="27"/>
      <c r="GE18" s="27"/>
      <c r="GF18" s="27"/>
      <c r="GG18" s="27"/>
      <c r="GH18" s="27"/>
      <c r="GI18" s="27"/>
      <c r="GJ18" s="27"/>
      <c r="GK18" s="27"/>
      <c r="GL18" s="27"/>
      <c r="GM18" s="27"/>
      <c r="GN18" s="27"/>
      <c r="GO18" s="27"/>
      <c r="GP18" s="27"/>
      <c r="GQ18" s="27"/>
      <c r="GR18" s="27"/>
      <c r="GS18" s="27"/>
      <c r="GT18" s="27"/>
      <c r="GU18" s="27"/>
      <c r="GV18" s="27"/>
      <c r="GW18" s="27"/>
      <c r="GX18" s="27"/>
      <c r="GY18" s="27"/>
      <c r="GZ18" s="27"/>
      <c r="HA18" s="27"/>
      <c r="HB18" s="27"/>
      <c r="HC18" s="27"/>
      <c r="HD18" s="27"/>
      <c r="HE18" s="27"/>
      <c r="HF18" s="27"/>
      <c r="HG18" s="27"/>
      <c r="HH18" s="27"/>
      <c r="HI18" s="27"/>
      <c r="HJ18" s="27"/>
      <c r="HK18" s="27"/>
      <c r="HL18" s="27"/>
      <c r="HM18" s="27"/>
      <c r="HN18" s="27"/>
      <c r="HO18" s="27"/>
      <c r="HP18" s="27"/>
      <c r="HQ18" s="27"/>
      <c r="HR18" s="27"/>
    </row>
    <row r="19" spans="1:226" x14ac:dyDescent="0.25">
      <c r="A19" s="32" t="s">
        <v>303</v>
      </c>
      <c r="B19" s="32"/>
      <c r="C19" s="904" t="str">
        <f>CARAT_!F54</f>
        <v>MES DE DICIEMBRE DE 2022</v>
      </c>
      <c r="D19" s="33"/>
      <c r="E19" s="33"/>
      <c r="F19" s="27"/>
      <c r="G19" s="27"/>
      <c r="H19" s="140"/>
      <c r="I19" s="27"/>
      <c r="J19" s="27"/>
      <c r="K19" s="27"/>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c r="AT19" s="27"/>
      <c r="AU19" s="27"/>
      <c r="AV19" s="27"/>
      <c r="AW19" s="27"/>
      <c r="AX19" s="27"/>
      <c r="AY19" s="27"/>
      <c r="AZ19" s="27"/>
      <c r="BA19" s="27"/>
      <c r="BB19" s="27"/>
      <c r="BC19" s="27"/>
      <c r="BD19" s="27"/>
      <c r="BE19" s="27"/>
      <c r="BF19" s="27"/>
      <c r="BG19" s="27"/>
      <c r="BH19" s="27"/>
      <c r="BI19" s="27"/>
      <c r="BJ19" s="27"/>
      <c r="BK19" s="27"/>
      <c r="BL19" s="27"/>
      <c r="BM19" s="27"/>
      <c r="BN19" s="27"/>
      <c r="BO19" s="27"/>
      <c r="BP19" s="27"/>
      <c r="BQ19" s="27"/>
      <c r="BR19" s="27"/>
      <c r="BS19" s="27"/>
      <c r="BT19" s="27"/>
      <c r="BU19" s="27"/>
      <c r="BV19" s="27"/>
      <c r="BW19" s="27"/>
      <c r="BX19" s="27"/>
      <c r="BY19" s="27"/>
      <c r="BZ19" s="27"/>
      <c r="CA19" s="27"/>
      <c r="CB19" s="27"/>
      <c r="CC19" s="27"/>
      <c r="CD19" s="27"/>
      <c r="CE19" s="27"/>
      <c r="CF19" s="27"/>
      <c r="CG19" s="27"/>
      <c r="CH19" s="27"/>
      <c r="CI19" s="27"/>
      <c r="CJ19" s="27"/>
      <c r="CK19" s="27"/>
      <c r="CL19" s="27"/>
      <c r="CM19" s="27"/>
      <c r="CN19" s="27"/>
      <c r="CO19" s="27"/>
      <c r="CP19" s="27"/>
      <c r="CQ19" s="27"/>
      <c r="CR19" s="27"/>
      <c r="CS19" s="27"/>
      <c r="CT19" s="27"/>
      <c r="CU19" s="27"/>
      <c r="CV19" s="27"/>
      <c r="CW19" s="27"/>
      <c r="CX19" s="27"/>
      <c r="CY19" s="27"/>
      <c r="CZ19" s="27"/>
      <c r="DA19" s="27"/>
      <c r="DB19" s="27"/>
      <c r="DC19" s="27"/>
      <c r="DD19" s="27"/>
      <c r="DE19" s="27"/>
      <c r="DF19" s="27"/>
      <c r="DG19" s="27"/>
      <c r="DH19" s="27"/>
      <c r="DI19" s="27"/>
      <c r="DJ19" s="27"/>
      <c r="DK19" s="27"/>
      <c r="DL19" s="27"/>
      <c r="DM19" s="27"/>
      <c r="DN19" s="27"/>
      <c r="DO19" s="27"/>
      <c r="DP19" s="27"/>
      <c r="DQ19" s="27"/>
      <c r="DR19" s="27"/>
      <c r="DS19" s="27"/>
      <c r="DT19" s="27"/>
      <c r="DU19" s="27"/>
      <c r="DV19" s="27"/>
      <c r="DW19" s="27"/>
      <c r="DX19" s="27"/>
      <c r="DY19" s="27"/>
      <c r="DZ19" s="27"/>
      <c r="EA19" s="27"/>
      <c r="EB19" s="27"/>
      <c r="EC19" s="27"/>
      <c r="ED19" s="27"/>
      <c r="EE19" s="27"/>
      <c r="EF19" s="27"/>
      <c r="EG19" s="27"/>
      <c r="EH19" s="27"/>
      <c r="EI19" s="27"/>
      <c r="EJ19" s="27"/>
      <c r="EK19" s="27"/>
      <c r="EL19" s="27"/>
      <c r="EM19" s="27"/>
      <c r="EN19" s="27"/>
      <c r="EO19" s="27"/>
      <c r="EP19" s="27"/>
      <c r="EQ19" s="27"/>
      <c r="ER19" s="27"/>
      <c r="ES19" s="27"/>
      <c r="ET19" s="27"/>
      <c r="EU19" s="27"/>
      <c r="EV19" s="27"/>
      <c r="EW19" s="27"/>
      <c r="EX19" s="27"/>
      <c r="EY19" s="27"/>
      <c r="EZ19" s="27"/>
      <c r="FA19" s="27"/>
      <c r="FB19" s="27"/>
      <c r="FC19" s="27"/>
      <c r="FD19" s="27"/>
      <c r="FE19" s="27"/>
      <c r="FF19" s="27"/>
      <c r="FG19" s="27"/>
      <c r="FH19" s="27"/>
      <c r="FI19" s="27"/>
      <c r="FJ19" s="27"/>
      <c r="FK19" s="27"/>
      <c r="FL19" s="27"/>
      <c r="FM19" s="27"/>
      <c r="FN19" s="27"/>
      <c r="FO19" s="27"/>
      <c r="FP19" s="27"/>
      <c r="FQ19" s="27"/>
      <c r="FR19" s="27"/>
      <c r="FS19" s="27"/>
      <c r="FT19" s="27"/>
      <c r="FU19" s="27"/>
      <c r="FV19" s="27"/>
      <c r="FW19" s="27"/>
      <c r="FX19" s="27"/>
      <c r="FY19" s="27"/>
      <c r="FZ19" s="27"/>
      <c r="GA19" s="27"/>
      <c r="GB19" s="27"/>
      <c r="GC19" s="27"/>
      <c r="GD19" s="27"/>
      <c r="GE19" s="27"/>
      <c r="GF19" s="27"/>
      <c r="GG19" s="27"/>
      <c r="GH19" s="27"/>
      <c r="GI19" s="27"/>
      <c r="GJ19" s="27"/>
      <c r="GK19" s="27"/>
      <c r="GL19" s="27"/>
      <c r="GM19" s="27"/>
      <c r="GN19" s="27"/>
      <c r="GO19" s="27"/>
      <c r="GP19" s="27"/>
      <c r="GQ19" s="27"/>
      <c r="GR19" s="27"/>
      <c r="GS19" s="27"/>
      <c r="GT19" s="27"/>
      <c r="GU19" s="27"/>
      <c r="GV19" s="27"/>
      <c r="GW19" s="27"/>
      <c r="GX19" s="27"/>
      <c r="GY19" s="27"/>
      <c r="GZ19" s="27"/>
      <c r="HA19" s="27"/>
      <c r="HB19" s="27"/>
      <c r="HC19" s="27"/>
      <c r="HD19" s="27"/>
      <c r="HE19" s="27"/>
      <c r="HF19" s="27"/>
      <c r="HG19" s="27"/>
      <c r="HH19" s="27"/>
      <c r="HI19" s="27"/>
      <c r="HJ19" s="27"/>
      <c r="HK19" s="27"/>
      <c r="HL19" s="27"/>
      <c r="HM19" s="27"/>
      <c r="HN19" s="27"/>
      <c r="HO19" s="27"/>
      <c r="HP19" s="27"/>
      <c r="HQ19" s="27"/>
      <c r="HR19" s="27"/>
    </row>
    <row r="20" spans="1:226" x14ac:dyDescent="0.25">
      <c r="A20" s="33"/>
      <c r="B20" s="33"/>
      <c r="C20" s="33"/>
      <c r="D20" s="33"/>
      <c r="E20" s="27" t="s">
        <v>88</v>
      </c>
      <c r="F20" s="27"/>
      <c r="G20" s="27"/>
      <c r="H20" s="27"/>
      <c r="I20" s="27"/>
      <c r="J20" s="27"/>
      <c r="K20" s="27"/>
      <c r="L20" s="27"/>
      <c r="M20" s="27"/>
      <c r="N20" s="27"/>
      <c r="O20" s="27"/>
      <c r="P20" s="27"/>
      <c r="Q20" s="27"/>
      <c r="R20" s="27"/>
      <c r="S20" s="27"/>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c r="AZ20" s="27"/>
      <c r="BA20" s="27"/>
      <c r="BB20" s="27"/>
      <c r="BC20" s="27"/>
      <c r="BD20" s="27"/>
      <c r="BE20" s="27"/>
      <c r="BF20" s="27"/>
      <c r="BG20" s="27"/>
      <c r="BH20" s="27"/>
      <c r="BI20" s="27"/>
      <c r="BJ20" s="27"/>
      <c r="BK20" s="27"/>
      <c r="BL20" s="27"/>
      <c r="BM20" s="27"/>
      <c r="BN20" s="27"/>
      <c r="BO20" s="27"/>
      <c r="BP20" s="27"/>
      <c r="BQ20" s="27"/>
      <c r="BR20" s="27"/>
      <c r="BS20" s="27"/>
      <c r="BT20" s="27"/>
      <c r="BU20" s="27"/>
      <c r="BV20" s="27"/>
      <c r="BW20" s="27"/>
      <c r="BX20" s="27"/>
      <c r="BY20" s="27"/>
      <c r="BZ20" s="27"/>
      <c r="CA20" s="27"/>
      <c r="CB20" s="27"/>
      <c r="CC20" s="27"/>
      <c r="CD20" s="27"/>
      <c r="CE20" s="27"/>
      <c r="CF20" s="27"/>
      <c r="CG20" s="27"/>
      <c r="CH20" s="27"/>
      <c r="CI20" s="27"/>
      <c r="CJ20" s="27"/>
      <c r="CK20" s="27"/>
      <c r="CL20" s="27"/>
      <c r="CM20" s="27"/>
      <c r="CN20" s="27"/>
      <c r="CO20" s="27"/>
      <c r="CP20" s="27"/>
      <c r="CQ20" s="27"/>
      <c r="CR20" s="27"/>
      <c r="CS20" s="27"/>
      <c r="CT20" s="27"/>
      <c r="CU20" s="27"/>
      <c r="CV20" s="27"/>
      <c r="CW20" s="27"/>
      <c r="CX20" s="27"/>
      <c r="CY20" s="27"/>
      <c r="CZ20" s="27"/>
      <c r="DA20" s="27"/>
      <c r="DB20" s="27"/>
      <c r="DC20" s="27"/>
      <c r="DD20" s="27"/>
      <c r="DE20" s="27"/>
      <c r="DF20" s="27"/>
      <c r="DG20" s="27"/>
      <c r="DH20" s="27"/>
      <c r="DI20" s="27"/>
      <c r="DJ20" s="27"/>
      <c r="DK20" s="27"/>
      <c r="DL20" s="27"/>
      <c r="DM20" s="27"/>
      <c r="DN20" s="27"/>
      <c r="DO20" s="27"/>
      <c r="DP20" s="27"/>
      <c r="DQ20" s="27"/>
      <c r="DR20" s="27"/>
      <c r="DS20" s="27"/>
      <c r="DT20" s="27"/>
      <c r="DU20" s="27"/>
      <c r="DV20" s="27"/>
      <c r="DW20" s="27"/>
      <c r="DX20" s="27"/>
      <c r="DY20" s="27"/>
      <c r="DZ20" s="27"/>
      <c r="EA20" s="27"/>
      <c r="EB20" s="27"/>
      <c r="EC20" s="27"/>
      <c r="ED20" s="27"/>
      <c r="EE20" s="27"/>
      <c r="EF20" s="27"/>
      <c r="EG20" s="27"/>
      <c r="EH20" s="27"/>
      <c r="EI20" s="27"/>
      <c r="EJ20" s="27"/>
      <c r="EK20" s="27"/>
      <c r="EL20" s="27"/>
      <c r="EM20" s="27"/>
      <c r="EN20" s="27"/>
      <c r="EO20" s="27"/>
      <c r="EP20" s="27"/>
      <c r="EQ20" s="27"/>
      <c r="ER20" s="27"/>
      <c r="ES20" s="27"/>
      <c r="ET20" s="27"/>
      <c r="EU20" s="27"/>
      <c r="EV20" s="27"/>
      <c r="EW20" s="27"/>
      <c r="EX20" s="27"/>
      <c r="EY20" s="27"/>
      <c r="EZ20" s="27"/>
      <c r="FA20" s="27"/>
      <c r="FB20" s="27"/>
      <c r="FC20" s="27"/>
      <c r="FD20" s="27"/>
      <c r="FE20" s="27"/>
      <c r="FF20" s="27"/>
      <c r="FG20" s="27"/>
      <c r="FH20" s="27"/>
      <c r="FI20" s="27"/>
      <c r="FJ20" s="27"/>
      <c r="FK20" s="27"/>
      <c r="FL20" s="27"/>
      <c r="FM20" s="27"/>
      <c r="FN20" s="27"/>
      <c r="FO20" s="27"/>
      <c r="FP20" s="27"/>
      <c r="FQ20" s="27"/>
      <c r="FR20" s="27"/>
      <c r="FS20" s="27"/>
      <c r="FT20" s="27"/>
      <c r="FU20" s="27"/>
      <c r="FV20" s="27"/>
      <c r="FW20" s="27"/>
      <c r="FX20" s="27"/>
      <c r="FY20" s="27"/>
      <c r="FZ20" s="27"/>
      <c r="GA20" s="27"/>
      <c r="GB20" s="27"/>
      <c r="GC20" s="27"/>
      <c r="GD20" s="27"/>
      <c r="GE20" s="27"/>
      <c r="GF20" s="27"/>
      <c r="GG20" s="27"/>
      <c r="GH20" s="27"/>
      <c r="GI20" s="27"/>
      <c r="GJ20" s="27"/>
      <c r="GK20" s="27"/>
      <c r="GL20" s="27"/>
      <c r="GM20" s="27"/>
      <c r="GN20" s="27"/>
      <c r="GO20" s="27"/>
      <c r="GP20" s="27"/>
      <c r="GQ20" s="27"/>
      <c r="GR20" s="27"/>
      <c r="GS20" s="27"/>
      <c r="GT20" s="27"/>
      <c r="GU20" s="27"/>
      <c r="GV20" s="27"/>
      <c r="GW20" s="27"/>
      <c r="GX20" s="27"/>
      <c r="GY20" s="27"/>
      <c r="GZ20" s="27"/>
      <c r="HA20" s="27"/>
      <c r="HB20" s="27"/>
      <c r="HC20" s="27"/>
      <c r="HD20" s="27"/>
      <c r="HE20" s="27"/>
      <c r="HF20" s="27"/>
      <c r="HG20" s="27"/>
      <c r="HH20" s="27"/>
      <c r="HI20" s="27"/>
      <c r="HJ20" s="27"/>
      <c r="HK20" s="27"/>
      <c r="HL20" s="27"/>
      <c r="HM20" s="27"/>
      <c r="HN20" s="27"/>
      <c r="HO20" s="27"/>
      <c r="HP20" s="27"/>
      <c r="HQ20" s="27"/>
      <c r="HR20" s="27"/>
    </row>
    <row r="21" spans="1:226" x14ac:dyDescent="0.25">
      <c r="A21" s="38" t="s">
        <v>118</v>
      </c>
      <c r="B21" s="174"/>
      <c r="C21" s="27"/>
      <c r="D21" s="27"/>
      <c r="E21" s="27"/>
      <c r="F21" s="27"/>
      <c r="G21" s="27"/>
      <c r="H21" s="27"/>
      <c r="I21" s="27"/>
      <c r="J21" s="27"/>
      <c r="K21" s="27"/>
      <c r="L21" s="27"/>
      <c r="M21" s="27"/>
      <c r="N21" s="27"/>
      <c r="O21" s="27"/>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c r="AZ21" s="27"/>
      <c r="BA21" s="27"/>
      <c r="BB21" s="27"/>
      <c r="BC21" s="27"/>
      <c r="BD21" s="27"/>
      <c r="BE21" s="27"/>
      <c r="BF21" s="27"/>
      <c r="BG21" s="27"/>
      <c r="BH21" s="27"/>
      <c r="BI21" s="27"/>
      <c r="BJ21" s="27"/>
      <c r="BK21" s="27"/>
      <c r="BL21" s="27"/>
      <c r="BM21" s="27"/>
      <c r="BN21" s="27"/>
      <c r="BO21" s="27"/>
      <c r="BP21" s="27"/>
      <c r="BQ21" s="27"/>
      <c r="BR21" s="27"/>
      <c r="BS21" s="27"/>
      <c r="BT21" s="27"/>
      <c r="BU21" s="27"/>
      <c r="BV21" s="27"/>
      <c r="BW21" s="27"/>
      <c r="BX21" s="27"/>
      <c r="BY21" s="27"/>
      <c r="BZ21" s="27"/>
      <c r="CA21" s="27"/>
      <c r="CB21" s="27"/>
      <c r="CC21" s="27"/>
      <c r="CD21" s="27"/>
      <c r="CE21" s="27"/>
      <c r="CF21" s="27"/>
      <c r="CG21" s="27"/>
      <c r="CH21" s="27"/>
      <c r="CI21" s="27"/>
      <c r="CJ21" s="27"/>
      <c r="CK21" s="27"/>
      <c r="CL21" s="27"/>
      <c r="CM21" s="27"/>
      <c r="CN21" s="27"/>
      <c r="CO21" s="27"/>
      <c r="CP21" s="27"/>
      <c r="CQ21" s="27"/>
      <c r="CR21" s="27"/>
      <c r="CS21" s="27"/>
      <c r="CT21" s="27"/>
      <c r="CU21" s="27"/>
      <c r="CV21" s="27"/>
      <c r="CW21" s="27"/>
      <c r="CX21" s="27"/>
      <c r="CY21" s="27"/>
      <c r="CZ21" s="27"/>
      <c r="DA21" s="27"/>
      <c r="DB21" s="27"/>
      <c r="DC21" s="27"/>
      <c r="DD21" s="27"/>
      <c r="DE21" s="27"/>
      <c r="DF21" s="27"/>
      <c r="DG21" s="27"/>
      <c r="DH21" s="27"/>
      <c r="DI21" s="27"/>
      <c r="DJ21" s="27"/>
      <c r="DK21" s="27"/>
      <c r="DL21" s="27"/>
      <c r="DM21" s="27"/>
      <c r="DN21" s="27"/>
      <c r="DO21" s="27"/>
      <c r="DP21" s="27"/>
      <c r="DQ21" s="27"/>
      <c r="DR21" s="27"/>
      <c r="DS21" s="27"/>
      <c r="DT21" s="27"/>
      <c r="DU21" s="27"/>
      <c r="DV21" s="27"/>
      <c r="DW21" s="27"/>
      <c r="DX21" s="27"/>
      <c r="DY21" s="27"/>
      <c r="DZ21" s="27"/>
      <c r="EA21" s="27"/>
      <c r="EB21" s="27"/>
      <c r="EC21" s="27"/>
      <c r="ED21" s="27"/>
      <c r="EE21" s="27"/>
      <c r="EF21" s="27"/>
      <c r="EG21" s="27"/>
      <c r="EH21" s="27"/>
      <c r="EI21" s="27"/>
      <c r="EJ21" s="27"/>
      <c r="EK21" s="27"/>
      <c r="EL21" s="27"/>
      <c r="EM21" s="27"/>
      <c r="EN21" s="27"/>
      <c r="EO21" s="27"/>
      <c r="EP21" s="27"/>
      <c r="EQ21" s="27"/>
      <c r="ER21" s="27"/>
      <c r="ES21" s="27"/>
      <c r="ET21" s="27"/>
      <c r="EU21" s="27"/>
      <c r="EV21" s="27"/>
      <c r="EW21" s="27"/>
      <c r="EX21" s="27"/>
      <c r="EY21" s="27"/>
      <c r="EZ21" s="27"/>
      <c r="FA21" s="27"/>
      <c r="FB21" s="27"/>
      <c r="FC21" s="27"/>
      <c r="FD21" s="27"/>
      <c r="FE21" s="27"/>
      <c r="FF21" s="27"/>
      <c r="FG21" s="27"/>
      <c r="FH21" s="27"/>
      <c r="FI21" s="27"/>
      <c r="FJ21" s="27"/>
      <c r="FK21" s="27"/>
      <c r="FL21" s="27"/>
      <c r="FM21" s="27"/>
      <c r="FN21" s="27"/>
      <c r="FO21" s="27"/>
      <c r="FP21" s="27"/>
      <c r="FQ21" s="27"/>
      <c r="FR21" s="27"/>
      <c r="FS21" s="27"/>
      <c r="FT21" s="27"/>
      <c r="FU21" s="27"/>
      <c r="FV21" s="27"/>
      <c r="FW21" s="27"/>
      <c r="FX21" s="27"/>
      <c r="FY21" s="27"/>
      <c r="FZ21" s="27"/>
      <c r="GA21" s="27"/>
      <c r="GB21" s="27"/>
      <c r="GC21" s="27"/>
      <c r="GD21" s="27"/>
      <c r="GE21" s="27"/>
      <c r="GF21" s="27"/>
      <c r="GG21" s="27"/>
      <c r="GH21" s="27"/>
      <c r="GI21" s="27"/>
      <c r="GJ21" s="27"/>
      <c r="GK21" s="27"/>
      <c r="GL21" s="27"/>
      <c r="GM21" s="27"/>
      <c r="GN21" s="27"/>
      <c r="GO21" s="27"/>
      <c r="GP21" s="27"/>
      <c r="GQ21" s="27"/>
      <c r="GR21" s="27"/>
      <c r="GS21" s="27"/>
      <c r="GT21" s="27"/>
      <c r="GU21" s="27"/>
      <c r="GV21" s="27"/>
      <c r="GW21" s="27"/>
      <c r="GX21" s="27"/>
      <c r="GY21" s="27"/>
      <c r="GZ21" s="27"/>
      <c r="HA21" s="27"/>
      <c r="HB21" s="27"/>
      <c r="HC21" s="27"/>
      <c r="HD21" s="27"/>
      <c r="HE21" s="27"/>
      <c r="HF21" s="27"/>
      <c r="HG21" s="27"/>
      <c r="HH21" s="27"/>
      <c r="HI21" s="27"/>
      <c r="HJ21" s="27"/>
      <c r="HK21" s="27"/>
      <c r="HL21" s="27"/>
      <c r="HM21" s="27"/>
      <c r="HN21" s="27"/>
      <c r="HO21" s="27"/>
      <c r="HP21" s="27"/>
      <c r="HQ21" s="27"/>
      <c r="HR21" s="27"/>
    </row>
    <row r="22" spans="1:226" x14ac:dyDescent="0.25">
      <c r="A22" s="2007" t="s">
        <v>21</v>
      </c>
      <c r="B22" s="2007"/>
      <c r="C22" s="766" t="s">
        <v>69</v>
      </c>
      <c r="D22" s="766" t="s">
        <v>119</v>
      </c>
      <c r="E22" s="766" t="s">
        <v>120</v>
      </c>
      <c r="F22" s="27"/>
      <c r="G22" s="27"/>
      <c r="H22" s="27"/>
      <c r="I22" s="27"/>
      <c r="J22" s="27"/>
      <c r="K22" s="27"/>
      <c r="L22" s="27"/>
      <c r="M22" s="27"/>
      <c r="N22" s="27"/>
      <c r="O22" s="27"/>
      <c r="P22" s="27"/>
      <c r="Q22" s="27"/>
      <c r="R22" s="27"/>
      <c r="S22" s="27"/>
      <c r="T22" s="27"/>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c r="AT22" s="27"/>
      <c r="AU22" s="27"/>
      <c r="AV22" s="27"/>
      <c r="AW22" s="27"/>
      <c r="AX22" s="27"/>
      <c r="AY22" s="27"/>
      <c r="AZ22" s="27"/>
      <c r="BA22" s="27"/>
      <c r="BB22" s="27"/>
      <c r="BC22" s="27"/>
      <c r="BD22" s="27"/>
      <c r="BE22" s="27"/>
      <c r="BF22" s="27"/>
      <c r="BG22" s="27"/>
      <c r="BH22" s="27"/>
      <c r="BI22" s="27"/>
      <c r="BJ22" s="27"/>
      <c r="BK22" s="27"/>
      <c r="BL22" s="27"/>
      <c r="BM22" s="27"/>
      <c r="BN22" s="27"/>
      <c r="BO22" s="27"/>
      <c r="BP22" s="27"/>
      <c r="BQ22" s="27"/>
      <c r="BR22" s="27"/>
      <c r="BS22" s="27"/>
      <c r="BT22" s="27"/>
      <c r="BU22" s="27"/>
      <c r="BV22" s="27"/>
      <c r="BW22" s="27"/>
      <c r="BX22" s="27"/>
      <c r="BY22" s="27"/>
      <c r="BZ22" s="27"/>
      <c r="CA22" s="27"/>
      <c r="CB22" s="27"/>
      <c r="CC22" s="27"/>
      <c r="CD22" s="27"/>
      <c r="CE22" s="27"/>
      <c r="CF22" s="27"/>
      <c r="CG22" s="27"/>
      <c r="CH22" s="27"/>
      <c r="CI22" s="27"/>
      <c r="CJ22" s="27"/>
      <c r="CK22" s="27"/>
      <c r="CL22" s="27"/>
      <c r="CM22" s="27"/>
      <c r="CN22" s="27"/>
      <c r="CO22" s="27"/>
      <c r="CP22" s="27"/>
      <c r="CQ22" s="27"/>
      <c r="CR22" s="27"/>
      <c r="CS22" s="27"/>
      <c r="CT22" s="27"/>
      <c r="CU22" s="27"/>
      <c r="CV22" s="27"/>
      <c r="CW22" s="27"/>
      <c r="CX22" s="27"/>
      <c r="CY22" s="27"/>
      <c r="CZ22" s="27"/>
      <c r="DA22" s="27"/>
      <c r="DB22" s="27"/>
      <c r="DC22" s="27"/>
      <c r="DD22" s="27"/>
      <c r="DE22" s="27"/>
      <c r="DF22" s="27"/>
      <c r="DG22" s="27"/>
      <c r="DH22" s="27"/>
      <c r="DI22" s="27"/>
      <c r="DJ22" s="27"/>
      <c r="DK22" s="27"/>
      <c r="DL22" s="27"/>
      <c r="DM22" s="27"/>
      <c r="DN22" s="27"/>
      <c r="DO22" s="27"/>
      <c r="DP22" s="27"/>
      <c r="DQ22" s="27"/>
      <c r="DR22" s="27"/>
      <c r="DS22" s="27"/>
      <c r="DT22" s="27"/>
      <c r="DU22" s="27"/>
      <c r="DV22" s="27"/>
      <c r="DW22" s="27"/>
      <c r="DX22" s="27"/>
      <c r="DY22" s="27"/>
      <c r="DZ22" s="27"/>
      <c r="EA22" s="27"/>
      <c r="EB22" s="27"/>
      <c r="EC22" s="27"/>
      <c r="ED22" s="27"/>
      <c r="EE22" s="27"/>
      <c r="EF22" s="27"/>
      <c r="EG22" s="27"/>
      <c r="EH22" s="27"/>
      <c r="EI22" s="27"/>
      <c r="EJ22" s="27"/>
      <c r="EK22" s="27"/>
      <c r="EL22" s="27"/>
      <c r="EM22" s="27"/>
      <c r="EN22" s="27"/>
      <c r="EO22" s="27"/>
      <c r="EP22" s="27"/>
      <c r="EQ22" s="27"/>
      <c r="ER22" s="27"/>
      <c r="ES22" s="27"/>
      <c r="ET22" s="27"/>
      <c r="EU22" s="27"/>
      <c r="EV22" s="27"/>
      <c r="EW22" s="27"/>
      <c r="EX22" s="27"/>
      <c r="EY22" s="27"/>
      <c r="EZ22" s="27"/>
      <c r="FA22" s="27"/>
      <c r="FB22" s="27"/>
      <c r="FC22" s="27"/>
      <c r="FD22" s="27"/>
      <c r="FE22" s="27"/>
      <c r="FF22" s="27"/>
      <c r="FG22" s="27"/>
      <c r="FH22" s="27"/>
      <c r="FI22" s="27"/>
      <c r="FJ22" s="27"/>
      <c r="FK22" s="27"/>
      <c r="FL22" s="27"/>
      <c r="FM22" s="27"/>
      <c r="FN22" s="27"/>
      <c r="FO22" s="27"/>
      <c r="FP22" s="27"/>
      <c r="FQ22" s="27"/>
      <c r="FR22" s="27"/>
      <c r="FS22" s="27"/>
      <c r="FT22" s="27"/>
      <c r="FU22" s="27"/>
      <c r="FV22" s="27"/>
      <c r="FW22" s="27"/>
      <c r="FX22" s="27"/>
      <c r="FY22" s="27"/>
      <c r="FZ22" s="27"/>
      <c r="GA22" s="27"/>
      <c r="GB22" s="27"/>
      <c r="GC22" s="27"/>
      <c r="GD22" s="27"/>
      <c r="GE22" s="27"/>
      <c r="GF22" s="27"/>
      <c r="GG22" s="27"/>
      <c r="GH22" s="27"/>
      <c r="GI22" s="27"/>
      <c r="GJ22" s="27"/>
      <c r="GK22" s="27"/>
      <c r="GL22" s="27"/>
      <c r="GM22" s="27"/>
      <c r="GN22" s="27"/>
      <c r="GO22" s="27"/>
      <c r="GP22" s="27"/>
      <c r="GQ22" s="27"/>
      <c r="GR22" s="27"/>
      <c r="GS22" s="27"/>
      <c r="GT22" s="27"/>
      <c r="GU22" s="27"/>
      <c r="GV22" s="27"/>
      <c r="GW22" s="27"/>
      <c r="GX22" s="27"/>
      <c r="GY22" s="27"/>
      <c r="GZ22" s="27"/>
      <c r="HA22" s="27"/>
      <c r="HB22" s="27"/>
      <c r="HC22" s="27"/>
      <c r="HD22" s="27"/>
      <c r="HE22" s="27"/>
      <c r="HF22" s="27"/>
      <c r="HG22" s="27"/>
      <c r="HH22" s="27"/>
      <c r="HI22" s="27"/>
      <c r="HJ22" s="27"/>
      <c r="HK22" s="27"/>
      <c r="HL22" s="27"/>
      <c r="HM22" s="27"/>
      <c r="HN22" s="27"/>
      <c r="HO22" s="27"/>
      <c r="HP22" s="27"/>
      <c r="HQ22" s="27"/>
      <c r="HR22" s="27"/>
    </row>
    <row r="23" spans="1:226" x14ac:dyDescent="0.25">
      <c r="A23" s="766" t="s">
        <v>43</v>
      </c>
      <c r="B23" s="766" t="s">
        <v>3</v>
      </c>
      <c r="C23" s="766" t="s">
        <v>121</v>
      </c>
      <c r="D23" s="766" t="s">
        <v>122</v>
      </c>
      <c r="E23" s="766" t="s">
        <v>122</v>
      </c>
      <c r="F23" s="27"/>
      <c r="G23" s="27"/>
      <c r="H23" s="27"/>
      <c r="I23" s="27"/>
      <c r="J23" s="27"/>
      <c r="K23" s="27"/>
      <c r="L23" s="27"/>
      <c r="M23" s="27"/>
      <c r="N23" s="27"/>
      <c r="O23" s="27"/>
      <c r="P23" s="27"/>
      <c r="Q23" s="27"/>
      <c r="R23" s="27"/>
      <c r="S23" s="27"/>
      <c r="T23" s="27"/>
      <c r="U23" s="27"/>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7"/>
      <c r="AX23" s="27"/>
      <c r="AY23" s="27"/>
      <c r="AZ23" s="27"/>
      <c r="BA23" s="27"/>
      <c r="BB23" s="27"/>
      <c r="BC23" s="27"/>
      <c r="BD23" s="27"/>
      <c r="BE23" s="27"/>
      <c r="BF23" s="27"/>
      <c r="BG23" s="27"/>
      <c r="BH23" s="27"/>
      <c r="BI23" s="27"/>
      <c r="BJ23" s="27"/>
      <c r="BK23" s="27"/>
      <c r="BL23" s="27"/>
      <c r="BM23" s="27"/>
      <c r="BN23" s="27"/>
      <c r="BO23" s="27"/>
      <c r="BP23" s="27"/>
      <c r="BQ23" s="27"/>
      <c r="BR23" s="27"/>
      <c r="BS23" s="27"/>
      <c r="BT23" s="27"/>
      <c r="BU23" s="27"/>
      <c r="BV23" s="27"/>
      <c r="BW23" s="27"/>
      <c r="BX23" s="27"/>
      <c r="BY23" s="27"/>
      <c r="BZ23" s="27"/>
      <c r="CA23" s="27"/>
      <c r="CB23" s="27"/>
      <c r="CC23" s="27"/>
      <c r="CD23" s="27"/>
      <c r="CE23" s="27"/>
      <c r="CF23" s="27"/>
      <c r="CG23" s="27"/>
      <c r="CH23" s="27"/>
      <c r="CI23" s="27"/>
      <c r="CJ23" s="27"/>
      <c r="CK23" s="27"/>
      <c r="CL23" s="27"/>
      <c r="CM23" s="27"/>
      <c r="CN23" s="27"/>
      <c r="CO23" s="27"/>
      <c r="CP23" s="27"/>
      <c r="CQ23" s="27"/>
      <c r="CR23" s="27"/>
      <c r="CS23" s="27"/>
      <c r="CT23" s="27"/>
      <c r="CU23" s="27"/>
      <c r="CV23" s="27"/>
      <c r="CW23" s="27"/>
      <c r="CX23" s="27"/>
      <c r="CY23" s="27"/>
      <c r="CZ23" s="27"/>
      <c r="DA23" s="27"/>
      <c r="DB23" s="27"/>
      <c r="DC23" s="27"/>
      <c r="DD23" s="27"/>
      <c r="DE23" s="27"/>
      <c r="DF23" s="27"/>
      <c r="DG23" s="27"/>
      <c r="DH23" s="27"/>
      <c r="DI23" s="27"/>
      <c r="DJ23" s="27"/>
      <c r="DK23" s="27"/>
      <c r="DL23" s="27"/>
      <c r="DM23" s="27"/>
      <c r="DN23" s="27"/>
      <c r="DO23" s="27"/>
      <c r="DP23" s="27"/>
      <c r="DQ23" s="27"/>
      <c r="DR23" s="27"/>
      <c r="DS23" s="27"/>
      <c r="DT23" s="27"/>
      <c r="DU23" s="27"/>
      <c r="DV23" s="27"/>
      <c r="DW23" s="27"/>
      <c r="DX23" s="27"/>
      <c r="DY23" s="27"/>
      <c r="DZ23" s="27"/>
      <c r="EA23" s="27"/>
      <c r="EB23" s="27"/>
      <c r="EC23" s="27"/>
      <c r="ED23" s="27"/>
      <c r="EE23" s="27"/>
      <c r="EF23" s="27"/>
      <c r="EG23" s="27"/>
      <c r="EH23" s="27"/>
      <c r="EI23" s="27"/>
      <c r="EJ23" s="27"/>
      <c r="EK23" s="27"/>
      <c r="EL23" s="27"/>
      <c r="EM23" s="27"/>
      <c r="EN23" s="27"/>
      <c r="EO23" s="27"/>
      <c r="EP23" s="27"/>
      <c r="EQ23" s="27"/>
      <c r="ER23" s="27"/>
      <c r="ES23" s="27"/>
      <c r="ET23" s="27"/>
      <c r="EU23" s="27"/>
      <c r="EV23" s="27"/>
      <c r="EW23" s="27"/>
      <c r="EX23" s="27"/>
      <c r="EY23" s="27"/>
      <c r="EZ23" s="27"/>
      <c r="FA23" s="27"/>
      <c r="FB23" s="27"/>
      <c r="FC23" s="27"/>
      <c r="FD23" s="27"/>
      <c r="FE23" s="27"/>
      <c r="FF23" s="27"/>
      <c r="FG23" s="27"/>
      <c r="FH23" s="27"/>
      <c r="FI23" s="27"/>
      <c r="FJ23" s="27"/>
      <c r="FK23" s="27"/>
      <c r="FL23" s="27"/>
      <c r="FM23" s="27"/>
      <c r="FN23" s="27"/>
      <c r="FO23" s="27"/>
      <c r="FP23" s="27"/>
      <c r="FQ23" s="27"/>
      <c r="FR23" s="27"/>
      <c r="FS23" s="27"/>
      <c r="FT23" s="27"/>
      <c r="FU23" s="27"/>
      <c r="FV23" s="27"/>
      <c r="FW23" s="27"/>
      <c r="FX23" s="27"/>
      <c r="FY23" s="27"/>
      <c r="FZ23" s="27"/>
      <c r="GA23" s="27"/>
      <c r="GB23" s="27"/>
      <c r="GC23" s="27"/>
      <c r="GD23" s="27"/>
      <c r="GE23" s="27"/>
      <c r="GF23" s="27"/>
      <c r="GG23" s="27"/>
      <c r="GH23" s="27"/>
      <c r="GI23" s="27"/>
      <c r="GJ23" s="27"/>
      <c r="GK23" s="27"/>
      <c r="GL23" s="27"/>
      <c r="GM23" s="27"/>
      <c r="GN23" s="27"/>
      <c r="GO23" s="27"/>
      <c r="GP23" s="27"/>
      <c r="GQ23" s="27"/>
      <c r="GR23" s="27"/>
      <c r="GS23" s="27"/>
      <c r="GT23" s="27"/>
      <c r="GU23" s="27"/>
      <c r="GV23" s="27"/>
      <c r="GW23" s="27"/>
      <c r="GX23" s="27"/>
      <c r="GY23" s="27"/>
      <c r="GZ23" s="27"/>
      <c r="HA23" s="27"/>
      <c r="HB23" s="27"/>
      <c r="HC23" s="27"/>
      <c r="HD23" s="27"/>
      <c r="HE23" s="27"/>
      <c r="HF23" s="27"/>
      <c r="HG23" s="27"/>
      <c r="HH23" s="27"/>
      <c r="HI23" s="27"/>
      <c r="HJ23" s="27"/>
      <c r="HK23" s="27"/>
      <c r="HL23" s="27"/>
      <c r="HM23" s="27"/>
      <c r="HN23" s="27"/>
      <c r="HO23" s="27"/>
      <c r="HP23" s="27"/>
      <c r="HQ23" s="27"/>
      <c r="HR23" s="27"/>
    </row>
    <row r="24" spans="1:226" x14ac:dyDescent="0.25">
      <c r="A24" s="897" t="str">
        <f>+VAL_RES.!B39</f>
        <v>PUENTE VEHICULAR CCANCHI</v>
      </c>
      <c r="B24" s="899"/>
      <c r="C24" s="898">
        <f>SUM(C25:C36)</f>
        <v>4228497.1399999997</v>
      </c>
      <c r="D24" s="771"/>
      <c r="E24" s="766"/>
      <c r="F24" s="27"/>
      <c r="G24" s="27"/>
      <c r="H24" s="27"/>
      <c r="I24" s="27"/>
      <c r="J24" s="27"/>
      <c r="K24" s="27"/>
      <c r="L24" s="27"/>
      <c r="M24" s="27"/>
      <c r="N24" s="27"/>
      <c r="O24" s="27"/>
      <c r="P24" s="27"/>
      <c r="Q24" s="27"/>
      <c r="R24" s="27"/>
      <c r="S24" s="27"/>
      <c r="T24" s="27"/>
      <c r="U24" s="27"/>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c r="AZ24" s="27"/>
      <c r="BA24" s="27"/>
      <c r="BB24" s="27"/>
      <c r="BC24" s="27"/>
      <c r="BD24" s="27"/>
      <c r="BE24" s="27"/>
      <c r="BF24" s="27"/>
      <c r="BG24" s="27"/>
      <c r="BH24" s="27"/>
      <c r="BI24" s="27"/>
      <c r="BJ24" s="27"/>
      <c r="BK24" s="27"/>
      <c r="BL24" s="27"/>
      <c r="BM24" s="27"/>
      <c r="BN24" s="27"/>
      <c r="BO24" s="27"/>
      <c r="BP24" s="27"/>
      <c r="BQ24" s="27"/>
      <c r="BR24" s="27"/>
      <c r="BS24" s="27"/>
      <c r="BT24" s="27"/>
      <c r="BU24" s="27"/>
      <c r="BV24" s="27"/>
      <c r="BW24" s="27"/>
      <c r="BX24" s="27"/>
      <c r="BY24" s="27"/>
      <c r="BZ24" s="27"/>
      <c r="CA24" s="27"/>
      <c r="CB24" s="27"/>
      <c r="CC24" s="27"/>
      <c r="CD24" s="27"/>
      <c r="CE24" s="27"/>
      <c r="CF24" s="27"/>
      <c r="CG24" s="27"/>
      <c r="CH24" s="27"/>
      <c r="CI24" s="27"/>
      <c r="CJ24" s="27"/>
      <c r="CK24" s="27"/>
      <c r="CL24" s="27"/>
      <c r="CM24" s="27"/>
      <c r="CN24" s="27"/>
      <c r="CO24" s="27"/>
      <c r="CP24" s="27"/>
      <c r="CQ24" s="27"/>
      <c r="CR24" s="27"/>
      <c r="CS24" s="27"/>
      <c r="CT24" s="27"/>
      <c r="CU24" s="27"/>
      <c r="CV24" s="27"/>
      <c r="CW24" s="27"/>
      <c r="CX24" s="27"/>
      <c r="CY24" s="27"/>
      <c r="CZ24" s="27"/>
      <c r="DA24" s="27"/>
      <c r="DB24" s="27"/>
      <c r="DC24" s="27"/>
      <c r="DD24" s="27"/>
      <c r="DE24" s="27"/>
      <c r="DF24" s="27"/>
      <c r="DG24" s="27"/>
      <c r="DH24" s="27"/>
      <c r="DI24" s="27"/>
      <c r="DJ24" s="27"/>
      <c r="DK24" s="27"/>
      <c r="DL24" s="27"/>
      <c r="DM24" s="27"/>
      <c r="DN24" s="27"/>
      <c r="DO24" s="27"/>
      <c r="DP24" s="27"/>
      <c r="DQ24" s="27"/>
      <c r="DR24" s="27"/>
      <c r="DS24" s="27"/>
      <c r="DT24" s="27"/>
      <c r="DU24" s="27"/>
      <c r="DV24" s="27"/>
      <c r="DW24" s="27"/>
      <c r="DX24" s="27"/>
      <c r="DY24" s="27"/>
      <c r="DZ24" s="27"/>
      <c r="EA24" s="27"/>
      <c r="EB24" s="27"/>
      <c r="EC24" s="27"/>
      <c r="ED24" s="27"/>
      <c r="EE24" s="27"/>
      <c r="EF24" s="27"/>
      <c r="EG24" s="27"/>
      <c r="EH24" s="27"/>
      <c r="EI24" s="27"/>
      <c r="EJ24" s="27"/>
      <c r="EK24" s="27"/>
      <c r="EL24" s="27"/>
      <c r="EM24" s="27"/>
      <c r="EN24" s="27"/>
      <c r="EO24" s="27"/>
      <c r="EP24" s="27"/>
      <c r="EQ24" s="27"/>
      <c r="ER24" s="27"/>
      <c r="ES24" s="27"/>
      <c r="ET24" s="27"/>
      <c r="EU24" s="27"/>
      <c r="EV24" s="27"/>
      <c r="EW24" s="27"/>
      <c r="EX24" s="27"/>
      <c r="EY24" s="27"/>
      <c r="EZ24" s="27"/>
      <c r="FA24" s="27"/>
      <c r="FB24" s="27"/>
      <c r="FC24" s="27"/>
      <c r="FD24" s="27"/>
      <c r="FE24" s="27"/>
      <c r="FF24" s="27"/>
      <c r="FG24" s="27"/>
      <c r="FH24" s="27"/>
      <c r="FI24" s="27"/>
      <c r="FJ24" s="27"/>
      <c r="FK24" s="27"/>
      <c r="FL24" s="27"/>
      <c r="FM24" s="27"/>
      <c r="FN24" s="27"/>
      <c r="FO24" s="27"/>
      <c r="FP24" s="27"/>
      <c r="FQ24" s="27"/>
      <c r="FR24" s="27"/>
      <c r="FS24" s="27"/>
      <c r="FT24" s="27"/>
      <c r="FU24" s="27"/>
      <c r="FV24" s="27"/>
      <c r="FW24" s="27"/>
      <c r="FX24" s="27"/>
      <c r="FY24" s="27"/>
      <c r="FZ24" s="27"/>
      <c r="GA24" s="27"/>
      <c r="GB24" s="27"/>
      <c r="GC24" s="27"/>
      <c r="GD24" s="27"/>
      <c r="GE24" s="27"/>
      <c r="GF24" s="27"/>
      <c r="GG24" s="27"/>
      <c r="GH24" s="27"/>
      <c r="GI24" s="27"/>
      <c r="GJ24" s="27"/>
      <c r="GK24" s="27"/>
      <c r="GL24" s="27"/>
      <c r="GM24" s="27"/>
      <c r="GN24" s="27"/>
      <c r="GO24" s="27"/>
      <c r="GP24" s="27"/>
      <c r="GQ24" s="27"/>
      <c r="GR24" s="27"/>
      <c r="GS24" s="27"/>
      <c r="GT24" s="27"/>
      <c r="GU24" s="27"/>
      <c r="GV24" s="27"/>
      <c r="GW24" s="27"/>
      <c r="GX24" s="27"/>
      <c r="GY24" s="27"/>
      <c r="GZ24" s="27"/>
      <c r="HA24" s="27"/>
      <c r="HB24" s="27"/>
      <c r="HC24" s="27"/>
      <c r="HD24" s="27"/>
      <c r="HE24" s="27"/>
      <c r="HF24" s="27"/>
      <c r="HG24" s="27"/>
      <c r="HH24" s="27"/>
      <c r="HI24" s="27"/>
      <c r="HJ24" s="27"/>
      <c r="HK24" s="27"/>
      <c r="HL24" s="27"/>
      <c r="HM24" s="27"/>
      <c r="HN24" s="27"/>
      <c r="HO24" s="27"/>
      <c r="HP24" s="27"/>
      <c r="HQ24" s="27"/>
      <c r="HR24" s="27"/>
    </row>
    <row r="25" spans="1:226" s="193" customFormat="1" x14ac:dyDescent="0.25">
      <c r="A25" s="767">
        <v>1</v>
      </c>
      <c r="B25" s="768">
        <v>44681</v>
      </c>
      <c r="C25" s="772">
        <f>+VAL_RES.!E39</f>
        <v>1689.85</v>
      </c>
      <c r="D25" s="773">
        <f>'COE_REAJ_OB. PUENTE'!J56</f>
        <v>0.99499999999999988</v>
      </c>
      <c r="E25" s="771" t="s">
        <v>1381</v>
      </c>
      <c r="F25" s="403"/>
      <c r="G25" s="403"/>
      <c r="H25" s="403"/>
      <c r="I25" s="403"/>
      <c r="J25" s="403"/>
      <c r="K25" s="403"/>
      <c r="L25" s="403"/>
      <c r="M25" s="403"/>
      <c r="N25" s="403"/>
      <c r="O25" s="403"/>
      <c r="P25" s="403"/>
      <c r="Q25" s="403"/>
      <c r="R25" s="403"/>
      <c r="S25" s="403"/>
      <c r="T25" s="403"/>
      <c r="U25" s="403"/>
      <c r="V25" s="403"/>
      <c r="W25" s="403"/>
      <c r="X25" s="403"/>
      <c r="Y25" s="403"/>
      <c r="Z25" s="403"/>
      <c r="AA25" s="403"/>
      <c r="AB25" s="403"/>
      <c r="AC25" s="403"/>
      <c r="AD25" s="403"/>
      <c r="AE25" s="403"/>
      <c r="AF25" s="403"/>
      <c r="AG25" s="403"/>
      <c r="AH25" s="403"/>
      <c r="AI25" s="403"/>
      <c r="AJ25" s="403"/>
      <c r="AK25" s="403"/>
      <c r="AL25" s="403"/>
      <c r="AM25" s="403"/>
      <c r="AN25" s="403"/>
      <c r="AO25" s="403"/>
      <c r="AP25" s="403"/>
      <c r="AQ25" s="403"/>
      <c r="AR25" s="403"/>
      <c r="AS25" s="403"/>
      <c r="AT25" s="403"/>
      <c r="AU25" s="403"/>
      <c r="AV25" s="403"/>
      <c r="AW25" s="403"/>
      <c r="AX25" s="403"/>
      <c r="AY25" s="403"/>
      <c r="AZ25" s="403"/>
      <c r="BA25" s="403"/>
      <c r="BB25" s="403"/>
      <c r="BC25" s="403"/>
      <c r="BD25" s="403"/>
      <c r="BE25" s="403"/>
      <c r="BF25" s="403"/>
      <c r="BG25" s="403"/>
      <c r="BH25" s="403"/>
      <c r="BI25" s="403"/>
      <c r="BJ25" s="403"/>
      <c r="BK25" s="403"/>
      <c r="BL25" s="403"/>
      <c r="BM25" s="403"/>
      <c r="BN25" s="403"/>
      <c r="BO25" s="403"/>
      <c r="BP25" s="403"/>
      <c r="BQ25" s="403"/>
      <c r="BR25" s="403"/>
      <c r="BS25" s="403"/>
      <c r="BT25" s="403"/>
      <c r="BU25" s="403"/>
      <c r="BV25" s="403"/>
      <c r="BW25" s="403"/>
      <c r="BX25" s="403"/>
      <c r="BY25" s="403"/>
      <c r="BZ25" s="403"/>
      <c r="CA25" s="403"/>
      <c r="CB25" s="403"/>
      <c r="CC25" s="403"/>
      <c r="CD25" s="403"/>
      <c r="CE25" s="403"/>
      <c r="CF25" s="403"/>
      <c r="CG25" s="403"/>
      <c r="CH25" s="403"/>
      <c r="CI25" s="403"/>
      <c r="CJ25" s="403"/>
      <c r="CK25" s="403"/>
      <c r="CL25" s="403"/>
      <c r="CM25" s="403"/>
      <c r="CN25" s="403"/>
      <c r="CO25" s="403"/>
      <c r="CP25" s="403"/>
      <c r="CQ25" s="403"/>
      <c r="CR25" s="403"/>
      <c r="CS25" s="403"/>
      <c r="CT25" s="403"/>
      <c r="CU25" s="403"/>
      <c r="CV25" s="403"/>
      <c r="CW25" s="403"/>
      <c r="CX25" s="403"/>
      <c r="CY25" s="403"/>
      <c r="CZ25" s="403"/>
      <c r="DA25" s="403"/>
      <c r="DB25" s="403"/>
      <c r="DC25" s="403"/>
      <c r="DD25" s="403"/>
      <c r="DE25" s="403"/>
      <c r="DF25" s="403"/>
      <c r="DG25" s="403"/>
      <c r="DH25" s="403"/>
      <c r="DI25" s="403"/>
      <c r="DJ25" s="403"/>
      <c r="DK25" s="403"/>
      <c r="DL25" s="403"/>
      <c r="DM25" s="403"/>
      <c r="DN25" s="403"/>
      <c r="DO25" s="403"/>
      <c r="DP25" s="403"/>
      <c r="DQ25" s="403"/>
      <c r="DR25" s="403"/>
      <c r="DS25" s="403"/>
      <c r="DT25" s="403"/>
      <c r="DU25" s="403"/>
      <c r="DV25" s="403"/>
      <c r="DW25" s="403"/>
      <c r="DX25" s="403"/>
      <c r="DY25" s="403"/>
      <c r="DZ25" s="403"/>
      <c r="EA25" s="403"/>
      <c r="EB25" s="403"/>
      <c r="EC25" s="403"/>
      <c r="ED25" s="403"/>
      <c r="EE25" s="403"/>
      <c r="EF25" s="403"/>
      <c r="EG25" s="403"/>
      <c r="EH25" s="403"/>
      <c r="EI25" s="403"/>
      <c r="EJ25" s="403"/>
      <c r="EK25" s="403"/>
      <c r="EL25" s="403"/>
      <c r="EM25" s="403"/>
      <c r="EN25" s="403"/>
      <c r="EO25" s="403"/>
      <c r="EP25" s="403"/>
      <c r="EQ25" s="403"/>
      <c r="ER25" s="403"/>
      <c r="ES25" s="403"/>
      <c r="ET25" s="403"/>
      <c r="EU25" s="403"/>
      <c r="EV25" s="403"/>
      <c r="EW25" s="403"/>
      <c r="EX25" s="403"/>
      <c r="EY25" s="403"/>
      <c r="EZ25" s="403"/>
      <c r="FA25" s="403"/>
      <c r="FB25" s="403"/>
      <c r="FC25" s="403"/>
      <c r="FD25" s="403"/>
      <c r="FE25" s="403"/>
      <c r="FF25" s="403"/>
      <c r="FG25" s="403"/>
      <c r="FH25" s="403"/>
      <c r="FI25" s="403"/>
      <c r="FJ25" s="403"/>
      <c r="FK25" s="403"/>
      <c r="FL25" s="403"/>
      <c r="FM25" s="403"/>
      <c r="FN25" s="403"/>
      <c r="FO25" s="403"/>
      <c r="FP25" s="403"/>
      <c r="FQ25" s="403"/>
      <c r="FR25" s="403"/>
      <c r="FS25" s="403"/>
      <c r="FT25" s="403"/>
      <c r="FU25" s="403"/>
      <c r="FV25" s="403"/>
      <c r="FW25" s="403"/>
      <c r="FX25" s="403"/>
      <c r="FY25" s="403"/>
      <c r="FZ25" s="403"/>
      <c r="GA25" s="403"/>
      <c r="GB25" s="403"/>
      <c r="GC25" s="403"/>
      <c r="GD25" s="403"/>
      <c r="GE25" s="403"/>
      <c r="GF25" s="403"/>
      <c r="GG25" s="403"/>
      <c r="GH25" s="403"/>
      <c r="GI25" s="403"/>
      <c r="GJ25" s="403"/>
      <c r="GK25" s="403"/>
      <c r="GL25" s="403"/>
      <c r="GM25" s="403"/>
      <c r="GN25" s="403"/>
      <c r="GO25" s="403"/>
      <c r="GP25" s="403"/>
      <c r="GQ25" s="403"/>
      <c r="GR25" s="403"/>
      <c r="GS25" s="403"/>
      <c r="GT25" s="403"/>
      <c r="GU25" s="403"/>
      <c r="GV25" s="403"/>
      <c r="GW25" s="403"/>
      <c r="GX25" s="403"/>
      <c r="GY25" s="403"/>
      <c r="GZ25" s="403"/>
      <c r="HA25" s="403"/>
      <c r="HB25" s="403"/>
      <c r="HC25" s="403"/>
      <c r="HD25" s="403"/>
      <c r="HE25" s="403"/>
      <c r="HF25" s="403"/>
      <c r="HG25" s="403"/>
      <c r="HH25" s="403"/>
      <c r="HI25" s="403"/>
      <c r="HJ25" s="403"/>
      <c r="HK25" s="403"/>
      <c r="HL25" s="403"/>
      <c r="HM25" s="403"/>
      <c r="HN25" s="403"/>
      <c r="HO25" s="403"/>
      <c r="HP25" s="403"/>
      <c r="HQ25" s="403"/>
      <c r="HR25" s="403"/>
    </row>
    <row r="26" spans="1:226" x14ac:dyDescent="0.25">
      <c r="A26" s="769">
        <f>+A25+1</f>
        <v>2</v>
      </c>
      <c r="B26" s="768">
        <v>44712</v>
      </c>
      <c r="C26" s="772">
        <f>+VAL_RES.!F39</f>
        <v>142315.32</v>
      </c>
      <c r="D26" s="773">
        <f>'COE_REAJ_OB. PUENTE'!L56</f>
        <v>1.0469999999999999</v>
      </c>
      <c r="E26" s="771" t="s">
        <v>1408</v>
      </c>
      <c r="F26" s="27"/>
      <c r="G26" s="27"/>
      <c r="H26" s="27"/>
      <c r="I26" s="27"/>
      <c r="J26" s="27"/>
      <c r="K26" s="27"/>
      <c r="L26" s="27"/>
      <c r="M26" s="27"/>
      <c r="N26" s="27"/>
      <c r="O26" s="27"/>
      <c r="P26" s="27"/>
      <c r="Q26" s="27"/>
      <c r="R26" s="27"/>
      <c r="S26" s="27"/>
      <c r="T26" s="27"/>
      <c r="U26" s="27"/>
      <c r="V26" s="27"/>
      <c r="W26" s="27"/>
      <c r="X26" s="27"/>
      <c r="Y26" s="27"/>
      <c r="Z26" s="27"/>
      <c r="AA26" s="27"/>
      <c r="AB26" s="27"/>
      <c r="AC26" s="27"/>
      <c r="AD26" s="27"/>
      <c r="AE26" s="27"/>
      <c r="AF26" s="27"/>
      <c r="AG26" s="27"/>
      <c r="AH26" s="27"/>
      <c r="AI26" s="27"/>
      <c r="AJ26" s="27"/>
      <c r="AK26" s="27"/>
      <c r="AL26" s="27"/>
      <c r="AM26" s="27"/>
      <c r="AN26" s="27"/>
      <c r="AO26" s="27"/>
      <c r="AP26" s="27"/>
      <c r="AQ26" s="27"/>
      <c r="AR26" s="27"/>
      <c r="AS26" s="27"/>
      <c r="AT26" s="27"/>
      <c r="AU26" s="27"/>
      <c r="AV26" s="27"/>
      <c r="AW26" s="27"/>
      <c r="AX26" s="27"/>
      <c r="AY26" s="27"/>
      <c r="AZ26" s="27"/>
      <c r="BA26" s="27"/>
      <c r="BB26" s="27"/>
      <c r="BC26" s="27"/>
      <c r="BD26" s="27"/>
      <c r="BE26" s="27"/>
      <c r="BF26" s="27"/>
      <c r="BG26" s="27"/>
      <c r="BH26" s="27"/>
      <c r="BI26" s="27"/>
      <c r="BJ26" s="27"/>
      <c r="BK26" s="27"/>
      <c r="BL26" s="27"/>
      <c r="BM26" s="27"/>
      <c r="BN26" s="27"/>
      <c r="BO26" s="27"/>
      <c r="BP26" s="27"/>
      <c r="BQ26" s="27"/>
      <c r="BR26" s="27"/>
      <c r="BS26" s="27"/>
      <c r="BT26" s="27"/>
      <c r="BU26" s="27"/>
      <c r="BV26" s="27"/>
      <c r="BW26" s="27"/>
      <c r="BX26" s="27"/>
      <c r="BY26" s="27"/>
      <c r="BZ26" s="27"/>
      <c r="CA26" s="27"/>
      <c r="CB26" s="27"/>
      <c r="CC26" s="27"/>
      <c r="CD26" s="27"/>
      <c r="CE26" s="27"/>
      <c r="CF26" s="27"/>
      <c r="CG26" s="27"/>
      <c r="CH26" s="27"/>
      <c r="CI26" s="27"/>
      <c r="CJ26" s="27"/>
      <c r="CK26" s="27"/>
      <c r="CL26" s="27"/>
      <c r="CM26" s="27"/>
      <c r="CN26" s="27"/>
      <c r="CO26" s="27"/>
      <c r="CP26" s="27"/>
      <c r="CQ26" s="27"/>
      <c r="CR26" s="27"/>
      <c r="CS26" s="27"/>
      <c r="CT26" s="27"/>
      <c r="CU26" s="27"/>
      <c r="CV26" s="27"/>
      <c r="CW26" s="27"/>
      <c r="CX26" s="27"/>
      <c r="CY26" s="27"/>
      <c r="CZ26" s="27"/>
      <c r="DA26" s="27"/>
      <c r="DB26" s="27"/>
      <c r="DC26" s="27"/>
      <c r="DD26" s="27"/>
      <c r="DE26" s="27"/>
      <c r="DF26" s="27"/>
      <c r="DG26" s="27"/>
      <c r="DH26" s="27"/>
      <c r="DI26" s="27"/>
      <c r="DJ26" s="27"/>
      <c r="DK26" s="27"/>
      <c r="DL26" s="27"/>
      <c r="DM26" s="27"/>
      <c r="DN26" s="27"/>
      <c r="DO26" s="27"/>
      <c r="DP26" s="27"/>
      <c r="DQ26" s="27"/>
      <c r="DR26" s="27"/>
      <c r="DS26" s="27"/>
      <c r="DT26" s="27"/>
      <c r="DU26" s="27"/>
      <c r="DV26" s="27"/>
      <c r="DW26" s="27"/>
      <c r="DX26" s="27"/>
      <c r="DY26" s="27"/>
      <c r="DZ26" s="27"/>
      <c r="EA26" s="27"/>
      <c r="EB26" s="27"/>
      <c r="EC26" s="27"/>
      <c r="ED26" s="27"/>
      <c r="EE26" s="27"/>
      <c r="EF26" s="27"/>
      <c r="EG26" s="27"/>
      <c r="EH26" s="27"/>
      <c r="EI26" s="27"/>
      <c r="EJ26" s="27"/>
      <c r="EK26" s="27"/>
      <c r="EL26" s="27"/>
      <c r="EM26" s="27"/>
      <c r="EN26" s="27"/>
      <c r="EO26" s="27"/>
      <c r="EP26" s="27"/>
      <c r="EQ26" s="27"/>
      <c r="ER26" s="27"/>
      <c r="ES26" s="27"/>
      <c r="ET26" s="27"/>
      <c r="EU26" s="27"/>
      <c r="EV26" s="27"/>
      <c r="EW26" s="27"/>
      <c r="EX26" s="27"/>
      <c r="EY26" s="27"/>
      <c r="EZ26" s="27"/>
      <c r="FA26" s="27"/>
      <c r="FB26" s="27"/>
      <c r="FC26" s="27"/>
      <c r="FD26" s="27"/>
      <c r="FE26" s="27"/>
      <c r="FF26" s="27"/>
      <c r="FG26" s="27"/>
      <c r="FH26" s="27"/>
      <c r="FI26" s="27"/>
      <c r="FJ26" s="27"/>
      <c r="FK26" s="27"/>
      <c r="FL26" s="27"/>
      <c r="FM26" s="27"/>
      <c r="FN26" s="27"/>
      <c r="FO26" s="27"/>
      <c r="FP26" s="27"/>
      <c r="FQ26" s="27"/>
      <c r="FR26" s="27"/>
      <c r="FS26" s="27"/>
      <c r="FT26" s="27"/>
      <c r="FU26" s="27"/>
      <c r="FV26" s="27"/>
      <c r="FW26" s="27"/>
      <c r="FX26" s="27"/>
      <c r="FY26" s="27"/>
      <c r="FZ26" s="27"/>
      <c r="GA26" s="27"/>
      <c r="GB26" s="27"/>
      <c r="GC26" s="27"/>
      <c r="GD26" s="27"/>
      <c r="GE26" s="27"/>
      <c r="GF26" s="27"/>
      <c r="GG26" s="27"/>
      <c r="GH26" s="27"/>
      <c r="GI26" s="27"/>
      <c r="GJ26" s="27"/>
      <c r="GK26" s="27"/>
      <c r="GL26" s="27"/>
      <c r="GM26" s="27"/>
      <c r="GN26" s="27"/>
      <c r="GO26" s="27"/>
      <c r="GP26" s="27"/>
      <c r="GQ26" s="27"/>
      <c r="GR26" s="27"/>
      <c r="GS26" s="27"/>
      <c r="GT26" s="27"/>
      <c r="GU26" s="27"/>
      <c r="GV26" s="27"/>
      <c r="GW26" s="27"/>
      <c r="GX26" s="27"/>
      <c r="GY26" s="27"/>
      <c r="GZ26" s="27"/>
      <c r="HA26" s="27"/>
      <c r="HB26" s="27"/>
      <c r="HC26" s="27"/>
      <c r="HD26" s="27"/>
      <c r="HE26" s="27"/>
      <c r="HF26" s="27"/>
      <c r="HG26" s="27"/>
      <c r="HH26" s="27"/>
      <c r="HI26" s="27"/>
      <c r="HJ26" s="27"/>
      <c r="HK26" s="27"/>
      <c r="HL26" s="27"/>
      <c r="HM26" s="27"/>
      <c r="HN26" s="27"/>
      <c r="HO26" s="27"/>
      <c r="HP26" s="27"/>
      <c r="HQ26" s="27"/>
      <c r="HR26" s="27"/>
    </row>
    <row r="27" spans="1:226" x14ac:dyDescent="0.25">
      <c r="A27" s="769">
        <f>+A26+1</f>
        <v>3</v>
      </c>
      <c r="B27" s="768">
        <v>44742</v>
      </c>
      <c r="C27" s="772">
        <f>+VAL_RES.!G39</f>
        <v>174129.63</v>
      </c>
      <c r="D27" s="773">
        <f>'COE_REAJ_OB. PUENTE'!N56</f>
        <v>1.07</v>
      </c>
      <c r="E27" s="771" t="s">
        <v>1436</v>
      </c>
      <c r="F27" s="27"/>
      <c r="G27" s="27"/>
      <c r="H27" s="27"/>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7"/>
      <c r="BK27" s="27"/>
      <c r="BL27" s="27"/>
      <c r="BM27" s="27"/>
      <c r="BN27" s="27"/>
      <c r="BO27" s="27"/>
      <c r="BP27" s="27"/>
      <c r="BQ27" s="27"/>
      <c r="BR27" s="27"/>
      <c r="BS27" s="27"/>
      <c r="BT27" s="27"/>
      <c r="BU27" s="27"/>
      <c r="BV27" s="27"/>
      <c r="BW27" s="27"/>
      <c r="BX27" s="27"/>
      <c r="BY27" s="27"/>
      <c r="BZ27" s="27"/>
      <c r="CA27" s="27"/>
      <c r="CB27" s="27"/>
      <c r="CC27" s="27"/>
      <c r="CD27" s="27"/>
      <c r="CE27" s="27"/>
      <c r="CF27" s="27"/>
      <c r="CG27" s="27"/>
      <c r="CH27" s="27"/>
      <c r="CI27" s="27"/>
      <c r="CJ27" s="27"/>
      <c r="CK27" s="27"/>
      <c r="CL27" s="27"/>
      <c r="CM27" s="27"/>
      <c r="CN27" s="27"/>
      <c r="CO27" s="27"/>
      <c r="CP27" s="27"/>
      <c r="CQ27" s="27"/>
      <c r="CR27" s="27"/>
      <c r="CS27" s="27"/>
      <c r="CT27" s="27"/>
      <c r="CU27" s="27"/>
      <c r="CV27" s="27"/>
      <c r="CW27" s="27"/>
      <c r="CX27" s="27"/>
      <c r="CY27" s="27"/>
      <c r="CZ27" s="27"/>
      <c r="DA27" s="27"/>
      <c r="DB27" s="27"/>
      <c r="DC27" s="27"/>
      <c r="DD27" s="27"/>
      <c r="DE27" s="27"/>
      <c r="DF27" s="27"/>
      <c r="DG27" s="27"/>
      <c r="DH27" s="27"/>
      <c r="DI27" s="27"/>
      <c r="DJ27" s="27"/>
      <c r="DK27" s="27"/>
      <c r="DL27" s="27"/>
      <c r="DM27" s="27"/>
      <c r="DN27" s="27"/>
      <c r="DO27" s="27"/>
      <c r="DP27" s="27"/>
      <c r="DQ27" s="27"/>
      <c r="DR27" s="27"/>
      <c r="DS27" s="27"/>
      <c r="DT27" s="27"/>
      <c r="DU27" s="27"/>
      <c r="DV27" s="27"/>
      <c r="DW27" s="27"/>
      <c r="DX27" s="27"/>
      <c r="DY27" s="27"/>
      <c r="DZ27" s="27"/>
      <c r="EA27" s="27"/>
      <c r="EB27" s="27"/>
      <c r="EC27" s="27"/>
      <c r="ED27" s="27"/>
      <c r="EE27" s="27"/>
      <c r="EF27" s="27"/>
      <c r="EG27" s="27"/>
      <c r="EH27" s="27"/>
      <c r="EI27" s="27"/>
      <c r="EJ27" s="27"/>
      <c r="EK27" s="27"/>
      <c r="EL27" s="27"/>
      <c r="EM27" s="27"/>
      <c r="EN27" s="27"/>
      <c r="EO27" s="27"/>
      <c r="EP27" s="27"/>
      <c r="EQ27" s="27"/>
      <c r="ER27" s="27"/>
      <c r="ES27" s="27"/>
      <c r="ET27" s="27"/>
      <c r="EU27" s="27"/>
      <c r="EV27" s="27"/>
      <c r="EW27" s="27"/>
      <c r="EX27" s="27"/>
      <c r="EY27" s="27"/>
      <c r="EZ27" s="27"/>
      <c r="FA27" s="27"/>
      <c r="FB27" s="27"/>
      <c r="FC27" s="27"/>
      <c r="FD27" s="27"/>
      <c r="FE27" s="27"/>
      <c r="FF27" s="27"/>
      <c r="FG27" s="27"/>
      <c r="FH27" s="27"/>
      <c r="FI27" s="27"/>
      <c r="FJ27" s="27"/>
      <c r="FK27" s="27"/>
      <c r="FL27" s="27"/>
      <c r="FM27" s="27"/>
      <c r="FN27" s="27"/>
      <c r="FO27" s="27"/>
      <c r="FP27" s="27"/>
      <c r="FQ27" s="27"/>
      <c r="FR27" s="27"/>
      <c r="FS27" s="27"/>
      <c r="FT27" s="27"/>
      <c r="FU27" s="27"/>
      <c r="FV27" s="27"/>
      <c r="FW27" s="27"/>
      <c r="FX27" s="27"/>
      <c r="FY27" s="27"/>
      <c r="FZ27" s="27"/>
      <c r="GA27" s="27"/>
      <c r="GB27" s="27"/>
      <c r="GC27" s="27"/>
      <c r="GD27" s="27"/>
      <c r="GE27" s="27"/>
      <c r="GF27" s="27"/>
      <c r="GG27" s="27"/>
      <c r="GH27" s="27"/>
      <c r="GI27" s="27"/>
      <c r="GJ27" s="27"/>
      <c r="GK27" s="27"/>
      <c r="GL27" s="27"/>
      <c r="GM27" s="27"/>
      <c r="GN27" s="27"/>
      <c r="GO27" s="27"/>
      <c r="GP27" s="27"/>
      <c r="GQ27" s="27"/>
      <c r="GR27" s="27"/>
      <c r="GS27" s="27"/>
      <c r="GT27" s="27"/>
      <c r="GU27" s="27"/>
      <c r="GV27" s="27"/>
      <c r="GW27" s="27"/>
      <c r="GX27" s="27"/>
      <c r="GY27" s="27"/>
      <c r="GZ27" s="27"/>
      <c r="HA27" s="27"/>
      <c r="HB27" s="27"/>
      <c r="HC27" s="27"/>
      <c r="HD27" s="27"/>
      <c r="HE27" s="27"/>
      <c r="HF27" s="27"/>
      <c r="HG27" s="27"/>
      <c r="HH27" s="27"/>
      <c r="HI27" s="27"/>
      <c r="HJ27" s="27"/>
      <c r="HK27" s="27"/>
      <c r="HL27" s="27"/>
      <c r="HM27" s="27"/>
      <c r="HN27" s="27"/>
      <c r="HO27" s="27"/>
      <c r="HP27" s="27"/>
      <c r="HQ27" s="27"/>
      <c r="HR27" s="27"/>
    </row>
    <row r="28" spans="1:226" x14ac:dyDescent="0.25">
      <c r="A28" s="769">
        <f t="shared" ref="A28:A36" si="0">+A27+1</f>
        <v>4</v>
      </c>
      <c r="B28" s="768">
        <v>44773</v>
      </c>
      <c r="C28" s="772">
        <f>+VAL_RES.!H39</f>
        <v>680701.45</v>
      </c>
      <c r="D28" s="773">
        <f>'COE_REAJ_OB. PUENTE'!P56</f>
        <v>1.0720000000000001</v>
      </c>
      <c r="E28" s="771" t="s">
        <v>1457</v>
      </c>
      <c r="F28" s="27"/>
      <c r="G28" s="27"/>
      <c r="H28" s="27"/>
      <c r="I28" s="27"/>
      <c r="J28" s="27"/>
      <c r="K28" s="27"/>
      <c r="L28" s="27"/>
      <c r="M28" s="27"/>
      <c r="N28" s="27"/>
      <c r="O28" s="27"/>
      <c r="P28" s="27"/>
      <c r="Q28" s="27"/>
      <c r="R28" s="27"/>
      <c r="S28" s="27"/>
      <c r="T28" s="27"/>
      <c r="U28" s="27"/>
      <c r="V28" s="27"/>
      <c r="W28" s="27"/>
      <c r="X28" s="27"/>
      <c r="Y28" s="27"/>
      <c r="Z28" s="27"/>
      <c r="AA28" s="27"/>
      <c r="AB28" s="27"/>
      <c r="AC28" s="27"/>
      <c r="AD28" s="27"/>
      <c r="AE28" s="27"/>
      <c r="AF28" s="27"/>
      <c r="AG28" s="27"/>
      <c r="AH28" s="27"/>
      <c r="AI28" s="27"/>
      <c r="AJ28" s="27"/>
      <c r="AK28" s="27"/>
      <c r="AL28" s="27"/>
      <c r="AM28" s="27"/>
      <c r="AN28" s="27"/>
      <c r="AO28" s="27"/>
      <c r="AP28" s="27"/>
      <c r="AQ28" s="27"/>
      <c r="AR28" s="27"/>
      <c r="AS28" s="27"/>
      <c r="AT28" s="27"/>
      <c r="AU28" s="27"/>
      <c r="AV28" s="27"/>
      <c r="AW28" s="27"/>
      <c r="AX28" s="27"/>
      <c r="AY28" s="27"/>
      <c r="AZ28" s="27"/>
      <c r="BA28" s="27"/>
      <c r="BB28" s="27"/>
      <c r="BC28" s="27"/>
      <c r="BD28" s="27"/>
      <c r="BE28" s="27"/>
      <c r="BF28" s="27"/>
      <c r="BG28" s="27"/>
      <c r="BH28" s="27"/>
      <c r="BI28" s="27"/>
      <c r="BJ28" s="27"/>
      <c r="BK28" s="27"/>
      <c r="BL28" s="27"/>
      <c r="BM28" s="27"/>
      <c r="BN28" s="27"/>
      <c r="BO28" s="27"/>
      <c r="BP28" s="27"/>
      <c r="BQ28" s="27"/>
      <c r="BR28" s="27"/>
      <c r="BS28" s="27"/>
      <c r="BT28" s="27"/>
      <c r="BU28" s="27"/>
      <c r="BV28" s="27"/>
      <c r="BW28" s="27"/>
      <c r="BX28" s="27"/>
      <c r="BY28" s="27"/>
      <c r="BZ28" s="27"/>
      <c r="CA28" s="27"/>
      <c r="CB28" s="27"/>
      <c r="CC28" s="27"/>
      <c r="CD28" s="27"/>
      <c r="CE28" s="27"/>
      <c r="CF28" s="27"/>
      <c r="CG28" s="27"/>
      <c r="CH28" s="27"/>
      <c r="CI28" s="27"/>
      <c r="CJ28" s="27"/>
      <c r="CK28" s="27"/>
      <c r="CL28" s="27"/>
      <c r="CM28" s="27"/>
      <c r="CN28" s="27"/>
      <c r="CO28" s="27"/>
      <c r="CP28" s="27"/>
      <c r="CQ28" s="27"/>
      <c r="CR28" s="27"/>
      <c r="CS28" s="27"/>
      <c r="CT28" s="27"/>
      <c r="CU28" s="27"/>
      <c r="CV28" s="27"/>
      <c r="CW28" s="27"/>
      <c r="CX28" s="27"/>
      <c r="CY28" s="27"/>
      <c r="CZ28" s="27"/>
      <c r="DA28" s="27"/>
      <c r="DB28" s="27"/>
      <c r="DC28" s="27"/>
      <c r="DD28" s="27"/>
      <c r="DE28" s="27"/>
      <c r="DF28" s="27"/>
      <c r="DG28" s="27"/>
      <c r="DH28" s="27"/>
      <c r="DI28" s="27"/>
      <c r="DJ28" s="27"/>
      <c r="DK28" s="27"/>
      <c r="DL28" s="27"/>
      <c r="DM28" s="27"/>
      <c r="DN28" s="27"/>
      <c r="DO28" s="27"/>
      <c r="DP28" s="27"/>
      <c r="DQ28" s="27"/>
      <c r="DR28" s="27"/>
      <c r="DS28" s="27"/>
      <c r="DT28" s="27"/>
      <c r="DU28" s="27"/>
      <c r="DV28" s="27"/>
      <c r="DW28" s="27"/>
      <c r="DX28" s="27"/>
      <c r="DY28" s="27"/>
      <c r="DZ28" s="27"/>
      <c r="EA28" s="27"/>
      <c r="EB28" s="27"/>
      <c r="EC28" s="27"/>
      <c r="ED28" s="27"/>
      <c r="EE28" s="27"/>
      <c r="EF28" s="27"/>
      <c r="EG28" s="27"/>
      <c r="EH28" s="27"/>
      <c r="EI28" s="27"/>
      <c r="EJ28" s="27"/>
      <c r="EK28" s="27"/>
      <c r="EL28" s="27"/>
      <c r="EM28" s="27"/>
      <c r="EN28" s="27"/>
      <c r="EO28" s="27"/>
      <c r="EP28" s="27"/>
      <c r="EQ28" s="27"/>
      <c r="ER28" s="27"/>
      <c r="ES28" s="27"/>
      <c r="ET28" s="27"/>
      <c r="EU28" s="27"/>
      <c r="EV28" s="27"/>
      <c r="EW28" s="27"/>
      <c r="EX28" s="27"/>
      <c r="EY28" s="27"/>
      <c r="EZ28" s="27"/>
      <c r="FA28" s="27"/>
      <c r="FB28" s="27"/>
      <c r="FC28" s="27"/>
      <c r="FD28" s="27"/>
      <c r="FE28" s="27"/>
      <c r="FF28" s="27"/>
      <c r="FG28" s="27"/>
      <c r="FH28" s="27"/>
      <c r="FI28" s="27"/>
      <c r="FJ28" s="27"/>
      <c r="FK28" s="27"/>
      <c r="FL28" s="27"/>
      <c r="FM28" s="27"/>
      <c r="FN28" s="27"/>
      <c r="FO28" s="27"/>
      <c r="FP28" s="27"/>
      <c r="FQ28" s="27"/>
      <c r="FR28" s="27"/>
      <c r="FS28" s="27"/>
      <c r="FT28" s="27"/>
      <c r="FU28" s="27"/>
      <c r="FV28" s="27"/>
      <c r="FW28" s="27"/>
      <c r="FX28" s="27"/>
      <c r="FY28" s="27"/>
      <c r="FZ28" s="27"/>
      <c r="GA28" s="27"/>
      <c r="GB28" s="27"/>
      <c r="GC28" s="27"/>
      <c r="GD28" s="27"/>
      <c r="GE28" s="27"/>
      <c r="GF28" s="27"/>
      <c r="GG28" s="27"/>
      <c r="GH28" s="27"/>
      <c r="GI28" s="27"/>
      <c r="GJ28" s="27"/>
      <c r="GK28" s="27"/>
      <c r="GL28" s="27"/>
      <c r="GM28" s="27"/>
      <c r="GN28" s="27"/>
      <c r="GO28" s="27"/>
      <c r="GP28" s="27"/>
      <c r="GQ28" s="27"/>
      <c r="GR28" s="27"/>
      <c r="GS28" s="27"/>
      <c r="GT28" s="27"/>
      <c r="GU28" s="27"/>
      <c r="GV28" s="27"/>
      <c r="GW28" s="27"/>
      <c r="GX28" s="27"/>
      <c r="GY28" s="27"/>
      <c r="GZ28" s="27"/>
      <c r="HA28" s="27"/>
      <c r="HB28" s="27"/>
      <c r="HC28" s="27"/>
      <c r="HD28" s="27"/>
      <c r="HE28" s="27"/>
      <c r="HF28" s="27"/>
      <c r="HG28" s="27"/>
      <c r="HH28" s="27"/>
      <c r="HI28" s="27"/>
      <c r="HJ28" s="27"/>
      <c r="HK28" s="27"/>
      <c r="HL28" s="27"/>
      <c r="HM28" s="27"/>
      <c r="HN28" s="27"/>
      <c r="HO28" s="27"/>
      <c r="HP28" s="27"/>
      <c r="HQ28" s="27"/>
      <c r="HR28" s="27"/>
    </row>
    <row r="29" spans="1:226" x14ac:dyDescent="0.25">
      <c r="A29" s="769">
        <f t="shared" si="0"/>
        <v>5</v>
      </c>
      <c r="B29" s="770">
        <v>44804</v>
      </c>
      <c r="C29" s="774">
        <f>VAL_RES.!I39</f>
        <v>1560353.15</v>
      </c>
      <c r="D29" s="771">
        <f>'COE_REAJ_OB. PUENTE'!R56</f>
        <v>1.1040000000000001</v>
      </c>
      <c r="E29" s="771" t="s">
        <v>1466</v>
      </c>
      <c r="F29" s="27"/>
      <c r="G29" s="140"/>
      <c r="H29" s="27"/>
      <c r="I29" s="27"/>
      <c r="J29" s="27"/>
      <c r="K29" s="27"/>
      <c r="L29" s="27"/>
      <c r="M29" s="27"/>
      <c r="N29" s="27"/>
      <c r="O29" s="27"/>
      <c r="P29" s="27"/>
      <c r="Q29" s="27"/>
      <c r="R29" s="27"/>
      <c r="S29" s="27"/>
      <c r="T29" s="27"/>
      <c r="U29" s="27"/>
      <c r="V29" s="27"/>
      <c r="W29" s="27"/>
      <c r="X29" s="27"/>
      <c r="Y29" s="27"/>
      <c r="Z29" s="27"/>
      <c r="AA29" s="27"/>
      <c r="AB29" s="27"/>
      <c r="AC29" s="27"/>
      <c r="AD29" s="27"/>
      <c r="AE29" s="27"/>
      <c r="AF29" s="27"/>
      <c r="AG29" s="27"/>
      <c r="AH29" s="27"/>
      <c r="AI29" s="27"/>
      <c r="AJ29" s="27"/>
      <c r="AK29" s="27"/>
      <c r="AL29" s="27"/>
      <c r="AM29" s="27"/>
      <c r="AN29" s="27"/>
      <c r="AO29" s="27"/>
      <c r="AP29" s="27"/>
      <c r="AQ29" s="27"/>
      <c r="AR29" s="27"/>
      <c r="AS29" s="27"/>
      <c r="AT29" s="27"/>
      <c r="AU29" s="27"/>
      <c r="AV29" s="27"/>
      <c r="AW29" s="27"/>
      <c r="AX29" s="27"/>
      <c r="AY29" s="27"/>
      <c r="AZ29" s="27"/>
      <c r="BA29" s="27"/>
      <c r="BB29" s="27"/>
      <c r="BC29" s="27"/>
      <c r="BD29" s="27"/>
      <c r="BE29" s="27"/>
      <c r="BF29" s="27"/>
      <c r="BG29" s="27"/>
      <c r="BH29" s="27"/>
      <c r="BI29" s="27"/>
      <c r="BJ29" s="27"/>
      <c r="BK29" s="27"/>
      <c r="BL29" s="27"/>
      <c r="BM29" s="27"/>
      <c r="BN29" s="27"/>
      <c r="BO29" s="27"/>
      <c r="BP29" s="27"/>
      <c r="BQ29" s="27"/>
      <c r="BR29" s="27"/>
      <c r="BS29" s="27"/>
      <c r="BT29" s="27"/>
      <c r="BU29" s="27"/>
      <c r="BV29" s="27"/>
      <c r="BW29" s="27"/>
      <c r="BX29" s="27"/>
      <c r="BY29" s="27"/>
      <c r="BZ29" s="27"/>
      <c r="CA29" s="27"/>
      <c r="CB29" s="27"/>
      <c r="CC29" s="27"/>
      <c r="CD29" s="27"/>
      <c r="CE29" s="27"/>
      <c r="CF29" s="27"/>
      <c r="CG29" s="27"/>
      <c r="CH29" s="27"/>
      <c r="CI29" s="27"/>
      <c r="CJ29" s="27"/>
      <c r="CK29" s="27"/>
      <c r="CL29" s="27"/>
      <c r="CM29" s="27"/>
      <c r="CN29" s="27"/>
      <c r="CO29" s="27"/>
      <c r="CP29" s="27"/>
      <c r="CQ29" s="27"/>
      <c r="CR29" s="27"/>
      <c r="CS29" s="27"/>
      <c r="CT29" s="27"/>
      <c r="CU29" s="27"/>
      <c r="CV29" s="27"/>
      <c r="CW29" s="27"/>
      <c r="CX29" s="27"/>
      <c r="CY29" s="27"/>
      <c r="CZ29" s="27"/>
      <c r="DA29" s="27"/>
      <c r="DB29" s="27"/>
      <c r="DC29" s="27"/>
      <c r="DD29" s="27"/>
      <c r="DE29" s="27"/>
      <c r="DF29" s="27"/>
      <c r="DG29" s="27"/>
      <c r="DH29" s="27"/>
      <c r="DI29" s="27"/>
      <c r="DJ29" s="27"/>
      <c r="DK29" s="27"/>
      <c r="DL29" s="27"/>
      <c r="DM29" s="27"/>
      <c r="DN29" s="27"/>
      <c r="DO29" s="27"/>
      <c r="DP29" s="27"/>
      <c r="DQ29" s="27"/>
      <c r="DR29" s="27"/>
      <c r="DS29" s="27"/>
      <c r="DT29" s="27"/>
      <c r="DU29" s="27"/>
      <c r="DV29" s="27"/>
      <c r="DW29" s="27"/>
      <c r="DX29" s="27"/>
      <c r="DY29" s="27"/>
      <c r="DZ29" s="27"/>
      <c r="EA29" s="27"/>
      <c r="EB29" s="27"/>
      <c r="EC29" s="27"/>
      <c r="ED29" s="27"/>
      <c r="EE29" s="27"/>
      <c r="EF29" s="27"/>
      <c r="EG29" s="27"/>
      <c r="EH29" s="27"/>
      <c r="EI29" s="27"/>
      <c r="EJ29" s="27"/>
      <c r="EK29" s="27"/>
      <c r="EL29" s="27"/>
      <c r="EM29" s="27"/>
      <c r="EN29" s="27"/>
      <c r="EO29" s="27"/>
      <c r="EP29" s="27"/>
      <c r="EQ29" s="27"/>
      <c r="ER29" s="27"/>
      <c r="ES29" s="27"/>
      <c r="ET29" s="27"/>
      <c r="EU29" s="27"/>
      <c r="EV29" s="27"/>
      <c r="EW29" s="27"/>
      <c r="EX29" s="27"/>
      <c r="EY29" s="27"/>
      <c r="EZ29" s="27"/>
      <c r="FA29" s="27"/>
      <c r="FB29" s="27"/>
      <c r="FC29" s="27"/>
      <c r="FD29" s="27"/>
      <c r="FE29" s="27"/>
      <c r="FF29" s="27"/>
      <c r="FG29" s="27"/>
      <c r="FH29" s="27"/>
      <c r="FI29" s="27"/>
      <c r="FJ29" s="27"/>
      <c r="FK29" s="27"/>
      <c r="FL29" s="27"/>
      <c r="FM29" s="27"/>
      <c r="FN29" s="27"/>
      <c r="FO29" s="27"/>
      <c r="FP29" s="27"/>
      <c r="FQ29" s="27"/>
      <c r="FR29" s="27"/>
      <c r="FS29" s="27"/>
      <c r="FT29" s="27"/>
      <c r="FU29" s="27"/>
      <c r="FV29" s="27"/>
      <c r="FW29" s="27"/>
      <c r="FX29" s="27"/>
      <c r="FY29" s="27"/>
      <c r="FZ29" s="27"/>
      <c r="GA29" s="27"/>
      <c r="GB29" s="27"/>
      <c r="GC29" s="27"/>
      <c r="GD29" s="27"/>
      <c r="GE29" s="27"/>
      <c r="GF29" s="27"/>
      <c r="GG29" s="27"/>
      <c r="GH29" s="27"/>
      <c r="GI29" s="27"/>
      <c r="GJ29" s="27"/>
      <c r="GK29" s="27"/>
      <c r="GL29" s="27"/>
      <c r="GM29" s="27"/>
      <c r="GN29" s="27"/>
      <c r="GO29" s="27"/>
      <c r="GP29" s="27"/>
      <c r="GQ29" s="27"/>
      <c r="GR29" s="27"/>
      <c r="GS29" s="27"/>
      <c r="GT29" s="27"/>
      <c r="GU29" s="27"/>
      <c r="GV29" s="27"/>
      <c r="GW29" s="27"/>
      <c r="GX29" s="27"/>
      <c r="GY29" s="27"/>
      <c r="GZ29" s="27"/>
      <c r="HA29" s="27"/>
      <c r="HB29" s="27"/>
      <c r="HC29" s="27"/>
      <c r="HD29" s="27"/>
      <c r="HE29" s="27"/>
      <c r="HF29" s="27"/>
      <c r="HG29" s="27"/>
      <c r="HH29" s="27"/>
      <c r="HI29" s="27"/>
      <c r="HJ29" s="27"/>
      <c r="HK29" s="27"/>
      <c r="HL29" s="27"/>
      <c r="HM29" s="27"/>
      <c r="HN29" s="27"/>
      <c r="HO29" s="27"/>
      <c r="HP29" s="27"/>
      <c r="HQ29" s="27"/>
      <c r="HR29" s="27"/>
    </row>
    <row r="30" spans="1:226" x14ac:dyDescent="0.25">
      <c r="A30" s="769">
        <f t="shared" si="0"/>
        <v>6</v>
      </c>
      <c r="B30" s="770">
        <v>44834</v>
      </c>
      <c r="C30" s="774">
        <f>VAL_RES.!J40</f>
        <v>1669307.74</v>
      </c>
      <c r="D30" s="771">
        <f>'COE_REAJ_OB. PUENTE'!T56</f>
        <v>1.0680000000000001</v>
      </c>
      <c r="E30" s="771" t="s">
        <v>1689</v>
      </c>
      <c r="F30" s="27"/>
      <c r="G30" s="27"/>
      <c r="H30" s="27"/>
      <c r="I30" s="27"/>
      <c r="J30" s="27"/>
      <c r="K30" s="27"/>
      <c r="L30" s="27"/>
      <c r="M30" s="27"/>
      <c r="N30" s="27"/>
      <c r="O30" s="27"/>
      <c r="P30" s="27"/>
      <c r="Q30" s="27"/>
      <c r="R30" s="27"/>
      <c r="S30" s="27"/>
      <c r="T30" s="27"/>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27"/>
      <c r="AS30" s="27"/>
      <c r="AT30" s="27"/>
      <c r="AU30" s="27"/>
      <c r="AV30" s="27"/>
      <c r="AW30" s="27"/>
      <c r="AX30" s="27"/>
      <c r="AY30" s="27"/>
      <c r="AZ30" s="27"/>
      <c r="BA30" s="27"/>
      <c r="BB30" s="27"/>
      <c r="BC30" s="27"/>
      <c r="BD30" s="27"/>
      <c r="BE30" s="27"/>
      <c r="BF30" s="27"/>
      <c r="BG30" s="27"/>
      <c r="BH30" s="27"/>
      <c r="BI30" s="27"/>
      <c r="BJ30" s="27"/>
      <c r="BK30" s="27"/>
      <c r="BL30" s="27"/>
      <c r="BM30" s="27"/>
      <c r="BN30" s="27"/>
      <c r="BO30" s="27"/>
      <c r="BP30" s="27"/>
      <c r="BQ30" s="27"/>
      <c r="BR30" s="27"/>
      <c r="BS30" s="27"/>
      <c r="BT30" s="27"/>
      <c r="BU30" s="27"/>
      <c r="BV30" s="27"/>
      <c r="BW30" s="27"/>
      <c r="BX30" s="27"/>
      <c r="BY30" s="27"/>
      <c r="BZ30" s="27"/>
      <c r="CA30" s="27"/>
      <c r="CB30" s="27"/>
      <c r="CC30" s="27"/>
      <c r="CD30" s="27"/>
      <c r="CE30" s="27"/>
      <c r="CF30" s="27"/>
      <c r="CG30" s="27"/>
      <c r="CH30" s="27"/>
      <c r="CI30" s="27"/>
      <c r="CJ30" s="27"/>
      <c r="CK30" s="27"/>
      <c r="CL30" s="27"/>
      <c r="CM30" s="27"/>
      <c r="CN30" s="27"/>
      <c r="CO30" s="27"/>
      <c r="CP30" s="27"/>
      <c r="CQ30" s="27"/>
      <c r="CR30" s="27"/>
      <c r="CS30" s="27"/>
      <c r="CT30" s="27"/>
      <c r="CU30" s="27"/>
      <c r="CV30" s="27"/>
      <c r="CW30" s="27"/>
      <c r="CX30" s="27"/>
      <c r="CY30" s="27"/>
      <c r="CZ30" s="27"/>
      <c r="DA30" s="27"/>
      <c r="DB30" s="27"/>
      <c r="DC30" s="27"/>
      <c r="DD30" s="27"/>
      <c r="DE30" s="27"/>
      <c r="DF30" s="27"/>
      <c r="DG30" s="27"/>
      <c r="DH30" s="27"/>
      <c r="DI30" s="27"/>
      <c r="DJ30" s="27"/>
      <c r="DK30" s="27"/>
      <c r="DL30" s="27"/>
      <c r="DM30" s="27"/>
      <c r="DN30" s="27"/>
      <c r="DO30" s="27"/>
      <c r="DP30" s="27"/>
      <c r="DQ30" s="27"/>
      <c r="DR30" s="27"/>
      <c r="DS30" s="27"/>
      <c r="DT30" s="27"/>
      <c r="DU30" s="27"/>
      <c r="DV30" s="27"/>
      <c r="DW30" s="27"/>
      <c r="DX30" s="27"/>
      <c r="DY30" s="27"/>
      <c r="DZ30" s="27"/>
      <c r="EA30" s="27"/>
      <c r="EB30" s="27"/>
      <c r="EC30" s="27"/>
      <c r="ED30" s="27"/>
      <c r="EE30" s="27"/>
      <c r="EF30" s="27"/>
      <c r="EG30" s="27"/>
      <c r="EH30" s="27"/>
      <c r="EI30" s="27"/>
      <c r="EJ30" s="27"/>
      <c r="EK30" s="27"/>
      <c r="EL30" s="27"/>
      <c r="EM30" s="27"/>
      <c r="EN30" s="27"/>
      <c r="EO30" s="27"/>
      <c r="EP30" s="27"/>
      <c r="EQ30" s="27"/>
      <c r="ER30" s="27"/>
      <c r="ES30" s="27"/>
      <c r="ET30" s="27"/>
      <c r="EU30" s="27"/>
      <c r="EV30" s="27"/>
      <c r="EW30" s="27"/>
      <c r="EX30" s="27"/>
      <c r="EY30" s="27"/>
      <c r="EZ30" s="27"/>
      <c r="FA30" s="27"/>
      <c r="FB30" s="27"/>
      <c r="FC30" s="27"/>
      <c r="FD30" s="27"/>
      <c r="FE30" s="27"/>
      <c r="FF30" s="27"/>
      <c r="FG30" s="27"/>
      <c r="FH30" s="27"/>
      <c r="FI30" s="27"/>
      <c r="FJ30" s="27"/>
      <c r="FK30" s="27"/>
      <c r="FL30" s="27"/>
      <c r="FM30" s="27"/>
      <c r="FN30" s="27"/>
      <c r="FO30" s="27"/>
      <c r="FP30" s="27"/>
      <c r="FQ30" s="27"/>
      <c r="FR30" s="27"/>
      <c r="FS30" s="27"/>
      <c r="FT30" s="27"/>
      <c r="FU30" s="27"/>
      <c r="FV30" s="27"/>
      <c r="FW30" s="27"/>
      <c r="FX30" s="27"/>
      <c r="FY30" s="27"/>
      <c r="FZ30" s="27"/>
      <c r="GA30" s="27"/>
      <c r="GB30" s="27"/>
      <c r="GC30" s="27"/>
      <c r="GD30" s="27"/>
      <c r="GE30" s="27"/>
      <c r="GF30" s="27"/>
      <c r="GG30" s="27"/>
      <c r="GH30" s="27"/>
      <c r="GI30" s="27"/>
      <c r="GJ30" s="27"/>
      <c r="GK30" s="27"/>
      <c r="GL30" s="27"/>
      <c r="GM30" s="27"/>
      <c r="GN30" s="27"/>
      <c r="GO30" s="27"/>
      <c r="GP30" s="27"/>
      <c r="GQ30" s="27"/>
      <c r="GR30" s="27"/>
      <c r="GS30" s="27"/>
      <c r="GT30" s="27"/>
      <c r="GU30" s="27"/>
      <c r="GV30" s="27"/>
      <c r="GW30" s="27"/>
      <c r="GX30" s="27"/>
      <c r="GY30" s="27"/>
      <c r="GZ30" s="27"/>
      <c r="HA30" s="27"/>
      <c r="HB30" s="27"/>
      <c r="HC30" s="27"/>
      <c r="HD30" s="27"/>
      <c r="HE30" s="27"/>
      <c r="HF30" s="27"/>
      <c r="HG30" s="27"/>
      <c r="HH30" s="27"/>
      <c r="HI30" s="27"/>
      <c r="HJ30" s="27"/>
      <c r="HK30" s="27"/>
      <c r="HL30" s="27"/>
      <c r="HM30" s="27"/>
      <c r="HN30" s="27"/>
      <c r="HO30" s="27"/>
      <c r="HP30" s="27"/>
      <c r="HQ30" s="27"/>
      <c r="HR30" s="27"/>
    </row>
    <row r="31" spans="1:226" x14ac:dyDescent="0.25">
      <c r="A31" s="769">
        <f t="shared" si="0"/>
        <v>7</v>
      </c>
      <c r="B31" s="770"/>
      <c r="C31" s="774"/>
      <c r="D31" s="771"/>
      <c r="E31" s="771"/>
      <c r="F31" s="27"/>
      <c r="G31" s="27"/>
      <c r="H31" s="27"/>
      <c r="I31" s="27"/>
      <c r="J31" s="27"/>
      <c r="K31" s="27"/>
      <c r="L31" s="27"/>
      <c r="M31" s="27"/>
      <c r="N31" s="27"/>
      <c r="O31" s="27"/>
      <c r="P31" s="27"/>
      <c r="Q31" s="27"/>
      <c r="R31" s="27"/>
      <c r="S31" s="27"/>
      <c r="T31" s="27"/>
      <c r="U31" s="27"/>
      <c r="V31" s="27"/>
      <c r="W31" s="27"/>
      <c r="X31" s="27"/>
      <c r="Y31" s="27"/>
      <c r="Z31" s="27"/>
      <c r="AA31" s="27"/>
      <c r="AB31" s="27"/>
      <c r="AC31" s="27"/>
      <c r="AD31" s="27"/>
      <c r="AE31" s="27"/>
      <c r="AF31" s="27"/>
      <c r="AG31" s="27"/>
      <c r="AH31" s="27"/>
      <c r="AI31" s="27"/>
      <c r="AJ31" s="27"/>
      <c r="AK31" s="27"/>
      <c r="AL31" s="27"/>
      <c r="AM31" s="27"/>
      <c r="AN31" s="27"/>
      <c r="AO31" s="27"/>
      <c r="AP31" s="27"/>
      <c r="AQ31" s="27"/>
      <c r="AR31" s="27"/>
      <c r="AS31" s="27"/>
      <c r="AT31" s="27"/>
      <c r="AU31" s="27"/>
      <c r="AV31" s="27"/>
      <c r="AW31" s="27"/>
      <c r="AX31" s="27"/>
      <c r="AY31" s="27"/>
      <c r="AZ31" s="27"/>
      <c r="BA31" s="27"/>
      <c r="BB31" s="27"/>
      <c r="BC31" s="27"/>
      <c r="BD31" s="27"/>
      <c r="BE31" s="27"/>
      <c r="BF31" s="27"/>
      <c r="BG31" s="27"/>
      <c r="BH31" s="27"/>
      <c r="BI31" s="27"/>
      <c r="BJ31" s="27"/>
      <c r="BK31" s="27"/>
      <c r="BL31" s="27"/>
      <c r="BM31" s="27"/>
      <c r="BN31" s="27"/>
      <c r="BO31" s="27"/>
      <c r="BP31" s="27"/>
      <c r="BQ31" s="27"/>
      <c r="BR31" s="27"/>
      <c r="BS31" s="27"/>
      <c r="BT31" s="27"/>
      <c r="BU31" s="27"/>
      <c r="BV31" s="27"/>
      <c r="BW31" s="27"/>
      <c r="BX31" s="27"/>
      <c r="BY31" s="27"/>
      <c r="BZ31" s="27"/>
      <c r="CA31" s="27"/>
      <c r="CB31" s="27"/>
      <c r="CC31" s="27"/>
      <c r="CD31" s="27"/>
      <c r="CE31" s="27"/>
      <c r="CF31" s="27"/>
      <c r="CG31" s="27"/>
      <c r="CH31" s="27"/>
      <c r="CI31" s="27"/>
      <c r="CJ31" s="27"/>
      <c r="CK31" s="27"/>
      <c r="CL31" s="27"/>
      <c r="CM31" s="27"/>
      <c r="CN31" s="27"/>
      <c r="CO31" s="27"/>
      <c r="CP31" s="27"/>
      <c r="CQ31" s="27"/>
      <c r="CR31" s="27"/>
      <c r="CS31" s="27"/>
      <c r="CT31" s="27"/>
      <c r="CU31" s="27"/>
      <c r="CV31" s="27"/>
      <c r="CW31" s="27"/>
      <c r="CX31" s="27"/>
      <c r="CY31" s="27"/>
      <c r="CZ31" s="27"/>
      <c r="DA31" s="27"/>
      <c r="DB31" s="27"/>
      <c r="DC31" s="27"/>
      <c r="DD31" s="27"/>
      <c r="DE31" s="27"/>
      <c r="DF31" s="27"/>
      <c r="DG31" s="27"/>
      <c r="DH31" s="27"/>
      <c r="DI31" s="27"/>
      <c r="DJ31" s="27"/>
      <c r="DK31" s="27"/>
      <c r="DL31" s="27"/>
      <c r="DM31" s="27"/>
      <c r="DN31" s="27"/>
      <c r="DO31" s="27"/>
      <c r="DP31" s="27"/>
      <c r="DQ31" s="27"/>
      <c r="DR31" s="27"/>
      <c r="DS31" s="27"/>
      <c r="DT31" s="27"/>
      <c r="DU31" s="27"/>
      <c r="DV31" s="27"/>
      <c r="DW31" s="27"/>
      <c r="DX31" s="27"/>
      <c r="DY31" s="27"/>
      <c r="DZ31" s="27"/>
      <c r="EA31" s="27"/>
      <c r="EB31" s="27"/>
      <c r="EC31" s="27"/>
      <c r="ED31" s="27"/>
      <c r="EE31" s="27"/>
      <c r="EF31" s="27"/>
      <c r="EG31" s="27"/>
      <c r="EH31" s="27"/>
      <c r="EI31" s="27"/>
      <c r="EJ31" s="27"/>
      <c r="EK31" s="27"/>
      <c r="EL31" s="27"/>
      <c r="EM31" s="27"/>
      <c r="EN31" s="27"/>
      <c r="EO31" s="27"/>
      <c r="EP31" s="27"/>
      <c r="EQ31" s="27"/>
      <c r="ER31" s="27"/>
      <c r="ES31" s="27"/>
      <c r="ET31" s="27"/>
      <c r="EU31" s="27"/>
      <c r="EV31" s="27"/>
      <c r="EW31" s="27"/>
      <c r="EX31" s="27"/>
      <c r="EY31" s="27"/>
      <c r="EZ31" s="27"/>
      <c r="FA31" s="27"/>
      <c r="FB31" s="27"/>
      <c r="FC31" s="27"/>
      <c r="FD31" s="27"/>
      <c r="FE31" s="27"/>
      <c r="FF31" s="27"/>
      <c r="FG31" s="27"/>
      <c r="FH31" s="27"/>
      <c r="FI31" s="27"/>
      <c r="FJ31" s="27"/>
      <c r="FK31" s="27"/>
      <c r="FL31" s="27"/>
      <c r="FM31" s="27"/>
      <c r="FN31" s="27"/>
      <c r="FO31" s="27"/>
      <c r="FP31" s="27"/>
      <c r="FQ31" s="27"/>
      <c r="FR31" s="27"/>
      <c r="FS31" s="27"/>
      <c r="FT31" s="27"/>
      <c r="FU31" s="27"/>
      <c r="FV31" s="27"/>
      <c r="FW31" s="27"/>
      <c r="FX31" s="27"/>
      <c r="FY31" s="27"/>
      <c r="FZ31" s="27"/>
      <c r="GA31" s="27"/>
      <c r="GB31" s="27"/>
      <c r="GC31" s="27"/>
      <c r="GD31" s="27"/>
      <c r="GE31" s="27"/>
      <c r="GF31" s="27"/>
      <c r="GG31" s="27"/>
      <c r="GH31" s="27"/>
      <c r="GI31" s="27"/>
      <c r="GJ31" s="27"/>
      <c r="GK31" s="27"/>
      <c r="GL31" s="27"/>
      <c r="GM31" s="27"/>
      <c r="GN31" s="27"/>
      <c r="GO31" s="27"/>
      <c r="GP31" s="27"/>
      <c r="GQ31" s="27"/>
      <c r="GR31" s="27"/>
      <c r="GS31" s="27"/>
      <c r="GT31" s="27"/>
      <c r="GU31" s="27"/>
      <c r="GV31" s="27"/>
      <c r="GW31" s="27"/>
      <c r="GX31" s="27"/>
      <c r="GY31" s="27"/>
      <c r="GZ31" s="27"/>
      <c r="HA31" s="27"/>
      <c r="HB31" s="27"/>
      <c r="HC31" s="27"/>
      <c r="HD31" s="27"/>
      <c r="HE31" s="27"/>
      <c r="HF31" s="27"/>
      <c r="HG31" s="27"/>
      <c r="HH31" s="27"/>
      <c r="HI31" s="27"/>
      <c r="HJ31" s="27"/>
      <c r="HK31" s="27"/>
      <c r="HL31" s="27"/>
      <c r="HM31" s="27"/>
      <c r="HN31" s="27"/>
      <c r="HO31" s="27"/>
      <c r="HP31" s="27"/>
      <c r="HQ31" s="27"/>
      <c r="HR31" s="27"/>
    </row>
    <row r="32" spans="1:226" x14ac:dyDescent="0.25">
      <c r="A32" s="769">
        <f t="shared" si="0"/>
        <v>8</v>
      </c>
      <c r="B32" s="770"/>
      <c r="C32" s="774"/>
      <c r="D32" s="771"/>
      <c r="E32" s="771"/>
      <c r="F32" s="27"/>
      <c r="G32" s="27"/>
      <c r="H32" s="27"/>
      <c r="I32" s="27"/>
      <c r="J32" s="27"/>
      <c r="K32" s="27"/>
      <c r="L32" s="27"/>
      <c r="M32" s="27"/>
      <c r="N32" s="27"/>
      <c r="O32" s="27"/>
      <c r="P32" s="27"/>
      <c r="Q32" s="27"/>
      <c r="R32" s="27"/>
      <c r="S32" s="27"/>
      <c r="T32" s="27"/>
      <c r="U32" s="27"/>
      <c r="V32" s="27"/>
      <c r="W32" s="27"/>
      <c r="X32" s="27"/>
      <c r="Y32" s="27"/>
      <c r="Z32" s="27"/>
      <c r="AA32" s="27"/>
      <c r="AB32" s="27"/>
      <c r="AC32" s="27"/>
      <c r="AD32" s="27"/>
      <c r="AE32" s="27"/>
      <c r="AF32" s="27"/>
      <c r="AG32" s="27"/>
      <c r="AH32" s="27"/>
      <c r="AI32" s="27"/>
      <c r="AJ32" s="27"/>
      <c r="AK32" s="27"/>
      <c r="AL32" s="27"/>
      <c r="AM32" s="27"/>
      <c r="AN32" s="27"/>
      <c r="AO32" s="27"/>
      <c r="AP32" s="27"/>
      <c r="AQ32" s="27"/>
      <c r="AR32" s="27"/>
      <c r="AS32" s="27"/>
      <c r="AT32" s="27"/>
      <c r="AU32" s="27"/>
      <c r="AV32" s="27"/>
      <c r="AW32" s="27"/>
      <c r="AX32" s="27"/>
      <c r="AY32" s="27"/>
      <c r="AZ32" s="27"/>
      <c r="BA32" s="27"/>
      <c r="BB32" s="27"/>
      <c r="BC32" s="27"/>
      <c r="BD32" s="27"/>
      <c r="BE32" s="27"/>
      <c r="BF32" s="27"/>
      <c r="BG32" s="27"/>
      <c r="BH32" s="27"/>
      <c r="BI32" s="27"/>
      <c r="BJ32" s="27"/>
      <c r="BK32" s="27"/>
      <c r="BL32" s="27"/>
      <c r="BM32" s="27"/>
      <c r="BN32" s="27"/>
      <c r="BO32" s="27"/>
      <c r="BP32" s="27"/>
      <c r="BQ32" s="27"/>
      <c r="BR32" s="27"/>
      <c r="BS32" s="27"/>
      <c r="BT32" s="27"/>
      <c r="BU32" s="27"/>
      <c r="BV32" s="27"/>
      <c r="BW32" s="27"/>
      <c r="BX32" s="27"/>
      <c r="BY32" s="27"/>
      <c r="BZ32" s="27"/>
      <c r="CA32" s="27"/>
      <c r="CB32" s="27"/>
      <c r="CC32" s="27"/>
      <c r="CD32" s="27"/>
      <c r="CE32" s="27"/>
      <c r="CF32" s="27"/>
      <c r="CG32" s="27"/>
      <c r="CH32" s="27"/>
      <c r="CI32" s="27"/>
      <c r="CJ32" s="27"/>
      <c r="CK32" s="27"/>
      <c r="CL32" s="27"/>
      <c r="CM32" s="27"/>
      <c r="CN32" s="27"/>
      <c r="CO32" s="27"/>
      <c r="CP32" s="27"/>
      <c r="CQ32" s="27"/>
      <c r="CR32" s="27"/>
      <c r="CS32" s="27"/>
      <c r="CT32" s="27"/>
      <c r="CU32" s="27"/>
      <c r="CV32" s="27"/>
      <c r="CW32" s="27"/>
      <c r="CX32" s="27"/>
      <c r="CY32" s="27"/>
      <c r="CZ32" s="27"/>
      <c r="DA32" s="27"/>
      <c r="DB32" s="27"/>
      <c r="DC32" s="27"/>
      <c r="DD32" s="27"/>
      <c r="DE32" s="27"/>
      <c r="DF32" s="27"/>
      <c r="DG32" s="27"/>
      <c r="DH32" s="27"/>
      <c r="DI32" s="27"/>
      <c r="DJ32" s="27"/>
      <c r="DK32" s="27"/>
      <c r="DL32" s="27"/>
      <c r="DM32" s="27"/>
      <c r="DN32" s="27"/>
      <c r="DO32" s="27"/>
      <c r="DP32" s="27"/>
      <c r="DQ32" s="27"/>
      <c r="DR32" s="27"/>
      <c r="DS32" s="27"/>
      <c r="DT32" s="27"/>
      <c r="DU32" s="27"/>
      <c r="DV32" s="27"/>
      <c r="DW32" s="27"/>
      <c r="DX32" s="27"/>
      <c r="DY32" s="27"/>
      <c r="DZ32" s="27"/>
      <c r="EA32" s="27"/>
      <c r="EB32" s="27"/>
      <c r="EC32" s="27"/>
      <c r="ED32" s="27"/>
      <c r="EE32" s="27"/>
      <c r="EF32" s="27"/>
      <c r="EG32" s="27"/>
      <c r="EH32" s="27"/>
      <c r="EI32" s="27"/>
      <c r="EJ32" s="27"/>
      <c r="EK32" s="27"/>
      <c r="EL32" s="27"/>
      <c r="EM32" s="27"/>
      <c r="EN32" s="27"/>
      <c r="EO32" s="27"/>
      <c r="EP32" s="27"/>
      <c r="EQ32" s="27"/>
      <c r="ER32" s="27"/>
      <c r="ES32" s="27"/>
      <c r="ET32" s="27"/>
      <c r="EU32" s="27"/>
      <c r="EV32" s="27"/>
      <c r="EW32" s="27"/>
      <c r="EX32" s="27"/>
      <c r="EY32" s="27"/>
      <c r="EZ32" s="27"/>
      <c r="FA32" s="27"/>
      <c r="FB32" s="27"/>
      <c r="FC32" s="27"/>
      <c r="FD32" s="27"/>
      <c r="FE32" s="27"/>
      <c r="FF32" s="27"/>
      <c r="FG32" s="27"/>
      <c r="FH32" s="27"/>
      <c r="FI32" s="27"/>
      <c r="FJ32" s="27"/>
      <c r="FK32" s="27"/>
      <c r="FL32" s="27"/>
      <c r="FM32" s="27"/>
      <c r="FN32" s="27"/>
      <c r="FO32" s="27"/>
      <c r="FP32" s="27"/>
      <c r="FQ32" s="27"/>
      <c r="FR32" s="27"/>
      <c r="FS32" s="27"/>
      <c r="FT32" s="27"/>
      <c r="FU32" s="27"/>
      <c r="FV32" s="27"/>
      <c r="FW32" s="27"/>
      <c r="FX32" s="27"/>
      <c r="FY32" s="27"/>
      <c r="FZ32" s="27"/>
      <c r="GA32" s="27"/>
      <c r="GB32" s="27"/>
      <c r="GC32" s="27"/>
      <c r="GD32" s="27"/>
      <c r="GE32" s="27"/>
      <c r="GF32" s="27"/>
      <c r="GG32" s="27"/>
      <c r="GH32" s="27"/>
      <c r="GI32" s="27"/>
      <c r="GJ32" s="27"/>
      <c r="GK32" s="27"/>
      <c r="GL32" s="27"/>
      <c r="GM32" s="27"/>
      <c r="GN32" s="27"/>
      <c r="GO32" s="27"/>
      <c r="GP32" s="27"/>
      <c r="GQ32" s="27"/>
      <c r="GR32" s="27"/>
      <c r="GS32" s="27"/>
      <c r="GT32" s="27"/>
      <c r="GU32" s="27"/>
      <c r="GV32" s="27"/>
      <c r="GW32" s="27"/>
      <c r="GX32" s="27"/>
      <c r="GY32" s="27"/>
      <c r="GZ32" s="27"/>
      <c r="HA32" s="27"/>
      <c r="HB32" s="27"/>
      <c r="HC32" s="27"/>
      <c r="HD32" s="27"/>
      <c r="HE32" s="27"/>
      <c r="HF32" s="27"/>
      <c r="HG32" s="27"/>
      <c r="HH32" s="27"/>
      <c r="HI32" s="27"/>
      <c r="HJ32" s="27"/>
      <c r="HK32" s="27"/>
      <c r="HL32" s="27"/>
      <c r="HM32" s="27"/>
      <c r="HN32" s="27"/>
      <c r="HO32" s="27"/>
      <c r="HP32" s="27"/>
      <c r="HQ32" s="27"/>
      <c r="HR32" s="27"/>
    </row>
    <row r="33" spans="1:226" x14ac:dyDescent="0.25">
      <c r="A33" s="769">
        <f t="shared" si="0"/>
        <v>9</v>
      </c>
      <c r="B33" s="770"/>
      <c r="C33" s="774"/>
      <c r="D33" s="771"/>
      <c r="E33" s="771"/>
      <c r="F33" s="27"/>
      <c r="G33" s="27"/>
      <c r="H33" s="27"/>
      <c r="I33" s="27"/>
      <c r="J33" s="27"/>
      <c r="K33" s="27"/>
      <c r="L33" s="27"/>
      <c r="M33" s="27"/>
      <c r="N33" s="27"/>
      <c r="O33" s="27"/>
      <c r="P33" s="27"/>
      <c r="Q33" s="27"/>
      <c r="R33" s="27"/>
      <c r="S33" s="27"/>
      <c r="T33" s="27"/>
      <c r="U33" s="27"/>
      <c r="V33" s="27"/>
      <c r="W33" s="27"/>
      <c r="X33" s="27"/>
      <c r="Y33" s="27"/>
      <c r="Z33" s="27"/>
      <c r="AA33" s="27"/>
      <c r="AB33" s="27"/>
      <c r="AC33" s="27"/>
      <c r="AD33" s="27"/>
      <c r="AE33" s="27"/>
      <c r="AF33" s="27"/>
      <c r="AG33" s="27"/>
      <c r="AH33" s="27"/>
      <c r="AI33" s="27"/>
      <c r="AJ33" s="27"/>
      <c r="AK33" s="27"/>
      <c r="AL33" s="27"/>
      <c r="AM33" s="27"/>
      <c r="AN33" s="27"/>
      <c r="AO33" s="27"/>
      <c r="AP33" s="27"/>
      <c r="AQ33" s="27"/>
      <c r="AR33" s="27"/>
      <c r="AS33" s="27"/>
      <c r="AT33" s="27"/>
      <c r="AU33" s="27"/>
      <c r="AV33" s="27"/>
      <c r="AW33" s="27"/>
      <c r="AX33" s="27"/>
      <c r="AY33" s="27"/>
      <c r="AZ33" s="27"/>
      <c r="BA33" s="27"/>
      <c r="BB33" s="27"/>
      <c r="BC33" s="27"/>
      <c r="BD33" s="27"/>
      <c r="BE33" s="27"/>
      <c r="BF33" s="27"/>
      <c r="BG33" s="27"/>
      <c r="BH33" s="27"/>
      <c r="BI33" s="27"/>
      <c r="BJ33" s="27"/>
      <c r="BK33" s="27"/>
      <c r="BL33" s="27"/>
      <c r="BM33" s="27"/>
      <c r="BN33" s="27"/>
      <c r="BO33" s="27"/>
      <c r="BP33" s="27"/>
      <c r="BQ33" s="27"/>
      <c r="BR33" s="27"/>
      <c r="BS33" s="27"/>
      <c r="BT33" s="27"/>
      <c r="BU33" s="27"/>
      <c r="BV33" s="27"/>
      <c r="BW33" s="27"/>
      <c r="BX33" s="27"/>
      <c r="BY33" s="27"/>
      <c r="BZ33" s="27"/>
      <c r="CA33" s="27"/>
      <c r="CB33" s="27"/>
      <c r="CC33" s="27"/>
      <c r="CD33" s="27"/>
      <c r="CE33" s="27"/>
      <c r="CF33" s="27"/>
      <c r="CG33" s="27"/>
      <c r="CH33" s="27"/>
      <c r="CI33" s="27"/>
      <c r="CJ33" s="27"/>
      <c r="CK33" s="27"/>
      <c r="CL33" s="27"/>
      <c r="CM33" s="27"/>
      <c r="CN33" s="27"/>
      <c r="CO33" s="27"/>
      <c r="CP33" s="27"/>
      <c r="CQ33" s="27"/>
      <c r="CR33" s="27"/>
      <c r="CS33" s="27"/>
      <c r="CT33" s="27"/>
      <c r="CU33" s="27"/>
      <c r="CV33" s="27"/>
      <c r="CW33" s="27"/>
      <c r="CX33" s="27"/>
      <c r="CY33" s="27"/>
      <c r="CZ33" s="27"/>
      <c r="DA33" s="27"/>
      <c r="DB33" s="27"/>
      <c r="DC33" s="27"/>
      <c r="DD33" s="27"/>
      <c r="DE33" s="27"/>
      <c r="DF33" s="27"/>
      <c r="DG33" s="27"/>
      <c r="DH33" s="27"/>
      <c r="DI33" s="27"/>
      <c r="DJ33" s="27"/>
      <c r="DK33" s="27"/>
      <c r="DL33" s="27"/>
      <c r="DM33" s="27"/>
      <c r="DN33" s="27"/>
      <c r="DO33" s="27"/>
      <c r="DP33" s="27"/>
      <c r="DQ33" s="27"/>
      <c r="DR33" s="27"/>
      <c r="DS33" s="27"/>
      <c r="DT33" s="27"/>
      <c r="DU33" s="27"/>
      <c r="DV33" s="27"/>
      <c r="DW33" s="27"/>
      <c r="DX33" s="27"/>
      <c r="DY33" s="27"/>
      <c r="DZ33" s="27"/>
      <c r="EA33" s="27"/>
      <c r="EB33" s="27"/>
      <c r="EC33" s="27"/>
      <c r="ED33" s="27"/>
      <c r="EE33" s="27"/>
      <c r="EF33" s="27"/>
      <c r="EG33" s="27"/>
      <c r="EH33" s="27"/>
      <c r="EI33" s="27"/>
      <c r="EJ33" s="27"/>
      <c r="EK33" s="27"/>
      <c r="EL33" s="27"/>
      <c r="EM33" s="27"/>
      <c r="EN33" s="27"/>
      <c r="EO33" s="27"/>
      <c r="EP33" s="27"/>
      <c r="EQ33" s="27"/>
      <c r="ER33" s="27"/>
      <c r="ES33" s="27"/>
      <c r="ET33" s="27"/>
      <c r="EU33" s="27"/>
      <c r="EV33" s="27"/>
      <c r="EW33" s="27"/>
      <c r="EX33" s="27"/>
      <c r="EY33" s="27"/>
      <c r="EZ33" s="27"/>
      <c r="FA33" s="27"/>
      <c r="FB33" s="27"/>
      <c r="FC33" s="27"/>
      <c r="FD33" s="27"/>
      <c r="FE33" s="27"/>
      <c r="FF33" s="27"/>
      <c r="FG33" s="27"/>
      <c r="FH33" s="27"/>
      <c r="FI33" s="27"/>
      <c r="FJ33" s="27"/>
      <c r="FK33" s="27"/>
      <c r="FL33" s="27"/>
      <c r="FM33" s="27"/>
      <c r="FN33" s="27"/>
      <c r="FO33" s="27"/>
      <c r="FP33" s="27"/>
      <c r="FQ33" s="27"/>
      <c r="FR33" s="27"/>
      <c r="FS33" s="27"/>
      <c r="FT33" s="27"/>
      <c r="FU33" s="27"/>
      <c r="FV33" s="27"/>
      <c r="FW33" s="27"/>
      <c r="FX33" s="27"/>
      <c r="FY33" s="27"/>
      <c r="FZ33" s="27"/>
      <c r="GA33" s="27"/>
      <c r="GB33" s="27"/>
      <c r="GC33" s="27"/>
      <c r="GD33" s="27"/>
      <c r="GE33" s="27"/>
      <c r="GF33" s="27"/>
      <c r="GG33" s="27"/>
      <c r="GH33" s="27"/>
      <c r="GI33" s="27"/>
      <c r="GJ33" s="27"/>
      <c r="GK33" s="27"/>
      <c r="GL33" s="27"/>
      <c r="GM33" s="27"/>
      <c r="GN33" s="27"/>
      <c r="GO33" s="27"/>
      <c r="GP33" s="27"/>
      <c r="GQ33" s="27"/>
      <c r="GR33" s="27"/>
      <c r="GS33" s="27"/>
      <c r="GT33" s="27"/>
      <c r="GU33" s="27"/>
      <c r="GV33" s="27"/>
      <c r="GW33" s="27"/>
      <c r="GX33" s="27"/>
      <c r="GY33" s="27"/>
      <c r="GZ33" s="27"/>
      <c r="HA33" s="27"/>
      <c r="HB33" s="27"/>
      <c r="HC33" s="27"/>
      <c r="HD33" s="27"/>
      <c r="HE33" s="27"/>
      <c r="HF33" s="27"/>
      <c r="HG33" s="27"/>
      <c r="HH33" s="27"/>
      <c r="HI33" s="27"/>
      <c r="HJ33" s="27"/>
      <c r="HK33" s="27"/>
      <c r="HL33" s="27"/>
      <c r="HM33" s="27"/>
      <c r="HN33" s="27"/>
      <c r="HO33" s="27"/>
      <c r="HP33" s="27"/>
      <c r="HQ33" s="27"/>
      <c r="HR33" s="27"/>
    </row>
    <row r="34" spans="1:226" x14ac:dyDescent="0.25">
      <c r="A34" s="769">
        <f t="shared" si="0"/>
        <v>10</v>
      </c>
      <c r="B34" s="770"/>
      <c r="C34" s="774"/>
      <c r="D34" s="771"/>
      <c r="E34" s="771"/>
      <c r="F34" s="27"/>
      <c r="G34" s="27"/>
      <c r="H34" s="27"/>
      <c r="I34" s="27"/>
      <c r="J34" s="27"/>
      <c r="K34" s="27"/>
      <c r="L34" s="27"/>
      <c r="M34" s="27"/>
      <c r="N34" s="27"/>
      <c r="O34" s="27"/>
      <c r="P34" s="27"/>
      <c r="Q34" s="27"/>
      <c r="R34" s="27"/>
      <c r="S34" s="27"/>
      <c r="T34" s="27"/>
      <c r="U34" s="27"/>
      <c r="V34" s="27"/>
      <c r="W34" s="27"/>
      <c r="X34" s="27"/>
      <c r="Y34" s="27"/>
      <c r="Z34" s="27"/>
      <c r="AA34" s="27"/>
      <c r="AB34" s="27"/>
      <c r="AC34" s="27"/>
      <c r="AD34" s="27"/>
      <c r="AE34" s="27"/>
      <c r="AF34" s="27"/>
      <c r="AG34" s="27"/>
      <c r="AH34" s="27"/>
      <c r="AI34" s="27"/>
      <c r="AJ34" s="27"/>
      <c r="AK34" s="27"/>
      <c r="AL34" s="27"/>
      <c r="AM34" s="27"/>
      <c r="AN34" s="27"/>
      <c r="AO34" s="27"/>
      <c r="AP34" s="27"/>
      <c r="AQ34" s="27"/>
      <c r="AR34" s="27"/>
      <c r="AS34" s="27"/>
      <c r="AT34" s="27"/>
      <c r="AU34" s="27"/>
      <c r="AV34" s="27"/>
      <c r="AW34" s="27"/>
      <c r="AX34" s="27"/>
      <c r="AY34" s="27"/>
      <c r="AZ34" s="27"/>
      <c r="BA34" s="27"/>
      <c r="BB34" s="27"/>
      <c r="BC34" s="27"/>
      <c r="BD34" s="27"/>
      <c r="BE34" s="27"/>
      <c r="BF34" s="27"/>
      <c r="BG34" s="27"/>
      <c r="BH34" s="27"/>
      <c r="BI34" s="27"/>
      <c r="BJ34" s="27"/>
      <c r="BK34" s="27"/>
      <c r="BL34" s="27"/>
      <c r="BM34" s="27"/>
      <c r="BN34" s="27"/>
      <c r="BO34" s="27"/>
      <c r="BP34" s="27"/>
      <c r="BQ34" s="27"/>
      <c r="BR34" s="27"/>
      <c r="BS34" s="27"/>
      <c r="BT34" s="27"/>
      <c r="BU34" s="27"/>
      <c r="BV34" s="27"/>
      <c r="BW34" s="27"/>
      <c r="BX34" s="27"/>
      <c r="BY34" s="27"/>
      <c r="BZ34" s="27"/>
      <c r="CA34" s="27"/>
      <c r="CB34" s="27"/>
      <c r="CC34" s="27"/>
      <c r="CD34" s="27"/>
      <c r="CE34" s="27"/>
      <c r="CF34" s="27"/>
      <c r="CG34" s="27"/>
      <c r="CH34" s="27"/>
      <c r="CI34" s="27"/>
      <c r="CJ34" s="27"/>
      <c r="CK34" s="27"/>
      <c r="CL34" s="27"/>
      <c r="CM34" s="27"/>
      <c r="CN34" s="27"/>
      <c r="CO34" s="27"/>
      <c r="CP34" s="27"/>
      <c r="CQ34" s="27"/>
      <c r="CR34" s="27"/>
      <c r="CS34" s="27"/>
      <c r="CT34" s="27"/>
      <c r="CU34" s="27"/>
      <c r="CV34" s="27"/>
      <c r="CW34" s="27"/>
      <c r="CX34" s="27"/>
      <c r="CY34" s="27"/>
      <c r="CZ34" s="27"/>
      <c r="DA34" s="27"/>
      <c r="DB34" s="27"/>
      <c r="DC34" s="27"/>
      <c r="DD34" s="27"/>
      <c r="DE34" s="27"/>
      <c r="DF34" s="27"/>
      <c r="DG34" s="27"/>
      <c r="DH34" s="27"/>
      <c r="DI34" s="27"/>
      <c r="DJ34" s="27"/>
      <c r="DK34" s="27"/>
      <c r="DL34" s="27"/>
      <c r="DM34" s="27"/>
      <c r="DN34" s="27"/>
      <c r="DO34" s="27"/>
      <c r="DP34" s="27"/>
      <c r="DQ34" s="27"/>
      <c r="DR34" s="27"/>
      <c r="DS34" s="27"/>
      <c r="DT34" s="27"/>
      <c r="DU34" s="27"/>
      <c r="DV34" s="27"/>
      <c r="DW34" s="27"/>
      <c r="DX34" s="27"/>
      <c r="DY34" s="27"/>
      <c r="DZ34" s="27"/>
      <c r="EA34" s="27"/>
      <c r="EB34" s="27"/>
      <c r="EC34" s="27"/>
      <c r="ED34" s="27"/>
      <c r="EE34" s="27"/>
      <c r="EF34" s="27"/>
      <c r="EG34" s="27"/>
      <c r="EH34" s="27"/>
      <c r="EI34" s="27"/>
      <c r="EJ34" s="27"/>
      <c r="EK34" s="27"/>
      <c r="EL34" s="27"/>
      <c r="EM34" s="27"/>
      <c r="EN34" s="27"/>
      <c r="EO34" s="27"/>
      <c r="EP34" s="27"/>
      <c r="EQ34" s="27"/>
      <c r="ER34" s="27"/>
      <c r="ES34" s="27"/>
      <c r="ET34" s="27"/>
      <c r="EU34" s="27"/>
      <c r="EV34" s="27"/>
      <c r="EW34" s="27"/>
      <c r="EX34" s="27"/>
      <c r="EY34" s="27"/>
      <c r="EZ34" s="27"/>
      <c r="FA34" s="27"/>
      <c r="FB34" s="27"/>
      <c r="FC34" s="27"/>
      <c r="FD34" s="27"/>
      <c r="FE34" s="27"/>
      <c r="FF34" s="27"/>
      <c r="FG34" s="27"/>
      <c r="FH34" s="27"/>
      <c r="FI34" s="27"/>
      <c r="FJ34" s="27"/>
      <c r="FK34" s="27"/>
      <c r="FL34" s="27"/>
      <c r="FM34" s="27"/>
      <c r="FN34" s="27"/>
      <c r="FO34" s="27"/>
      <c r="FP34" s="27"/>
      <c r="FQ34" s="27"/>
      <c r="FR34" s="27"/>
      <c r="FS34" s="27"/>
      <c r="FT34" s="27"/>
      <c r="FU34" s="27"/>
      <c r="FV34" s="27"/>
      <c r="FW34" s="27"/>
      <c r="FX34" s="27"/>
      <c r="FY34" s="27"/>
      <c r="FZ34" s="27"/>
      <c r="GA34" s="27"/>
      <c r="GB34" s="27"/>
      <c r="GC34" s="27"/>
      <c r="GD34" s="27"/>
      <c r="GE34" s="27"/>
      <c r="GF34" s="27"/>
      <c r="GG34" s="27"/>
      <c r="GH34" s="27"/>
      <c r="GI34" s="27"/>
      <c r="GJ34" s="27"/>
      <c r="GK34" s="27"/>
      <c r="GL34" s="27"/>
      <c r="GM34" s="27"/>
      <c r="GN34" s="27"/>
      <c r="GO34" s="27"/>
      <c r="GP34" s="27"/>
      <c r="GQ34" s="27"/>
      <c r="GR34" s="27"/>
      <c r="GS34" s="27"/>
      <c r="GT34" s="27"/>
      <c r="GU34" s="27"/>
      <c r="GV34" s="27"/>
      <c r="GW34" s="27"/>
      <c r="GX34" s="27"/>
      <c r="GY34" s="27"/>
      <c r="GZ34" s="27"/>
      <c r="HA34" s="27"/>
      <c r="HB34" s="27"/>
      <c r="HC34" s="27"/>
      <c r="HD34" s="27"/>
      <c r="HE34" s="27"/>
      <c r="HF34" s="27"/>
      <c r="HG34" s="27"/>
      <c r="HH34" s="27"/>
      <c r="HI34" s="27"/>
      <c r="HJ34" s="27"/>
      <c r="HK34" s="27"/>
      <c r="HL34" s="27"/>
      <c r="HM34" s="27"/>
      <c r="HN34" s="27"/>
      <c r="HO34" s="27"/>
      <c r="HP34" s="27"/>
      <c r="HQ34" s="27"/>
      <c r="HR34" s="27"/>
    </row>
    <row r="35" spans="1:226" x14ac:dyDescent="0.25">
      <c r="A35" s="769">
        <f t="shared" si="0"/>
        <v>11</v>
      </c>
      <c r="B35" s="770"/>
      <c r="C35" s="774"/>
      <c r="D35" s="771"/>
      <c r="E35" s="771"/>
      <c r="F35" s="27"/>
      <c r="G35" s="27"/>
      <c r="H35" s="27"/>
      <c r="I35" s="27"/>
      <c r="J35" s="27"/>
      <c r="K35" s="27"/>
      <c r="L35" s="27"/>
      <c r="M35" s="27"/>
      <c r="N35" s="27"/>
      <c r="O35" s="27"/>
      <c r="P35" s="27"/>
      <c r="Q35" s="27"/>
      <c r="R35" s="27"/>
      <c r="S35" s="27"/>
      <c r="T35" s="27"/>
      <c r="U35" s="27"/>
      <c r="V35" s="27"/>
      <c r="W35" s="27"/>
      <c r="X35" s="27"/>
      <c r="Y35" s="27"/>
      <c r="Z35" s="27"/>
      <c r="AA35" s="27"/>
      <c r="AB35" s="27"/>
      <c r="AC35" s="27"/>
      <c r="AD35" s="27"/>
      <c r="AE35" s="27"/>
      <c r="AF35" s="27"/>
      <c r="AG35" s="27"/>
      <c r="AH35" s="27"/>
      <c r="AI35" s="27"/>
      <c r="AJ35" s="27"/>
      <c r="AK35" s="27"/>
      <c r="AL35" s="27"/>
      <c r="AM35" s="27"/>
      <c r="AN35" s="27"/>
      <c r="AO35" s="27"/>
      <c r="AP35" s="27"/>
      <c r="AQ35" s="27"/>
      <c r="AR35" s="27"/>
      <c r="AS35" s="27"/>
      <c r="AT35" s="27"/>
      <c r="AU35" s="27"/>
      <c r="AV35" s="27"/>
      <c r="AW35" s="27"/>
      <c r="AX35" s="27"/>
      <c r="AY35" s="27"/>
      <c r="AZ35" s="27"/>
      <c r="BA35" s="27"/>
      <c r="BB35" s="27"/>
      <c r="BC35" s="27"/>
      <c r="BD35" s="27"/>
      <c r="BE35" s="27"/>
      <c r="BF35" s="27"/>
      <c r="BG35" s="27"/>
      <c r="BH35" s="27"/>
      <c r="BI35" s="27"/>
      <c r="BJ35" s="27"/>
      <c r="BK35" s="27"/>
      <c r="BL35" s="27"/>
      <c r="BM35" s="27"/>
      <c r="BN35" s="27"/>
      <c r="BO35" s="27"/>
      <c r="BP35" s="27"/>
      <c r="BQ35" s="27"/>
      <c r="BR35" s="27"/>
      <c r="BS35" s="27"/>
      <c r="BT35" s="27"/>
      <c r="BU35" s="27"/>
      <c r="BV35" s="27"/>
      <c r="BW35" s="27"/>
      <c r="BX35" s="27"/>
      <c r="BY35" s="27"/>
      <c r="BZ35" s="27"/>
      <c r="CA35" s="27"/>
      <c r="CB35" s="27"/>
      <c r="CC35" s="27"/>
      <c r="CD35" s="27"/>
      <c r="CE35" s="27"/>
      <c r="CF35" s="27"/>
      <c r="CG35" s="27"/>
      <c r="CH35" s="27"/>
      <c r="CI35" s="27"/>
      <c r="CJ35" s="27"/>
      <c r="CK35" s="27"/>
      <c r="CL35" s="27"/>
      <c r="CM35" s="27"/>
      <c r="CN35" s="27"/>
      <c r="CO35" s="27"/>
      <c r="CP35" s="27"/>
      <c r="CQ35" s="27"/>
      <c r="CR35" s="27"/>
      <c r="CS35" s="27"/>
      <c r="CT35" s="27"/>
      <c r="CU35" s="27"/>
      <c r="CV35" s="27"/>
      <c r="CW35" s="27"/>
      <c r="CX35" s="27"/>
      <c r="CY35" s="27"/>
      <c r="CZ35" s="27"/>
      <c r="DA35" s="27"/>
      <c r="DB35" s="27"/>
      <c r="DC35" s="27"/>
      <c r="DD35" s="27"/>
      <c r="DE35" s="27"/>
      <c r="DF35" s="27"/>
      <c r="DG35" s="27"/>
      <c r="DH35" s="27"/>
      <c r="DI35" s="27"/>
      <c r="DJ35" s="27"/>
      <c r="DK35" s="27"/>
      <c r="DL35" s="27"/>
      <c r="DM35" s="27"/>
      <c r="DN35" s="27"/>
      <c r="DO35" s="27"/>
      <c r="DP35" s="27"/>
      <c r="DQ35" s="27"/>
      <c r="DR35" s="27"/>
      <c r="DS35" s="27"/>
      <c r="DT35" s="27"/>
      <c r="DU35" s="27"/>
      <c r="DV35" s="27"/>
      <c r="DW35" s="27"/>
      <c r="DX35" s="27"/>
      <c r="DY35" s="27"/>
      <c r="DZ35" s="27"/>
      <c r="EA35" s="27"/>
      <c r="EB35" s="27"/>
      <c r="EC35" s="27"/>
      <c r="ED35" s="27"/>
      <c r="EE35" s="27"/>
      <c r="EF35" s="27"/>
      <c r="EG35" s="27"/>
      <c r="EH35" s="27"/>
      <c r="EI35" s="27"/>
      <c r="EJ35" s="27"/>
      <c r="EK35" s="27"/>
      <c r="EL35" s="27"/>
      <c r="EM35" s="27"/>
      <c r="EN35" s="27"/>
      <c r="EO35" s="27"/>
      <c r="EP35" s="27"/>
      <c r="EQ35" s="27"/>
      <c r="ER35" s="27"/>
      <c r="ES35" s="27"/>
      <c r="ET35" s="27"/>
      <c r="EU35" s="27"/>
      <c r="EV35" s="27"/>
      <c r="EW35" s="27"/>
      <c r="EX35" s="27"/>
      <c r="EY35" s="27"/>
      <c r="EZ35" s="27"/>
      <c r="FA35" s="27"/>
      <c r="FB35" s="27"/>
      <c r="FC35" s="27"/>
      <c r="FD35" s="27"/>
      <c r="FE35" s="27"/>
      <c r="FF35" s="27"/>
      <c r="FG35" s="27"/>
      <c r="FH35" s="27"/>
      <c r="FI35" s="27"/>
      <c r="FJ35" s="27"/>
      <c r="FK35" s="27"/>
      <c r="FL35" s="27"/>
      <c r="FM35" s="27"/>
      <c r="FN35" s="27"/>
      <c r="FO35" s="27"/>
      <c r="FP35" s="27"/>
      <c r="FQ35" s="27"/>
      <c r="FR35" s="27"/>
      <c r="FS35" s="27"/>
      <c r="FT35" s="27"/>
      <c r="FU35" s="27"/>
      <c r="FV35" s="27"/>
      <c r="FW35" s="27"/>
      <c r="FX35" s="27"/>
      <c r="FY35" s="27"/>
      <c r="FZ35" s="27"/>
      <c r="GA35" s="27"/>
      <c r="GB35" s="27"/>
      <c r="GC35" s="27"/>
      <c r="GD35" s="27"/>
      <c r="GE35" s="27"/>
      <c r="GF35" s="27"/>
      <c r="GG35" s="27"/>
      <c r="GH35" s="27"/>
      <c r="GI35" s="27"/>
      <c r="GJ35" s="27"/>
      <c r="GK35" s="27"/>
      <c r="GL35" s="27"/>
      <c r="GM35" s="27"/>
      <c r="GN35" s="27"/>
      <c r="GO35" s="27"/>
      <c r="GP35" s="27"/>
      <c r="GQ35" s="27"/>
      <c r="GR35" s="27"/>
      <c r="GS35" s="27"/>
      <c r="GT35" s="27"/>
      <c r="GU35" s="27"/>
      <c r="GV35" s="27"/>
      <c r="GW35" s="27"/>
      <c r="GX35" s="27"/>
      <c r="GY35" s="27"/>
      <c r="GZ35" s="27"/>
      <c r="HA35" s="27"/>
      <c r="HB35" s="27"/>
      <c r="HC35" s="27"/>
      <c r="HD35" s="27"/>
      <c r="HE35" s="27"/>
      <c r="HF35" s="27"/>
      <c r="HG35" s="27"/>
      <c r="HH35" s="27"/>
      <c r="HI35" s="27"/>
      <c r="HJ35" s="27"/>
      <c r="HK35" s="27"/>
      <c r="HL35" s="27"/>
      <c r="HM35" s="27"/>
      <c r="HN35" s="27"/>
      <c r="HO35" s="27"/>
      <c r="HP35" s="27"/>
      <c r="HQ35" s="27"/>
      <c r="HR35" s="27"/>
    </row>
    <row r="36" spans="1:226" x14ac:dyDescent="0.25">
      <c r="A36" s="769">
        <f t="shared" si="0"/>
        <v>12</v>
      </c>
      <c r="B36" s="770"/>
      <c r="C36" s="774"/>
      <c r="D36" s="771"/>
      <c r="E36" s="771"/>
      <c r="F36" s="27"/>
      <c r="G36" s="27"/>
      <c r="H36" s="27"/>
      <c r="I36" s="27"/>
      <c r="J36" s="27"/>
      <c r="K36" s="27"/>
      <c r="L36" s="27"/>
      <c r="M36" s="27"/>
      <c r="N36" s="27"/>
      <c r="O36" s="27"/>
      <c r="P36" s="27"/>
      <c r="Q36" s="27"/>
      <c r="R36" s="27"/>
      <c r="S36" s="27"/>
      <c r="T36" s="27"/>
      <c r="U36" s="27"/>
      <c r="V36" s="27"/>
      <c r="W36" s="27"/>
      <c r="X36" s="27"/>
      <c r="Y36" s="27"/>
      <c r="Z36" s="27"/>
      <c r="AA36" s="27"/>
      <c r="AB36" s="27"/>
      <c r="AC36" s="27"/>
      <c r="AD36" s="27"/>
      <c r="AE36" s="27"/>
      <c r="AF36" s="27"/>
      <c r="AG36" s="27"/>
      <c r="AH36" s="27"/>
      <c r="AI36" s="27"/>
      <c r="AJ36" s="27"/>
      <c r="AK36" s="27"/>
      <c r="AL36" s="27"/>
      <c r="AM36" s="27"/>
      <c r="AN36" s="27"/>
      <c r="AO36" s="27"/>
      <c r="AP36" s="27"/>
      <c r="AQ36" s="27"/>
      <c r="AR36" s="27"/>
      <c r="AS36" s="27"/>
      <c r="AT36" s="27"/>
      <c r="AU36" s="27"/>
      <c r="AV36" s="27"/>
      <c r="AW36" s="27"/>
      <c r="AX36" s="27"/>
      <c r="AY36" s="27"/>
      <c r="AZ36" s="27"/>
      <c r="BA36" s="27"/>
      <c r="BB36" s="27"/>
      <c r="BC36" s="27"/>
      <c r="BD36" s="27"/>
      <c r="BE36" s="27"/>
      <c r="BF36" s="27"/>
      <c r="BG36" s="27"/>
      <c r="BH36" s="27"/>
      <c r="BI36" s="27"/>
      <c r="BJ36" s="27"/>
      <c r="BK36" s="27"/>
      <c r="BL36" s="27"/>
      <c r="BM36" s="27"/>
      <c r="BN36" s="27"/>
      <c r="BO36" s="27"/>
      <c r="BP36" s="27"/>
      <c r="BQ36" s="27"/>
      <c r="BR36" s="27"/>
      <c r="BS36" s="27"/>
      <c r="BT36" s="27"/>
      <c r="BU36" s="27"/>
      <c r="BV36" s="27"/>
      <c r="BW36" s="27"/>
      <c r="BX36" s="27"/>
      <c r="BY36" s="27"/>
      <c r="BZ36" s="27"/>
      <c r="CA36" s="27"/>
      <c r="CB36" s="27"/>
      <c r="CC36" s="27"/>
      <c r="CD36" s="27"/>
      <c r="CE36" s="27"/>
      <c r="CF36" s="27"/>
      <c r="CG36" s="27"/>
      <c r="CH36" s="27"/>
      <c r="CI36" s="27"/>
      <c r="CJ36" s="27"/>
      <c r="CK36" s="27"/>
      <c r="CL36" s="27"/>
      <c r="CM36" s="27"/>
      <c r="CN36" s="27"/>
      <c r="CO36" s="27"/>
      <c r="CP36" s="27"/>
      <c r="CQ36" s="27"/>
      <c r="CR36" s="27"/>
      <c r="CS36" s="27"/>
      <c r="CT36" s="27"/>
      <c r="CU36" s="27"/>
      <c r="CV36" s="27"/>
      <c r="CW36" s="27"/>
      <c r="CX36" s="27"/>
      <c r="CY36" s="27"/>
      <c r="CZ36" s="27"/>
      <c r="DA36" s="27"/>
      <c r="DB36" s="27"/>
      <c r="DC36" s="27"/>
      <c r="DD36" s="27"/>
      <c r="DE36" s="27"/>
      <c r="DF36" s="27"/>
      <c r="DG36" s="27"/>
      <c r="DH36" s="27"/>
      <c r="DI36" s="27"/>
      <c r="DJ36" s="27"/>
      <c r="DK36" s="27"/>
      <c r="DL36" s="27"/>
      <c r="DM36" s="27"/>
      <c r="DN36" s="27"/>
      <c r="DO36" s="27"/>
      <c r="DP36" s="27"/>
      <c r="DQ36" s="27"/>
      <c r="DR36" s="27"/>
      <c r="DS36" s="27"/>
      <c r="DT36" s="27"/>
      <c r="DU36" s="27"/>
      <c r="DV36" s="27"/>
      <c r="DW36" s="27"/>
      <c r="DX36" s="27"/>
      <c r="DY36" s="27"/>
      <c r="DZ36" s="27"/>
      <c r="EA36" s="27"/>
      <c r="EB36" s="27"/>
      <c r="EC36" s="27"/>
      <c r="ED36" s="27"/>
      <c r="EE36" s="27"/>
      <c r="EF36" s="27"/>
      <c r="EG36" s="27"/>
      <c r="EH36" s="27"/>
      <c r="EI36" s="27"/>
      <c r="EJ36" s="27"/>
      <c r="EK36" s="27"/>
      <c r="EL36" s="27"/>
      <c r="EM36" s="27"/>
      <c r="EN36" s="27"/>
      <c r="EO36" s="27"/>
      <c r="EP36" s="27"/>
      <c r="EQ36" s="27"/>
      <c r="ER36" s="27"/>
      <c r="ES36" s="27"/>
      <c r="ET36" s="27"/>
      <c r="EU36" s="27"/>
      <c r="EV36" s="27"/>
      <c r="EW36" s="27"/>
      <c r="EX36" s="27"/>
      <c r="EY36" s="27"/>
      <c r="EZ36" s="27"/>
      <c r="FA36" s="27"/>
      <c r="FB36" s="27"/>
      <c r="FC36" s="27"/>
      <c r="FD36" s="27"/>
      <c r="FE36" s="27"/>
      <c r="FF36" s="27"/>
      <c r="FG36" s="27"/>
      <c r="FH36" s="27"/>
      <c r="FI36" s="27"/>
      <c r="FJ36" s="27"/>
      <c r="FK36" s="27"/>
      <c r="FL36" s="27"/>
      <c r="FM36" s="27"/>
      <c r="FN36" s="27"/>
      <c r="FO36" s="27"/>
      <c r="FP36" s="27"/>
      <c r="FQ36" s="27"/>
      <c r="FR36" s="27"/>
      <c r="FS36" s="27"/>
      <c r="FT36" s="27"/>
      <c r="FU36" s="27"/>
      <c r="FV36" s="27"/>
      <c r="FW36" s="27"/>
      <c r="FX36" s="27"/>
      <c r="FY36" s="27"/>
      <c r="FZ36" s="27"/>
      <c r="GA36" s="27"/>
      <c r="GB36" s="27"/>
      <c r="GC36" s="27"/>
      <c r="GD36" s="27"/>
      <c r="GE36" s="27"/>
      <c r="GF36" s="27"/>
      <c r="GG36" s="27"/>
      <c r="GH36" s="27"/>
      <c r="GI36" s="27"/>
      <c r="GJ36" s="27"/>
      <c r="GK36" s="27"/>
      <c r="GL36" s="27"/>
      <c r="GM36" s="27"/>
      <c r="GN36" s="27"/>
      <c r="GO36" s="27"/>
      <c r="GP36" s="27"/>
      <c r="GQ36" s="27"/>
      <c r="GR36" s="27"/>
      <c r="GS36" s="27"/>
      <c r="GT36" s="27"/>
      <c r="GU36" s="27"/>
      <c r="GV36" s="27"/>
      <c r="GW36" s="27"/>
      <c r="GX36" s="27"/>
      <c r="GY36" s="27"/>
      <c r="GZ36" s="27"/>
      <c r="HA36" s="27"/>
      <c r="HB36" s="27"/>
      <c r="HC36" s="27"/>
      <c r="HD36" s="27"/>
      <c r="HE36" s="27"/>
      <c r="HF36" s="27"/>
      <c r="HG36" s="27"/>
      <c r="HH36" s="27"/>
      <c r="HI36" s="27"/>
      <c r="HJ36" s="27"/>
      <c r="HK36" s="27"/>
      <c r="HL36" s="27"/>
      <c r="HM36" s="27"/>
      <c r="HN36" s="27"/>
      <c r="HO36" s="27"/>
      <c r="HP36" s="27"/>
      <c r="HQ36" s="27"/>
      <c r="HR36" s="27"/>
    </row>
    <row r="37" spans="1:226" x14ac:dyDescent="0.25">
      <c r="A37" s="903" t="s">
        <v>123</v>
      </c>
      <c r="B37" s="901"/>
      <c r="C37" s="902">
        <f>C24</f>
        <v>4228497.1399999997</v>
      </c>
      <c r="D37" s="771"/>
      <c r="E37" s="771"/>
      <c r="F37" s="27"/>
      <c r="G37" s="27"/>
      <c r="H37" s="27"/>
      <c r="I37" s="27"/>
      <c r="J37" s="27"/>
      <c r="K37" s="27"/>
      <c r="L37" s="27"/>
      <c r="M37" s="27"/>
      <c r="N37" s="27"/>
      <c r="O37" s="27"/>
      <c r="P37" s="27"/>
      <c r="Q37" s="27"/>
      <c r="R37" s="27"/>
      <c r="S37" s="27"/>
      <c r="T37" s="27"/>
      <c r="U37" s="27"/>
      <c r="V37" s="27"/>
      <c r="W37" s="27"/>
      <c r="X37" s="27"/>
      <c r="Y37" s="27"/>
      <c r="Z37" s="27"/>
      <c r="AA37" s="27"/>
      <c r="AB37" s="27"/>
      <c r="AC37" s="27"/>
      <c r="AD37" s="27"/>
      <c r="AE37" s="27"/>
      <c r="AF37" s="27"/>
      <c r="AG37" s="27"/>
      <c r="AH37" s="27"/>
      <c r="AI37" s="27"/>
      <c r="AJ37" s="27"/>
      <c r="AK37" s="27"/>
      <c r="AL37" s="27"/>
      <c r="AM37" s="27"/>
      <c r="AN37" s="27"/>
      <c r="AO37" s="27"/>
      <c r="AP37" s="27"/>
      <c r="AQ37" s="27"/>
      <c r="AR37" s="27"/>
      <c r="AS37" s="27"/>
      <c r="AT37" s="27"/>
      <c r="AU37" s="27"/>
      <c r="AV37" s="27"/>
      <c r="AW37" s="27"/>
      <c r="AX37" s="27"/>
      <c r="AY37" s="27"/>
      <c r="AZ37" s="27"/>
      <c r="BA37" s="27"/>
      <c r="BB37" s="27"/>
      <c r="BC37" s="27"/>
      <c r="BD37" s="27"/>
      <c r="BE37" s="27"/>
      <c r="BF37" s="27"/>
      <c r="BG37" s="27"/>
      <c r="BH37" s="27"/>
      <c r="BI37" s="27"/>
      <c r="BJ37" s="27"/>
      <c r="BK37" s="27"/>
      <c r="BL37" s="27"/>
      <c r="BM37" s="27"/>
      <c r="BN37" s="27"/>
      <c r="BO37" s="27"/>
      <c r="BP37" s="27"/>
      <c r="BQ37" s="27"/>
      <c r="BR37" s="27"/>
      <c r="BS37" s="27"/>
      <c r="BT37" s="27"/>
      <c r="BU37" s="27"/>
      <c r="BV37" s="27"/>
      <c r="BW37" s="27"/>
      <c r="BX37" s="27"/>
      <c r="BY37" s="27"/>
      <c r="BZ37" s="27"/>
      <c r="CA37" s="27"/>
      <c r="CB37" s="27"/>
      <c r="CC37" s="27"/>
      <c r="CD37" s="27"/>
      <c r="CE37" s="27"/>
      <c r="CF37" s="27"/>
      <c r="CG37" s="27"/>
      <c r="CH37" s="27"/>
      <c r="CI37" s="27"/>
      <c r="CJ37" s="27"/>
      <c r="CK37" s="27"/>
      <c r="CL37" s="27"/>
      <c r="CM37" s="27"/>
      <c r="CN37" s="27"/>
      <c r="CO37" s="27"/>
      <c r="CP37" s="27"/>
      <c r="CQ37" s="27"/>
      <c r="CR37" s="27"/>
      <c r="CS37" s="27"/>
      <c r="CT37" s="27"/>
      <c r="CU37" s="27"/>
      <c r="CV37" s="27"/>
      <c r="CW37" s="27"/>
      <c r="CX37" s="27"/>
      <c r="CY37" s="27"/>
      <c r="CZ37" s="27"/>
      <c r="DA37" s="27"/>
      <c r="DB37" s="27"/>
      <c r="DC37" s="27"/>
      <c r="DD37" s="27"/>
      <c r="DE37" s="27"/>
      <c r="DF37" s="27"/>
      <c r="DG37" s="27"/>
      <c r="DH37" s="27"/>
      <c r="DI37" s="27"/>
      <c r="DJ37" s="27"/>
      <c r="DK37" s="27"/>
      <c r="DL37" s="27"/>
      <c r="DM37" s="27"/>
      <c r="DN37" s="27"/>
      <c r="DO37" s="27"/>
      <c r="DP37" s="27"/>
      <c r="DQ37" s="27"/>
      <c r="DR37" s="27"/>
      <c r="DS37" s="27"/>
      <c r="DT37" s="27"/>
      <c r="DU37" s="27"/>
      <c r="DV37" s="27"/>
      <c r="DW37" s="27"/>
      <c r="DX37" s="27"/>
      <c r="DY37" s="27"/>
      <c r="DZ37" s="27"/>
      <c r="EA37" s="27"/>
      <c r="EB37" s="27"/>
      <c r="EC37" s="27"/>
      <c r="ED37" s="27"/>
      <c r="EE37" s="27"/>
      <c r="EF37" s="27"/>
      <c r="EG37" s="27"/>
      <c r="EH37" s="27"/>
      <c r="EI37" s="27"/>
      <c r="EJ37" s="27"/>
      <c r="EK37" s="27"/>
      <c r="EL37" s="27"/>
      <c r="EM37" s="27"/>
      <c r="EN37" s="27"/>
      <c r="EO37" s="27"/>
      <c r="EP37" s="27"/>
      <c r="EQ37" s="27"/>
      <c r="ER37" s="27"/>
      <c r="ES37" s="27"/>
      <c r="ET37" s="27"/>
      <c r="EU37" s="27"/>
      <c r="EV37" s="27"/>
      <c r="EW37" s="27"/>
      <c r="EX37" s="27"/>
      <c r="EY37" s="27"/>
      <c r="EZ37" s="27"/>
      <c r="FA37" s="27"/>
      <c r="FB37" s="27"/>
      <c r="FC37" s="27"/>
      <c r="FD37" s="27"/>
      <c r="FE37" s="27"/>
      <c r="FF37" s="27"/>
      <c r="FG37" s="27"/>
      <c r="FH37" s="27"/>
      <c r="FI37" s="27"/>
      <c r="FJ37" s="27"/>
      <c r="FK37" s="27"/>
      <c r="FL37" s="27"/>
      <c r="FM37" s="27"/>
      <c r="FN37" s="27"/>
      <c r="FO37" s="27"/>
      <c r="FP37" s="27"/>
      <c r="FQ37" s="27"/>
      <c r="FR37" s="27"/>
      <c r="FS37" s="27"/>
      <c r="FT37" s="27"/>
      <c r="FU37" s="27"/>
      <c r="FV37" s="27"/>
      <c r="FW37" s="27"/>
      <c r="FX37" s="27"/>
      <c r="FY37" s="27"/>
      <c r="FZ37" s="27"/>
      <c r="GA37" s="27"/>
      <c r="GB37" s="27"/>
      <c r="GC37" s="27"/>
      <c r="GD37" s="27"/>
      <c r="GE37" s="27"/>
      <c r="GF37" s="27"/>
      <c r="GG37" s="27"/>
      <c r="GH37" s="27"/>
      <c r="GI37" s="27"/>
      <c r="GJ37" s="27"/>
      <c r="GK37" s="27"/>
      <c r="GL37" s="27"/>
      <c r="GM37" s="27"/>
      <c r="GN37" s="27"/>
      <c r="GO37" s="27"/>
      <c r="GP37" s="27"/>
      <c r="GQ37" s="27"/>
      <c r="GR37" s="27"/>
      <c r="GS37" s="27"/>
      <c r="GT37" s="27"/>
      <c r="GU37" s="27"/>
      <c r="GV37" s="27"/>
      <c r="GW37" s="27"/>
      <c r="GX37" s="27"/>
      <c r="GY37" s="27"/>
      <c r="GZ37" s="27"/>
      <c r="HA37" s="27"/>
      <c r="HB37" s="27"/>
      <c r="HC37" s="27"/>
      <c r="HD37" s="27"/>
      <c r="HE37" s="27"/>
      <c r="HF37" s="27"/>
      <c r="HG37" s="27"/>
      <c r="HH37" s="27"/>
      <c r="HI37" s="27"/>
      <c r="HJ37" s="27"/>
      <c r="HK37" s="27"/>
      <c r="HL37" s="27"/>
      <c r="HM37" s="27"/>
      <c r="HN37" s="27"/>
      <c r="HO37" s="27"/>
      <c r="HP37" s="27"/>
      <c r="HQ37" s="27"/>
      <c r="HR37" s="27"/>
    </row>
    <row r="38" spans="1:226" ht="8.25" customHeight="1" x14ac:dyDescent="0.25">
      <c r="A38" s="33"/>
      <c r="B38" s="33"/>
      <c r="C38" s="33"/>
      <c r="D38" s="33"/>
      <c r="E38" s="37"/>
      <c r="F38" s="27"/>
      <c r="G38" s="27"/>
      <c r="H38" s="27"/>
      <c r="I38" s="27"/>
      <c r="J38" s="27"/>
      <c r="K38" s="27"/>
      <c r="L38" s="27"/>
      <c r="M38" s="27"/>
      <c r="N38" s="27"/>
      <c r="O38" s="27"/>
      <c r="P38" s="27"/>
      <c r="Q38" s="27"/>
      <c r="R38" s="27"/>
      <c r="S38" s="27"/>
      <c r="T38" s="27"/>
      <c r="U38" s="27"/>
      <c r="V38" s="27"/>
      <c r="W38" s="27"/>
      <c r="X38" s="27"/>
      <c r="Y38" s="27"/>
      <c r="Z38" s="27"/>
      <c r="AA38" s="27"/>
      <c r="AB38" s="27"/>
      <c r="AC38" s="27"/>
      <c r="AD38" s="27"/>
      <c r="AE38" s="27"/>
      <c r="AF38" s="27"/>
      <c r="AG38" s="27"/>
      <c r="AH38" s="27"/>
      <c r="AI38" s="27"/>
      <c r="AJ38" s="27"/>
      <c r="AK38" s="27"/>
      <c r="AL38" s="27"/>
      <c r="AM38" s="27"/>
      <c r="AN38" s="27"/>
      <c r="AO38" s="27"/>
      <c r="AP38" s="27"/>
      <c r="AQ38" s="27"/>
      <c r="AR38" s="27"/>
      <c r="AS38" s="27"/>
      <c r="AT38" s="27"/>
      <c r="AU38" s="27"/>
      <c r="AV38" s="27"/>
      <c r="AW38" s="27"/>
      <c r="AX38" s="27"/>
      <c r="AY38" s="27"/>
      <c r="AZ38" s="27"/>
      <c r="BA38" s="27"/>
      <c r="BB38" s="27"/>
      <c r="BC38" s="27"/>
      <c r="BD38" s="27"/>
      <c r="BE38" s="27"/>
      <c r="BF38" s="27"/>
      <c r="BG38" s="27"/>
      <c r="BH38" s="27"/>
      <c r="BI38" s="27"/>
      <c r="BJ38" s="27"/>
      <c r="BK38" s="27"/>
      <c r="BL38" s="27"/>
      <c r="BM38" s="27"/>
      <c r="BN38" s="27"/>
      <c r="BO38" s="27"/>
      <c r="BP38" s="27"/>
      <c r="BQ38" s="27"/>
      <c r="BR38" s="27"/>
      <c r="BS38" s="27"/>
      <c r="BT38" s="27"/>
      <c r="BU38" s="27"/>
      <c r="BV38" s="27"/>
      <c r="BW38" s="27"/>
      <c r="BX38" s="27"/>
      <c r="BY38" s="27"/>
      <c r="BZ38" s="27"/>
      <c r="CA38" s="27"/>
      <c r="CB38" s="27"/>
      <c r="CC38" s="27"/>
      <c r="CD38" s="27"/>
      <c r="CE38" s="27"/>
      <c r="CF38" s="27"/>
      <c r="CG38" s="27"/>
      <c r="CH38" s="27"/>
      <c r="CI38" s="27"/>
      <c r="CJ38" s="27"/>
      <c r="CK38" s="27"/>
      <c r="CL38" s="27"/>
      <c r="CM38" s="27"/>
      <c r="CN38" s="27"/>
      <c r="CO38" s="27"/>
      <c r="CP38" s="27"/>
      <c r="CQ38" s="27"/>
      <c r="CR38" s="27"/>
      <c r="CS38" s="27"/>
      <c r="CT38" s="27"/>
      <c r="CU38" s="27"/>
      <c r="CV38" s="27"/>
      <c r="CW38" s="27"/>
      <c r="CX38" s="27"/>
      <c r="CY38" s="27"/>
      <c r="CZ38" s="27"/>
      <c r="DA38" s="27"/>
      <c r="DB38" s="27"/>
      <c r="DC38" s="27"/>
      <c r="DD38" s="27"/>
      <c r="DE38" s="27"/>
      <c r="DF38" s="27"/>
      <c r="DG38" s="27"/>
      <c r="DH38" s="27"/>
      <c r="DI38" s="27"/>
      <c r="DJ38" s="27"/>
      <c r="DK38" s="27"/>
      <c r="DL38" s="27"/>
      <c r="DM38" s="27"/>
      <c r="DN38" s="27"/>
      <c r="DO38" s="27"/>
      <c r="DP38" s="27"/>
      <c r="DQ38" s="27"/>
      <c r="DR38" s="27"/>
      <c r="DS38" s="27"/>
      <c r="DT38" s="27"/>
      <c r="DU38" s="27"/>
      <c r="DV38" s="27"/>
      <c r="DW38" s="27"/>
      <c r="DX38" s="27"/>
      <c r="DY38" s="27"/>
      <c r="DZ38" s="27"/>
      <c r="EA38" s="27"/>
      <c r="EB38" s="27"/>
      <c r="EC38" s="27"/>
      <c r="ED38" s="27"/>
      <c r="EE38" s="27"/>
      <c r="EF38" s="27"/>
      <c r="EG38" s="27"/>
      <c r="EH38" s="27"/>
      <c r="EI38" s="27"/>
      <c r="EJ38" s="27"/>
      <c r="EK38" s="27"/>
      <c r="EL38" s="27"/>
      <c r="EM38" s="27"/>
      <c r="EN38" s="27"/>
      <c r="EO38" s="27"/>
      <c r="EP38" s="27"/>
      <c r="EQ38" s="27"/>
      <c r="ER38" s="27"/>
      <c r="ES38" s="27"/>
      <c r="ET38" s="27"/>
      <c r="EU38" s="27"/>
      <c r="EV38" s="27"/>
      <c r="EW38" s="27"/>
      <c r="EX38" s="27"/>
      <c r="EY38" s="27"/>
      <c r="EZ38" s="27"/>
      <c r="FA38" s="27"/>
      <c r="FB38" s="27"/>
      <c r="FC38" s="27"/>
      <c r="FD38" s="27"/>
      <c r="FE38" s="27"/>
      <c r="FF38" s="27"/>
      <c r="FG38" s="27"/>
      <c r="FH38" s="27"/>
      <c r="FI38" s="27"/>
      <c r="FJ38" s="27"/>
      <c r="FK38" s="27"/>
      <c r="FL38" s="27"/>
      <c r="FM38" s="27"/>
      <c r="FN38" s="27"/>
      <c r="FO38" s="27"/>
      <c r="FP38" s="27"/>
      <c r="FQ38" s="27"/>
      <c r="FR38" s="27"/>
      <c r="FS38" s="27"/>
      <c r="FT38" s="27"/>
      <c r="FU38" s="27"/>
      <c r="FV38" s="27"/>
      <c r="FW38" s="27"/>
      <c r="FX38" s="27"/>
      <c r="FY38" s="27"/>
      <c r="FZ38" s="27"/>
      <c r="GA38" s="27"/>
      <c r="GB38" s="27"/>
      <c r="GC38" s="27"/>
      <c r="GD38" s="27"/>
      <c r="GE38" s="27"/>
      <c r="GF38" s="27"/>
      <c r="GG38" s="27"/>
      <c r="GH38" s="27"/>
      <c r="GI38" s="27"/>
      <c r="GJ38" s="27"/>
      <c r="GK38" s="27"/>
      <c r="GL38" s="27"/>
      <c r="GM38" s="27"/>
      <c r="GN38" s="27"/>
      <c r="GO38" s="27"/>
      <c r="GP38" s="27"/>
      <c r="GQ38" s="27"/>
      <c r="GR38" s="27"/>
      <c r="GS38" s="27"/>
      <c r="GT38" s="27"/>
      <c r="GU38" s="27"/>
      <c r="GV38" s="27"/>
      <c r="GW38" s="27"/>
      <c r="GX38" s="27"/>
      <c r="GY38" s="27"/>
      <c r="GZ38" s="27"/>
      <c r="HA38" s="27"/>
      <c r="HB38" s="27"/>
      <c r="HC38" s="27"/>
      <c r="HD38" s="27"/>
      <c r="HE38" s="27"/>
      <c r="HF38" s="27"/>
      <c r="HG38" s="27"/>
      <c r="HH38" s="27"/>
      <c r="HI38" s="27"/>
      <c r="HJ38" s="27"/>
      <c r="HK38" s="27"/>
      <c r="HL38" s="27"/>
      <c r="HM38" s="27"/>
      <c r="HN38" s="27"/>
      <c r="HO38" s="27"/>
      <c r="HP38" s="27"/>
      <c r="HQ38" s="27"/>
      <c r="HR38" s="27"/>
    </row>
    <row r="39" spans="1:226" x14ac:dyDescent="0.25">
      <c r="A39" s="904" t="s">
        <v>124</v>
      </c>
      <c r="B39" s="33"/>
      <c r="C39" s="33"/>
      <c r="D39" s="33"/>
      <c r="E39" s="33"/>
      <c r="F39" s="27"/>
      <c r="G39" s="27"/>
      <c r="H39" s="27"/>
      <c r="I39" s="27"/>
      <c r="J39" s="27"/>
      <c r="K39" s="27"/>
      <c r="L39" s="27"/>
      <c r="M39" s="27"/>
      <c r="N39" s="27"/>
      <c r="O39" s="27"/>
      <c r="P39" s="27"/>
      <c r="Q39" s="27"/>
      <c r="R39" s="27"/>
      <c r="S39" s="27"/>
      <c r="T39" s="27"/>
      <c r="U39" s="27"/>
      <c r="V39" s="27"/>
      <c r="W39" s="27"/>
      <c r="X39" s="27"/>
      <c r="Y39" s="27"/>
      <c r="Z39" s="27"/>
      <c r="AA39" s="27"/>
      <c r="AB39" s="27"/>
      <c r="AC39" s="27"/>
      <c r="AD39" s="27"/>
      <c r="AE39" s="27"/>
      <c r="AF39" s="27"/>
      <c r="AG39" s="27"/>
      <c r="AH39" s="27"/>
      <c r="AI39" s="27"/>
      <c r="AJ39" s="27"/>
      <c r="AK39" s="27"/>
      <c r="AL39" s="27"/>
      <c r="AM39" s="27"/>
      <c r="AN39" s="27"/>
      <c r="AO39" s="27"/>
      <c r="AP39" s="27"/>
      <c r="AQ39" s="27"/>
      <c r="AR39" s="27"/>
      <c r="AS39" s="27"/>
      <c r="AT39" s="27"/>
      <c r="AU39" s="27"/>
      <c r="AV39" s="27"/>
      <c r="AW39" s="27"/>
      <c r="AX39" s="27"/>
      <c r="AY39" s="27"/>
      <c r="AZ39" s="27"/>
      <c r="BA39" s="27"/>
      <c r="BB39" s="27"/>
      <c r="BC39" s="27"/>
      <c r="BD39" s="27"/>
      <c r="BE39" s="27"/>
      <c r="BF39" s="27"/>
      <c r="BG39" s="27"/>
      <c r="BH39" s="27"/>
      <c r="BI39" s="27"/>
      <c r="BJ39" s="27"/>
      <c r="BK39" s="27"/>
      <c r="BL39" s="27"/>
      <c r="BM39" s="27"/>
      <c r="BN39" s="27"/>
      <c r="BO39" s="27"/>
      <c r="BP39" s="27"/>
      <c r="BQ39" s="27"/>
      <c r="BR39" s="27"/>
      <c r="BS39" s="27"/>
      <c r="BT39" s="27"/>
      <c r="BU39" s="27"/>
      <c r="BV39" s="27"/>
      <c r="BW39" s="27"/>
      <c r="BX39" s="27"/>
      <c r="BY39" s="27"/>
      <c r="BZ39" s="27"/>
      <c r="CA39" s="27"/>
      <c r="CB39" s="27"/>
      <c r="CC39" s="27"/>
      <c r="CD39" s="27"/>
      <c r="CE39" s="27"/>
      <c r="CF39" s="27"/>
      <c r="CG39" s="27"/>
      <c r="CH39" s="27"/>
      <c r="CI39" s="27"/>
      <c r="CJ39" s="27"/>
      <c r="CK39" s="27"/>
      <c r="CL39" s="27"/>
      <c r="CM39" s="27"/>
      <c r="CN39" s="27"/>
      <c r="CO39" s="27"/>
      <c r="CP39" s="27"/>
      <c r="CQ39" s="27"/>
      <c r="CR39" s="27"/>
      <c r="CS39" s="27"/>
      <c r="CT39" s="27"/>
      <c r="CU39" s="27"/>
      <c r="CV39" s="27"/>
      <c r="CW39" s="27"/>
      <c r="CX39" s="27"/>
      <c r="CY39" s="27"/>
      <c r="CZ39" s="27"/>
      <c r="DA39" s="27"/>
      <c r="DB39" s="27"/>
      <c r="DC39" s="27"/>
      <c r="DD39" s="27"/>
      <c r="DE39" s="27"/>
      <c r="DF39" s="27"/>
      <c r="DG39" s="27"/>
      <c r="DH39" s="27"/>
      <c r="DI39" s="27"/>
      <c r="DJ39" s="27"/>
      <c r="DK39" s="27"/>
      <c r="DL39" s="27"/>
      <c r="DM39" s="27"/>
      <c r="DN39" s="27"/>
      <c r="DO39" s="27"/>
      <c r="DP39" s="27"/>
      <c r="DQ39" s="27"/>
      <c r="DR39" s="27"/>
      <c r="DS39" s="27"/>
      <c r="DT39" s="27"/>
      <c r="DU39" s="27"/>
      <c r="DV39" s="27"/>
      <c r="DW39" s="27"/>
      <c r="DX39" s="27"/>
      <c r="DY39" s="27"/>
      <c r="DZ39" s="27"/>
      <c r="EA39" s="27"/>
      <c r="EB39" s="27"/>
      <c r="EC39" s="27"/>
      <c r="ED39" s="27"/>
      <c r="EE39" s="27"/>
      <c r="EF39" s="27"/>
      <c r="EG39" s="27"/>
      <c r="EH39" s="27"/>
      <c r="EI39" s="27"/>
      <c r="EJ39" s="27"/>
      <c r="EK39" s="27"/>
      <c r="EL39" s="27"/>
      <c r="EM39" s="27"/>
      <c r="EN39" s="27"/>
      <c r="EO39" s="27"/>
      <c r="EP39" s="27"/>
      <c r="EQ39" s="27"/>
      <c r="ER39" s="27"/>
      <c r="ES39" s="27"/>
      <c r="ET39" s="27"/>
      <c r="EU39" s="27"/>
      <c r="EV39" s="27"/>
      <c r="EW39" s="27"/>
      <c r="EX39" s="27"/>
      <c r="EY39" s="27"/>
      <c r="EZ39" s="27"/>
      <c r="FA39" s="27"/>
      <c r="FB39" s="27"/>
      <c r="FC39" s="27"/>
      <c r="FD39" s="27"/>
      <c r="FE39" s="27"/>
      <c r="FF39" s="27"/>
      <c r="FG39" s="27"/>
      <c r="FH39" s="27"/>
      <c r="FI39" s="27"/>
      <c r="FJ39" s="27"/>
      <c r="FK39" s="27"/>
      <c r="FL39" s="27"/>
      <c r="FM39" s="27"/>
      <c r="FN39" s="27"/>
      <c r="FO39" s="27"/>
      <c r="FP39" s="27"/>
      <c r="FQ39" s="27"/>
      <c r="FR39" s="27"/>
      <c r="FS39" s="27"/>
      <c r="FT39" s="27"/>
      <c r="FU39" s="27"/>
      <c r="FV39" s="27"/>
      <c r="FW39" s="27"/>
      <c r="FX39" s="27"/>
      <c r="FY39" s="27"/>
      <c r="FZ39" s="27"/>
      <c r="GA39" s="27"/>
      <c r="GB39" s="27"/>
      <c r="GC39" s="27"/>
      <c r="GD39" s="27"/>
      <c r="GE39" s="27"/>
      <c r="GF39" s="27"/>
      <c r="GG39" s="27"/>
      <c r="GH39" s="27"/>
      <c r="GI39" s="27"/>
      <c r="GJ39" s="27"/>
      <c r="GK39" s="27"/>
      <c r="GL39" s="27"/>
      <c r="GM39" s="27"/>
      <c r="GN39" s="27"/>
      <c r="GO39" s="27"/>
      <c r="GP39" s="27"/>
      <c r="GQ39" s="27"/>
      <c r="GR39" s="27"/>
      <c r="GS39" s="27"/>
      <c r="GT39" s="27"/>
      <c r="GU39" s="27"/>
      <c r="GV39" s="27"/>
      <c r="GW39" s="27"/>
      <c r="GX39" s="27"/>
      <c r="GY39" s="27"/>
      <c r="GZ39" s="27"/>
      <c r="HA39" s="27"/>
      <c r="HB39" s="27"/>
      <c r="HC39" s="27"/>
      <c r="HD39" s="27"/>
      <c r="HE39" s="27"/>
      <c r="HF39" s="27"/>
      <c r="HG39" s="27"/>
      <c r="HH39" s="27"/>
      <c r="HI39" s="27"/>
      <c r="HJ39" s="27"/>
      <c r="HK39" s="27"/>
      <c r="HL39" s="27"/>
      <c r="HM39" s="27"/>
      <c r="HN39" s="27"/>
      <c r="HO39" s="27"/>
      <c r="HP39" s="27"/>
      <c r="HQ39" s="27"/>
      <c r="HR39" s="27"/>
    </row>
    <row r="40" spans="1:226" x14ac:dyDescent="0.25">
      <c r="A40" s="2008" t="s">
        <v>21</v>
      </c>
      <c r="B40" s="2008"/>
      <c r="C40" s="775" t="s">
        <v>69</v>
      </c>
      <c r="D40" s="775" t="s">
        <v>55</v>
      </c>
      <c r="E40" s="775" t="s">
        <v>19</v>
      </c>
      <c r="F40" s="27"/>
      <c r="G40" s="27"/>
      <c r="H40" s="27"/>
      <c r="I40" s="27"/>
      <c r="J40" s="27"/>
      <c r="K40" s="27"/>
      <c r="L40" s="27"/>
      <c r="M40" s="27"/>
      <c r="N40" s="27"/>
      <c r="O40" s="27"/>
      <c r="P40" s="27"/>
      <c r="Q40" s="27"/>
      <c r="R40" s="27"/>
      <c r="S40" s="27"/>
      <c r="T40" s="27"/>
      <c r="U40" s="27"/>
      <c r="V40" s="27"/>
      <c r="W40" s="27"/>
      <c r="X40" s="27"/>
      <c r="Y40" s="27"/>
      <c r="Z40" s="27"/>
      <c r="AA40" s="27"/>
      <c r="AB40" s="27"/>
      <c r="AC40" s="27"/>
      <c r="AD40" s="27"/>
      <c r="AE40" s="27"/>
      <c r="AF40" s="27"/>
      <c r="AG40" s="27"/>
      <c r="AH40" s="27"/>
      <c r="AI40" s="27"/>
      <c r="AJ40" s="27"/>
      <c r="AK40" s="27"/>
      <c r="AL40" s="27"/>
      <c r="AM40" s="27"/>
      <c r="AN40" s="27"/>
      <c r="AO40" s="27"/>
      <c r="AP40" s="27"/>
      <c r="AQ40" s="27"/>
      <c r="AR40" s="27"/>
      <c r="AS40" s="27"/>
      <c r="AT40" s="27"/>
      <c r="AU40" s="27"/>
      <c r="AV40" s="27"/>
      <c r="AW40" s="27"/>
      <c r="AX40" s="27"/>
      <c r="AY40" s="27"/>
      <c r="AZ40" s="27"/>
      <c r="BA40" s="27"/>
      <c r="BB40" s="27"/>
      <c r="BC40" s="27"/>
      <c r="BD40" s="27"/>
      <c r="BE40" s="27"/>
      <c r="BF40" s="27"/>
      <c r="BG40" s="27"/>
      <c r="BH40" s="27"/>
      <c r="BI40" s="27"/>
      <c r="BJ40" s="27"/>
      <c r="BK40" s="27"/>
      <c r="BL40" s="27"/>
      <c r="BM40" s="27"/>
      <c r="BN40" s="27"/>
      <c r="BO40" s="27"/>
      <c r="BP40" s="27"/>
      <c r="BQ40" s="27"/>
      <c r="BR40" s="27"/>
      <c r="BS40" s="27"/>
      <c r="BT40" s="27"/>
      <c r="BU40" s="27"/>
      <c r="BV40" s="27"/>
      <c r="BW40" s="27"/>
      <c r="BX40" s="27"/>
      <c r="BY40" s="27"/>
      <c r="BZ40" s="27"/>
      <c r="CA40" s="27"/>
      <c r="CB40" s="27"/>
      <c r="CC40" s="27"/>
      <c r="CD40" s="27"/>
      <c r="CE40" s="27"/>
      <c r="CF40" s="27"/>
      <c r="CG40" s="27"/>
      <c r="CH40" s="27"/>
      <c r="CI40" s="27"/>
      <c r="CJ40" s="27"/>
      <c r="CK40" s="27"/>
      <c r="CL40" s="27"/>
      <c r="CM40" s="27"/>
      <c r="CN40" s="27"/>
      <c r="CO40" s="27"/>
      <c r="CP40" s="27"/>
      <c r="CQ40" s="27"/>
      <c r="CR40" s="27"/>
      <c r="CS40" s="27"/>
      <c r="CT40" s="27"/>
      <c r="CU40" s="27"/>
      <c r="CV40" s="27"/>
      <c r="CW40" s="27"/>
      <c r="CX40" s="27"/>
      <c r="CY40" s="27"/>
      <c r="CZ40" s="27"/>
      <c r="DA40" s="27"/>
      <c r="DB40" s="27"/>
      <c r="DC40" s="27"/>
      <c r="DD40" s="27"/>
      <c r="DE40" s="27"/>
      <c r="DF40" s="27"/>
      <c r="DG40" s="27"/>
      <c r="DH40" s="27"/>
      <c r="DI40" s="27"/>
      <c r="DJ40" s="27"/>
      <c r="DK40" s="27"/>
      <c r="DL40" s="27"/>
      <c r="DM40" s="27"/>
      <c r="DN40" s="27"/>
      <c r="DO40" s="27"/>
      <c r="DP40" s="27"/>
      <c r="DQ40" s="27"/>
      <c r="DR40" s="27"/>
      <c r="DS40" s="27"/>
      <c r="DT40" s="27"/>
      <c r="DU40" s="27"/>
      <c r="DV40" s="27"/>
      <c r="DW40" s="27"/>
      <c r="DX40" s="27"/>
      <c r="DY40" s="27"/>
      <c r="DZ40" s="27"/>
      <c r="EA40" s="27"/>
      <c r="EB40" s="27"/>
      <c r="EC40" s="27"/>
      <c r="ED40" s="27"/>
      <c r="EE40" s="27"/>
      <c r="EF40" s="27"/>
      <c r="EG40" s="27"/>
      <c r="EH40" s="27"/>
      <c r="EI40" s="27"/>
      <c r="EJ40" s="27"/>
      <c r="EK40" s="27"/>
      <c r="EL40" s="27"/>
      <c r="EM40" s="27"/>
      <c r="EN40" s="27"/>
      <c r="EO40" s="27"/>
      <c r="EP40" s="27"/>
      <c r="EQ40" s="27"/>
      <c r="ER40" s="27"/>
      <c r="ES40" s="27"/>
      <c r="ET40" s="27"/>
      <c r="EU40" s="27"/>
      <c r="EV40" s="27"/>
      <c r="EW40" s="27"/>
      <c r="EX40" s="27"/>
      <c r="EY40" s="27"/>
      <c r="EZ40" s="27"/>
      <c r="FA40" s="27"/>
      <c r="FB40" s="27"/>
      <c r="FC40" s="27"/>
      <c r="FD40" s="27"/>
      <c r="FE40" s="27"/>
      <c r="FF40" s="27"/>
      <c r="FG40" s="27"/>
      <c r="FH40" s="27"/>
      <c r="FI40" s="27"/>
      <c r="FJ40" s="27"/>
      <c r="FK40" s="27"/>
      <c r="FL40" s="27"/>
      <c r="FM40" s="27"/>
      <c r="FN40" s="27"/>
      <c r="FO40" s="27"/>
      <c r="FP40" s="27"/>
      <c r="FQ40" s="27"/>
      <c r="FR40" s="27"/>
      <c r="FS40" s="27"/>
      <c r="FT40" s="27"/>
      <c r="FU40" s="27"/>
      <c r="FV40" s="27"/>
      <c r="FW40" s="27"/>
      <c r="FX40" s="27"/>
      <c r="FY40" s="27"/>
      <c r="FZ40" s="27"/>
      <c r="GA40" s="27"/>
      <c r="GB40" s="27"/>
      <c r="GC40" s="27"/>
      <c r="GD40" s="27"/>
      <c r="GE40" s="27"/>
      <c r="GF40" s="27"/>
      <c r="GG40" s="27"/>
      <c r="GH40" s="27"/>
      <c r="GI40" s="27"/>
      <c r="GJ40" s="27"/>
      <c r="GK40" s="27"/>
      <c r="GL40" s="27"/>
      <c r="GM40" s="27"/>
      <c r="GN40" s="27"/>
      <c r="GO40" s="27"/>
      <c r="GP40" s="27"/>
      <c r="GQ40" s="27"/>
      <c r="GR40" s="27"/>
      <c r="GS40" s="27"/>
      <c r="GT40" s="27"/>
      <c r="GU40" s="27"/>
      <c r="GV40" s="27"/>
      <c r="GW40" s="27"/>
      <c r="GX40" s="27"/>
      <c r="GY40" s="27"/>
      <c r="GZ40" s="27"/>
      <c r="HA40" s="27"/>
      <c r="HB40" s="27"/>
      <c r="HC40" s="27"/>
      <c r="HD40" s="27"/>
      <c r="HE40" s="27"/>
      <c r="HF40" s="27"/>
      <c r="HG40" s="27"/>
      <c r="HH40" s="27"/>
      <c r="HI40" s="27"/>
      <c r="HJ40" s="27"/>
      <c r="HK40" s="27"/>
      <c r="HL40" s="27"/>
      <c r="HM40" s="27"/>
      <c r="HN40" s="27"/>
      <c r="HO40" s="27"/>
      <c r="HP40" s="27"/>
      <c r="HQ40" s="27"/>
      <c r="HR40" s="27"/>
    </row>
    <row r="41" spans="1:226" x14ac:dyDescent="0.25">
      <c r="A41" s="775" t="s">
        <v>602</v>
      </c>
      <c r="B41" s="775" t="s">
        <v>3</v>
      </c>
      <c r="C41" s="775" t="s">
        <v>121</v>
      </c>
      <c r="D41" s="775" t="s">
        <v>163</v>
      </c>
      <c r="E41" s="775" t="s">
        <v>125</v>
      </c>
      <c r="F41" s="27"/>
      <c r="G41" s="27"/>
      <c r="H41" s="27"/>
      <c r="I41" s="27"/>
      <c r="J41" s="27"/>
      <c r="K41" s="27"/>
      <c r="L41" s="27"/>
      <c r="M41" s="27"/>
      <c r="N41" s="27"/>
      <c r="O41" s="27"/>
      <c r="P41" s="27"/>
      <c r="Q41" s="27"/>
      <c r="R41" s="27"/>
      <c r="S41" s="27"/>
      <c r="T41" s="27"/>
      <c r="U41" s="27"/>
      <c r="V41" s="27"/>
      <c r="W41" s="27"/>
      <c r="X41" s="27"/>
      <c r="Y41" s="27"/>
      <c r="Z41" s="27"/>
      <c r="AA41" s="27"/>
      <c r="AB41" s="27"/>
      <c r="AC41" s="27"/>
      <c r="AD41" s="27"/>
      <c r="AE41" s="27"/>
      <c r="AF41" s="27"/>
      <c r="AG41" s="27"/>
      <c r="AH41" s="27"/>
      <c r="AI41" s="27"/>
      <c r="AJ41" s="27"/>
      <c r="AK41" s="27"/>
      <c r="AL41" s="27"/>
      <c r="AM41" s="27"/>
      <c r="AN41" s="27"/>
      <c r="AO41" s="27"/>
      <c r="AP41" s="27"/>
      <c r="AQ41" s="27"/>
      <c r="AR41" s="27"/>
      <c r="AS41" s="27"/>
      <c r="AT41" s="27"/>
      <c r="AU41" s="27"/>
      <c r="AV41" s="27"/>
      <c r="AW41" s="27"/>
      <c r="AX41" s="27"/>
      <c r="AY41" s="27"/>
      <c r="AZ41" s="27"/>
      <c r="BA41" s="27"/>
      <c r="BB41" s="27"/>
      <c r="BC41" s="27"/>
      <c r="BD41" s="27"/>
      <c r="BE41" s="27"/>
      <c r="BF41" s="27"/>
      <c r="BG41" s="27"/>
      <c r="BH41" s="27"/>
      <c r="BI41" s="27"/>
      <c r="BJ41" s="27"/>
      <c r="BK41" s="27"/>
      <c r="BL41" s="27"/>
      <c r="BM41" s="27"/>
      <c r="BN41" s="27"/>
      <c r="BO41" s="27"/>
      <c r="BP41" s="27"/>
      <c r="BQ41" s="27"/>
      <c r="BR41" s="27"/>
      <c r="BS41" s="27"/>
      <c r="BT41" s="27"/>
      <c r="BU41" s="27"/>
      <c r="BV41" s="27"/>
      <c r="BW41" s="27"/>
      <c r="BX41" s="27"/>
      <c r="BY41" s="27"/>
      <c r="BZ41" s="27"/>
      <c r="CA41" s="27"/>
      <c r="CB41" s="27"/>
      <c r="CC41" s="27"/>
      <c r="CD41" s="27"/>
      <c r="CE41" s="27"/>
      <c r="CF41" s="27"/>
      <c r="CG41" s="27"/>
      <c r="CH41" s="27"/>
      <c r="CI41" s="27"/>
      <c r="CJ41" s="27"/>
      <c r="CK41" s="27"/>
      <c r="CL41" s="27"/>
      <c r="CM41" s="27"/>
      <c r="CN41" s="27"/>
      <c r="CO41" s="27"/>
      <c r="CP41" s="27"/>
      <c r="CQ41" s="27"/>
      <c r="CR41" s="27"/>
      <c r="CS41" s="27"/>
      <c r="CT41" s="27"/>
      <c r="CU41" s="27"/>
      <c r="CV41" s="27"/>
      <c r="CW41" s="27"/>
      <c r="CX41" s="27"/>
      <c r="CY41" s="27"/>
      <c r="CZ41" s="27"/>
      <c r="DA41" s="27"/>
      <c r="DB41" s="27"/>
      <c r="DC41" s="27"/>
      <c r="DD41" s="27"/>
      <c r="DE41" s="27"/>
      <c r="DF41" s="27"/>
      <c r="DG41" s="27"/>
      <c r="DH41" s="27"/>
      <c r="DI41" s="27"/>
      <c r="DJ41" s="27"/>
      <c r="DK41" s="27"/>
      <c r="DL41" s="27"/>
      <c r="DM41" s="27"/>
      <c r="DN41" s="27"/>
      <c r="DO41" s="27"/>
      <c r="DP41" s="27"/>
      <c r="DQ41" s="27"/>
      <c r="DR41" s="27"/>
      <c r="DS41" s="27"/>
      <c r="DT41" s="27"/>
      <c r="DU41" s="27"/>
      <c r="DV41" s="27"/>
      <c r="DW41" s="27"/>
      <c r="DX41" s="27"/>
      <c r="DY41" s="27"/>
      <c r="DZ41" s="27"/>
      <c r="EA41" s="27"/>
      <c r="EB41" s="27"/>
      <c r="EC41" s="27"/>
      <c r="ED41" s="27"/>
      <c r="EE41" s="27"/>
      <c r="EF41" s="27"/>
      <c r="EG41" s="27"/>
      <c r="EH41" s="27"/>
      <c r="EI41" s="27"/>
      <c r="EJ41" s="27"/>
      <c r="EK41" s="27"/>
      <c r="EL41" s="27"/>
      <c r="EM41" s="27"/>
      <c r="EN41" s="27"/>
      <c r="EO41" s="27"/>
      <c r="EP41" s="27"/>
      <c r="EQ41" s="27"/>
      <c r="ER41" s="27"/>
      <c r="ES41" s="27"/>
      <c r="ET41" s="27"/>
      <c r="EU41" s="27"/>
      <c r="EV41" s="27"/>
      <c r="EW41" s="27"/>
      <c r="EX41" s="27"/>
      <c r="EY41" s="27"/>
      <c r="EZ41" s="27"/>
      <c r="FA41" s="27"/>
      <c r="FB41" s="27"/>
      <c r="FC41" s="27"/>
      <c r="FD41" s="27"/>
      <c r="FE41" s="27"/>
      <c r="FF41" s="27"/>
      <c r="FG41" s="27"/>
      <c r="FH41" s="27"/>
      <c r="FI41" s="27"/>
      <c r="FJ41" s="27"/>
      <c r="FK41" s="27"/>
      <c r="FL41" s="27"/>
      <c r="FM41" s="27"/>
      <c r="FN41" s="27"/>
      <c r="FO41" s="27"/>
      <c r="FP41" s="27"/>
      <c r="FQ41" s="27"/>
      <c r="FR41" s="27"/>
      <c r="FS41" s="27"/>
      <c r="FT41" s="27"/>
      <c r="FU41" s="27"/>
      <c r="FV41" s="27"/>
      <c r="FW41" s="27"/>
      <c r="FX41" s="27"/>
      <c r="FY41" s="27"/>
      <c r="FZ41" s="27"/>
      <c r="GA41" s="27"/>
      <c r="GB41" s="27"/>
      <c r="GC41" s="27"/>
      <c r="GD41" s="27"/>
      <c r="GE41" s="27"/>
      <c r="GF41" s="27"/>
      <c r="GG41" s="27"/>
      <c r="GH41" s="27"/>
      <c r="GI41" s="27"/>
      <c r="GJ41" s="27"/>
      <c r="GK41" s="27"/>
      <c r="GL41" s="27"/>
      <c r="GM41" s="27"/>
      <c r="GN41" s="27"/>
      <c r="GO41" s="27"/>
      <c r="GP41" s="27"/>
      <c r="GQ41" s="27"/>
      <c r="GR41" s="27"/>
      <c r="GS41" s="27"/>
      <c r="GT41" s="27"/>
      <c r="GU41" s="27"/>
      <c r="GV41" s="27"/>
      <c r="GW41" s="27"/>
      <c r="GX41" s="27"/>
      <c r="GY41" s="27"/>
      <c r="GZ41" s="27"/>
      <c r="HA41" s="27"/>
      <c r="HB41" s="27"/>
      <c r="HC41" s="27"/>
      <c r="HD41" s="27"/>
      <c r="HE41" s="27"/>
      <c r="HF41" s="27"/>
      <c r="HG41" s="27"/>
      <c r="HH41" s="27"/>
      <c r="HI41" s="27"/>
      <c r="HJ41" s="27"/>
      <c r="HK41" s="27"/>
      <c r="HL41" s="27"/>
      <c r="HM41" s="27"/>
      <c r="HN41" s="27"/>
      <c r="HO41" s="27"/>
      <c r="HP41" s="27"/>
      <c r="HQ41" s="27"/>
      <c r="HR41" s="27"/>
    </row>
    <row r="42" spans="1:226" x14ac:dyDescent="0.25">
      <c r="A42" s="775">
        <v>1</v>
      </c>
      <c r="B42" s="768">
        <f>+B25</f>
        <v>44681</v>
      </c>
      <c r="C42" s="776">
        <f t="shared" ref="C42:C47" si="1">C25</f>
        <v>1689.85</v>
      </c>
      <c r="D42" s="776">
        <f>C42*0.1800001</f>
        <v>304.17316898499996</v>
      </c>
      <c r="E42" s="776">
        <f t="shared" ref="E42" si="2">C42+D42</f>
        <v>1994.0231689849998</v>
      </c>
      <c r="F42" s="27"/>
      <c r="G42" s="27"/>
      <c r="H42" s="27"/>
      <c r="I42" s="27"/>
      <c r="J42" s="27"/>
      <c r="K42" s="27"/>
      <c r="L42" s="27"/>
      <c r="M42" s="27"/>
      <c r="N42" s="27"/>
      <c r="O42" s="27"/>
      <c r="P42" s="27"/>
      <c r="Q42" s="27"/>
      <c r="R42" s="27"/>
      <c r="S42" s="27"/>
      <c r="T42" s="27"/>
      <c r="U42" s="27"/>
      <c r="V42" s="27"/>
      <c r="W42" s="27"/>
      <c r="X42" s="27"/>
      <c r="Y42" s="27"/>
      <c r="Z42" s="27"/>
      <c r="AA42" s="27"/>
      <c r="AB42" s="27"/>
      <c r="AC42" s="27"/>
      <c r="AD42" s="27"/>
      <c r="AE42" s="27"/>
      <c r="AF42" s="27"/>
      <c r="AG42" s="27"/>
      <c r="AH42" s="27"/>
      <c r="AI42" s="27"/>
      <c r="AJ42" s="27"/>
      <c r="AK42" s="27"/>
      <c r="AL42" s="27"/>
      <c r="AM42" s="27"/>
      <c r="AN42" s="27"/>
      <c r="AO42" s="27"/>
      <c r="AP42" s="27"/>
      <c r="AQ42" s="27"/>
      <c r="AR42" s="27"/>
      <c r="AS42" s="27"/>
      <c r="AT42" s="27"/>
      <c r="AU42" s="27"/>
      <c r="AV42" s="27"/>
      <c r="AW42" s="27"/>
      <c r="AX42" s="27"/>
      <c r="AY42" s="27"/>
      <c r="AZ42" s="27"/>
      <c r="BA42" s="27"/>
      <c r="BB42" s="27"/>
      <c r="BC42" s="27"/>
      <c r="BD42" s="27"/>
      <c r="BE42" s="27"/>
      <c r="BF42" s="27"/>
      <c r="BG42" s="27"/>
      <c r="BH42" s="27"/>
      <c r="BI42" s="27"/>
      <c r="BJ42" s="27"/>
      <c r="BK42" s="27"/>
      <c r="BL42" s="27"/>
      <c r="BM42" s="27"/>
      <c r="BN42" s="27"/>
      <c r="BO42" s="27"/>
      <c r="BP42" s="27"/>
      <c r="BQ42" s="27"/>
      <c r="BR42" s="27"/>
      <c r="BS42" s="27"/>
      <c r="BT42" s="27"/>
      <c r="BU42" s="27"/>
      <c r="BV42" s="27"/>
      <c r="BW42" s="27"/>
      <c r="BX42" s="27"/>
      <c r="BY42" s="27"/>
      <c r="BZ42" s="27"/>
      <c r="CA42" s="27"/>
      <c r="CB42" s="27"/>
      <c r="CC42" s="27"/>
      <c r="CD42" s="27"/>
      <c r="CE42" s="27"/>
      <c r="CF42" s="27"/>
      <c r="CG42" s="27"/>
      <c r="CH42" s="27"/>
      <c r="CI42" s="27"/>
      <c r="CJ42" s="27"/>
      <c r="CK42" s="27"/>
      <c r="CL42" s="27"/>
      <c r="CM42" s="27"/>
      <c r="CN42" s="27"/>
      <c r="CO42" s="27"/>
      <c r="CP42" s="27"/>
      <c r="CQ42" s="27"/>
      <c r="CR42" s="27"/>
      <c r="CS42" s="27"/>
      <c r="CT42" s="27"/>
      <c r="CU42" s="27"/>
      <c r="CV42" s="27"/>
      <c r="CW42" s="27"/>
      <c r="CX42" s="27"/>
      <c r="CY42" s="27"/>
      <c r="CZ42" s="27"/>
      <c r="DA42" s="27"/>
      <c r="DB42" s="27"/>
      <c r="DC42" s="27"/>
      <c r="DD42" s="27"/>
      <c r="DE42" s="27"/>
      <c r="DF42" s="27"/>
      <c r="DG42" s="27"/>
      <c r="DH42" s="27"/>
      <c r="DI42" s="27"/>
      <c r="DJ42" s="27"/>
      <c r="DK42" s="27"/>
      <c r="DL42" s="27"/>
      <c r="DM42" s="27"/>
      <c r="DN42" s="27"/>
      <c r="DO42" s="27"/>
      <c r="DP42" s="27"/>
      <c r="DQ42" s="27"/>
      <c r="DR42" s="27"/>
      <c r="DS42" s="27"/>
      <c r="DT42" s="27"/>
      <c r="DU42" s="27"/>
      <c r="DV42" s="27"/>
      <c r="DW42" s="27"/>
      <c r="DX42" s="27"/>
      <c r="DY42" s="27"/>
      <c r="DZ42" s="27"/>
      <c r="EA42" s="27"/>
      <c r="EB42" s="27"/>
      <c r="EC42" s="27"/>
      <c r="ED42" s="27"/>
      <c r="EE42" s="27"/>
      <c r="EF42" s="27"/>
      <c r="EG42" s="27"/>
      <c r="EH42" s="27"/>
      <c r="EI42" s="27"/>
      <c r="EJ42" s="27"/>
      <c r="EK42" s="27"/>
      <c r="EL42" s="27"/>
      <c r="EM42" s="27"/>
      <c r="EN42" s="27"/>
      <c r="EO42" s="27"/>
      <c r="EP42" s="27"/>
      <c r="EQ42" s="27"/>
      <c r="ER42" s="27"/>
      <c r="ES42" s="27"/>
      <c r="ET42" s="27"/>
      <c r="EU42" s="27"/>
      <c r="EV42" s="27"/>
      <c r="EW42" s="27"/>
      <c r="EX42" s="27"/>
      <c r="EY42" s="27"/>
      <c r="EZ42" s="27"/>
      <c r="FA42" s="27"/>
      <c r="FB42" s="27"/>
      <c r="FC42" s="27"/>
      <c r="FD42" s="27"/>
      <c r="FE42" s="27"/>
      <c r="FF42" s="27"/>
      <c r="FG42" s="27"/>
      <c r="FH42" s="27"/>
      <c r="FI42" s="27"/>
      <c r="FJ42" s="27"/>
      <c r="FK42" s="27"/>
      <c r="FL42" s="27"/>
      <c r="FM42" s="27"/>
      <c r="FN42" s="27"/>
      <c r="FO42" s="27"/>
      <c r="FP42" s="27"/>
      <c r="FQ42" s="27"/>
      <c r="FR42" s="27"/>
      <c r="FS42" s="27"/>
      <c r="FT42" s="27"/>
      <c r="FU42" s="27"/>
      <c r="FV42" s="27"/>
      <c r="FW42" s="27"/>
      <c r="FX42" s="27"/>
      <c r="FY42" s="27"/>
      <c r="FZ42" s="27"/>
      <c r="GA42" s="27"/>
      <c r="GB42" s="27"/>
      <c r="GC42" s="27"/>
      <c r="GD42" s="27"/>
      <c r="GE42" s="27"/>
      <c r="GF42" s="27"/>
      <c r="GG42" s="27"/>
      <c r="GH42" s="27"/>
      <c r="GI42" s="27"/>
      <c r="GJ42" s="27"/>
      <c r="GK42" s="27"/>
      <c r="GL42" s="27"/>
      <c r="GM42" s="27"/>
      <c r="GN42" s="27"/>
      <c r="GO42" s="27"/>
      <c r="GP42" s="27"/>
      <c r="GQ42" s="27"/>
      <c r="GR42" s="27"/>
      <c r="GS42" s="27"/>
      <c r="GT42" s="27"/>
      <c r="GU42" s="27"/>
      <c r="GV42" s="27"/>
      <c r="GW42" s="27"/>
      <c r="GX42" s="27"/>
      <c r="GY42" s="27"/>
      <c r="GZ42" s="27"/>
      <c r="HA42" s="27"/>
      <c r="HB42" s="27"/>
      <c r="HC42" s="27"/>
      <c r="HD42" s="27"/>
      <c r="HE42" s="27"/>
      <c r="HF42" s="27"/>
      <c r="HG42" s="27"/>
      <c r="HH42" s="27"/>
      <c r="HI42" s="27"/>
      <c r="HJ42" s="27"/>
      <c r="HK42" s="27"/>
      <c r="HL42" s="27"/>
      <c r="HM42" s="27"/>
      <c r="HN42" s="27"/>
      <c r="HO42" s="27"/>
      <c r="HP42" s="27"/>
      <c r="HQ42" s="27"/>
      <c r="HR42" s="27"/>
    </row>
    <row r="43" spans="1:226" x14ac:dyDescent="0.25">
      <c r="A43" s="775">
        <f>+A42+1</f>
        <v>2</v>
      </c>
      <c r="B43" s="768">
        <f>+B26</f>
        <v>44712</v>
      </c>
      <c r="C43" s="776">
        <f t="shared" si="1"/>
        <v>142315.32</v>
      </c>
      <c r="D43" s="776">
        <f>C43*0.18</f>
        <v>25616.757600000001</v>
      </c>
      <c r="E43" s="776">
        <f t="shared" ref="E43" si="3">C43+D43</f>
        <v>167932.07760000002</v>
      </c>
      <c r="F43" s="27"/>
      <c r="G43" s="27"/>
      <c r="H43" s="27"/>
      <c r="I43" s="27"/>
      <c r="J43" s="27"/>
      <c r="K43" s="27"/>
      <c r="L43" s="27"/>
      <c r="M43" s="27"/>
      <c r="N43" s="27"/>
      <c r="O43" s="27"/>
      <c r="P43" s="27"/>
      <c r="Q43" s="27"/>
      <c r="R43" s="27"/>
      <c r="S43" s="27"/>
      <c r="T43" s="27"/>
      <c r="U43" s="27"/>
      <c r="V43" s="27"/>
      <c r="W43" s="27"/>
      <c r="X43" s="27"/>
      <c r="Y43" s="27"/>
      <c r="Z43" s="27"/>
      <c r="AA43" s="27"/>
      <c r="AB43" s="27"/>
      <c r="AC43" s="27"/>
      <c r="AD43" s="27"/>
      <c r="AE43" s="27"/>
      <c r="AF43" s="27"/>
      <c r="AG43" s="27"/>
      <c r="AH43" s="27"/>
      <c r="AI43" s="27"/>
      <c r="AJ43" s="27"/>
      <c r="AK43" s="27"/>
      <c r="AL43" s="27"/>
      <c r="AM43" s="27"/>
      <c r="AN43" s="27"/>
      <c r="AO43" s="27"/>
      <c r="AP43" s="27"/>
      <c r="AQ43" s="27"/>
      <c r="AR43" s="27"/>
      <c r="AS43" s="27"/>
      <c r="AT43" s="27"/>
      <c r="AU43" s="27"/>
      <c r="AV43" s="27"/>
      <c r="AW43" s="27"/>
      <c r="AX43" s="27"/>
      <c r="AY43" s="27"/>
      <c r="AZ43" s="27"/>
      <c r="BA43" s="27"/>
      <c r="BB43" s="27"/>
      <c r="BC43" s="27"/>
      <c r="BD43" s="27"/>
      <c r="BE43" s="27"/>
      <c r="BF43" s="27"/>
      <c r="BG43" s="27"/>
      <c r="BH43" s="27"/>
      <c r="BI43" s="27"/>
      <c r="BJ43" s="27"/>
      <c r="BK43" s="27"/>
      <c r="BL43" s="27"/>
      <c r="BM43" s="27"/>
      <c r="BN43" s="27"/>
      <c r="BO43" s="27"/>
      <c r="BP43" s="27"/>
      <c r="BQ43" s="27"/>
      <c r="BR43" s="27"/>
      <c r="BS43" s="27"/>
      <c r="BT43" s="27"/>
      <c r="BU43" s="27"/>
      <c r="BV43" s="27"/>
      <c r="BW43" s="27"/>
      <c r="BX43" s="27"/>
      <c r="BY43" s="27"/>
      <c r="BZ43" s="27"/>
      <c r="CA43" s="27"/>
      <c r="CB43" s="27"/>
      <c r="CC43" s="27"/>
      <c r="CD43" s="27"/>
      <c r="CE43" s="27"/>
      <c r="CF43" s="27"/>
      <c r="CG43" s="27"/>
      <c r="CH43" s="27"/>
      <c r="CI43" s="27"/>
      <c r="CJ43" s="27"/>
      <c r="CK43" s="27"/>
      <c r="CL43" s="27"/>
      <c r="CM43" s="27"/>
      <c r="CN43" s="27"/>
      <c r="CO43" s="27"/>
      <c r="CP43" s="27"/>
      <c r="CQ43" s="27"/>
      <c r="CR43" s="27"/>
      <c r="CS43" s="27"/>
      <c r="CT43" s="27"/>
      <c r="CU43" s="27"/>
      <c r="CV43" s="27"/>
      <c r="CW43" s="27"/>
      <c r="CX43" s="27"/>
      <c r="CY43" s="27"/>
      <c r="CZ43" s="27"/>
      <c r="DA43" s="27"/>
      <c r="DB43" s="27"/>
      <c r="DC43" s="27"/>
      <c r="DD43" s="27"/>
      <c r="DE43" s="27"/>
      <c r="DF43" s="27"/>
      <c r="DG43" s="27"/>
      <c r="DH43" s="27"/>
      <c r="DI43" s="27"/>
      <c r="DJ43" s="27"/>
      <c r="DK43" s="27"/>
      <c r="DL43" s="27"/>
      <c r="DM43" s="27"/>
      <c r="DN43" s="27"/>
      <c r="DO43" s="27"/>
      <c r="DP43" s="27"/>
      <c r="DQ43" s="27"/>
      <c r="DR43" s="27"/>
      <c r="DS43" s="27"/>
      <c r="DT43" s="27"/>
      <c r="DU43" s="27"/>
      <c r="DV43" s="27"/>
      <c r="DW43" s="27"/>
      <c r="DX43" s="27"/>
      <c r="DY43" s="27"/>
      <c r="DZ43" s="27"/>
      <c r="EA43" s="27"/>
      <c r="EB43" s="27"/>
      <c r="EC43" s="27"/>
      <c r="ED43" s="27"/>
      <c r="EE43" s="27"/>
      <c r="EF43" s="27"/>
      <c r="EG43" s="27"/>
      <c r="EH43" s="27"/>
      <c r="EI43" s="27"/>
      <c r="EJ43" s="27"/>
      <c r="EK43" s="27"/>
      <c r="EL43" s="27"/>
      <c r="EM43" s="27"/>
      <c r="EN43" s="27"/>
      <c r="EO43" s="27"/>
      <c r="EP43" s="27"/>
      <c r="EQ43" s="27"/>
      <c r="ER43" s="27"/>
      <c r="ES43" s="27"/>
      <c r="ET43" s="27"/>
      <c r="EU43" s="27"/>
      <c r="EV43" s="27"/>
      <c r="EW43" s="27"/>
      <c r="EX43" s="27"/>
      <c r="EY43" s="27"/>
      <c r="EZ43" s="27"/>
      <c r="FA43" s="27"/>
      <c r="FB43" s="27"/>
      <c r="FC43" s="27"/>
      <c r="FD43" s="27"/>
      <c r="FE43" s="27"/>
      <c r="FF43" s="27"/>
      <c r="FG43" s="27"/>
      <c r="FH43" s="27"/>
      <c r="FI43" s="27"/>
      <c r="FJ43" s="27"/>
      <c r="FK43" s="27"/>
      <c r="FL43" s="27"/>
      <c r="FM43" s="27"/>
      <c r="FN43" s="27"/>
      <c r="FO43" s="27"/>
      <c r="FP43" s="27"/>
      <c r="FQ43" s="27"/>
      <c r="FR43" s="27"/>
      <c r="FS43" s="27"/>
      <c r="FT43" s="27"/>
      <c r="FU43" s="27"/>
      <c r="FV43" s="27"/>
      <c r="FW43" s="27"/>
      <c r="FX43" s="27"/>
      <c r="FY43" s="27"/>
      <c r="FZ43" s="27"/>
      <c r="GA43" s="27"/>
      <c r="GB43" s="27"/>
      <c r="GC43" s="27"/>
      <c r="GD43" s="27"/>
      <c r="GE43" s="27"/>
      <c r="GF43" s="27"/>
      <c r="GG43" s="27"/>
      <c r="GH43" s="27"/>
      <c r="GI43" s="27"/>
      <c r="GJ43" s="27"/>
      <c r="GK43" s="27"/>
      <c r="GL43" s="27"/>
      <c r="GM43" s="27"/>
      <c r="GN43" s="27"/>
      <c r="GO43" s="27"/>
      <c r="GP43" s="27"/>
      <c r="GQ43" s="27"/>
      <c r="GR43" s="27"/>
      <c r="GS43" s="27"/>
      <c r="GT43" s="27"/>
      <c r="GU43" s="27"/>
      <c r="GV43" s="27"/>
      <c r="GW43" s="27"/>
      <c r="GX43" s="27"/>
      <c r="GY43" s="27"/>
      <c r="GZ43" s="27"/>
      <c r="HA43" s="27"/>
      <c r="HB43" s="27"/>
      <c r="HC43" s="27"/>
      <c r="HD43" s="27"/>
      <c r="HE43" s="27"/>
      <c r="HF43" s="27"/>
      <c r="HG43" s="27"/>
      <c r="HH43" s="27"/>
      <c r="HI43" s="27"/>
      <c r="HJ43" s="27"/>
      <c r="HK43" s="27"/>
      <c r="HL43" s="27"/>
      <c r="HM43" s="27"/>
      <c r="HN43" s="27"/>
      <c r="HO43" s="27"/>
      <c r="HP43" s="27"/>
      <c r="HQ43" s="27"/>
      <c r="HR43" s="27"/>
    </row>
    <row r="44" spans="1:226" x14ac:dyDescent="0.25">
      <c r="A44" s="775">
        <f>+A43+1</f>
        <v>3</v>
      </c>
      <c r="B44" s="768">
        <f>+B27</f>
        <v>44742</v>
      </c>
      <c r="C44" s="776">
        <f t="shared" si="1"/>
        <v>174129.63</v>
      </c>
      <c r="D44" s="776">
        <f>C44*0.18</f>
        <v>31343.3334</v>
      </c>
      <c r="E44" s="776">
        <f t="shared" ref="E44" si="4">C44+D44</f>
        <v>205472.96340000001</v>
      </c>
      <c r="F44" s="27"/>
      <c r="G44" s="27"/>
      <c r="H44" s="27"/>
      <c r="I44" s="27"/>
      <c r="J44" s="27"/>
      <c r="K44" s="27"/>
      <c r="L44" s="27"/>
      <c r="M44" s="27"/>
      <c r="N44" s="27"/>
      <c r="O44" s="27"/>
      <c r="P44" s="27"/>
      <c r="Q44" s="27"/>
      <c r="R44" s="27"/>
      <c r="S44" s="27"/>
      <c r="T44" s="27"/>
      <c r="U44" s="27"/>
      <c r="V44" s="27"/>
      <c r="W44" s="27"/>
      <c r="X44" s="27"/>
      <c r="Y44" s="27"/>
      <c r="Z44" s="27"/>
      <c r="AA44" s="27"/>
      <c r="AB44" s="27"/>
      <c r="AC44" s="27"/>
      <c r="AD44" s="27"/>
      <c r="AE44" s="27"/>
      <c r="AF44" s="27"/>
      <c r="AG44" s="27"/>
      <c r="AH44" s="27"/>
      <c r="AI44" s="27"/>
      <c r="AJ44" s="27"/>
      <c r="AK44" s="27"/>
      <c r="AL44" s="27"/>
      <c r="AM44" s="27"/>
      <c r="AN44" s="27"/>
      <c r="AO44" s="27"/>
      <c r="AP44" s="27"/>
      <c r="AQ44" s="27"/>
      <c r="AR44" s="27"/>
      <c r="AS44" s="27"/>
      <c r="AT44" s="27"/>
      <c r="AU44" s="27"/>
      <c r="AV44" s="27"/>
      <c r="AW44" s="27"/>
      <c r="AX44" s="27"/>
      <c r="AY44" s="27"/>
      <c r="AZ44" s="27"/>
      <c r="BA44" s="27"/>
      <c r="BB44" s="27"/>
      <c r="BC44" s="27"/>
      <c r="BD44" s="27"/>
      <c r="BE44" s="27"/>
      <c r="BF44" s="27"/>
      <c r="BG44" s="27"/>
      <c r="BH44" s="27"/>
      <c r="BI44" s="27"/>
      <c r="BJ44" s="27"/>
      <c r="BK44" s="27"/>
      <c r="BL44" s="27"/>
      <c r="BM44" s="27"/>
      <c r="BN44" s="27"/>
      <c r="BO44" s="27"/>
      <c r="BP44" s="27"/>
      <c r="BQ44" s="27"/>
      <c r="BR44" s="27"/>
      <c r="BS44" s="27"/>
      <c r="BT44" s="27"/>
      <c r="BU44" s="27"/>
      <c r="BV44" s="27"/>
      <c r="BW44" s="27"/>
      <c r="BX44" s="27"/>
      <c r="BY44" s="27"/>
      <c r="BZ44" s="27"/>
      <c r="CA44" s="27"/>
      <c r="CB44" s="27"/>
      <c r="CC44" s="27"/>
      <c r="CD44" s="27"/>
      <c r="CE44" s="27"/>
      <c r="CF44" s="27"/>
      <c r="CG44" s="27"/>
      <c r="CH44" s="27"/>
      <c r="CI44" s="27"/>
      <c r="CJ44" s="27"/>
      <c r="CK44" s="27"/>
      <c r="CL44" s="27"/>
      <c r="CM44" s="27"/>
      <c r="CN44" s="27"/>
      <c r="CO44" s="27"/>
      <c r="CP44" s="27"/>
      <c r="CQ44" s="27"/>
      <c r="CR44" s="27"/>
      <c r="CS44" s="27"/>
      <c r="CT44" s="27"/>
      <c r="CU44" s="27"/>
      <c r="CV44" s="27"/>
      <c r="CW44" s="27"/>
      <c r="CX44" s="27"/>
      <c r="CY44" s="27"/>
      <c r="CZ44" s="27"/>
      <c r="DA44" s="27"/>
      <c r="DB44" s="27"/>
      <c r="DC44" s="27"/>
      <c r="DD44" s="27"/>
      <c r="DE44" s="27"/>
      <c r="DF44" s="27"/>
      <c r="DG44" s="27"/>
      <c r="DH44" s="27"/>
      <c r="DI44" s="27"/>
      <c r="DJ44" s="27"/>
      <c r="DK44" s="27"/>
      <c r="DL44" s="27"/>
      <c r="DM44" s="27"/>
      <c r="DN44" s="27"/>
      <c r="DO44" s="27"/>
      <c r="DP44" s="27"/>
      <c r="DQ44" s="27"/>
      <c r="DR44" s="27"/>
      <c r="DS44" s="27"/>
      <c r="DT44" s="27"/>
      <c r="DU44" s="27"/>
      <c r="DV44" s="27"/>
      <c r="DW44" s="27"/>
      <c r="DX44" s="27"/>
      <c r="DY44" s="27"/>
      <c r="DZ44" s="27"/>
      <c r="EA44" s="27"/>
      <c r="EB44" s="27"/>
      <c r="EC44" s="27"/>
      <c r="ED44" s="27"/>
      <c r="EE44" s="27"/>
      <c r="EF44" s="27"/>
      <c r="EG44" s="27"/>
      <c r="EH44" s="27"/>
      <c r="EI44" s="27"/>
      <c r="EJ44" s="27"/>
      <c r="EK44" s="27"/>
      <c r="EL44" s="27"/>
      <c r="EM44" s="27"/>
      <c r="EN44" s="27"/>
      <c r="EO44" s="27"/>
      <c r="EP44" s="27"/>
      <c r="EQ44" s="27"/>
      <c r="ER44" s="27"/>
      <c r="ES44" s="27"/>
      <c r="ET44" s="27"/>
      <c r="EU44" s="27"/>
      <c r="EV44" s="27"/>
      <c r="EW44" s="27"/>
      <c r="EX44" s="27"/>
      <c r="EY44" s="27"/>
      <c r="EZ44" s="27"/>
      <c r="FA44" s="27"/>
      <c r="FB44" s="27"/>
      <c r="FC44" s="27"/>
      <c r="FD44" s="27"/>
      <c r="FE44" s="27"/>
      <c r="FF44" s="27"/>
      <c r="FG44" s="27"/>
      <c r="FH44" s="27"/>
      <c r="FI44" s="27"/>
      <c r="FJ44" s="27"/>
      <c r="FK44" s="27"/>
      <c r="FL44" s="27"/>
      <c r="FM44" s="27"/>
      <c r="FN44" s="27"/>
      <c r="FO44" s="27"/>
      <c r="FP44" s="27"/>
      <c r="FQ44" s="27"/>
      <c r="FR44" s="27"/>
      <c r="FS44" s="27"/>
      <c r="FT44" s="27"/>
      <c r="FU44" s="27"/>
      <c r="FV44" s="27"/>
      <c r="FW44" s="27"/>
      <c r="FX44" s="27"/>
      <c r="FY44" s="27"/>
      <c r="FZ44" s="27"/>
      <c r="GA44" s="27"/>
      <c r="GB44" s="27"/>
      <c r="GC44" s="27"/>
      <c r="GD44" s="27"/>
      <c r="GE44" s="27"/>
      <c r="GF44" s="27"/>
      <c r="GG44" s="27"/>
      <c r="GH44" s="27"/>
      <c r="GI44" s="27"/>
      <c r="GJ44" s="27"/>
      <c r="GK44" s="27"/>
      <c r="GL44" s="27"/>
      <c r="GM44" s="27"/>
      <c r="GN44" s="27"/>
      <c r="GO44" s="27"/>
      <c r="GP44" s="27"/>
      <c r="GQ44" s="27"/>
      <c r="GR44" s="27"/>
      <c r="GS44" s="27"/>
      <c r="GT44" s="27"/>
      <c r="GU44" s="27"/>
      <c r="GV44" s="27"/>
      <c r="GW44" s="27"/>
      <c r="GX44" s="27"/>
      <c r="GY44" s="27"/>
      <c r="GZ44" s="27"/>
      <c r="HA44" s="27"/>
      <c r="HB44" s="27"/>
      <c r="HC44" s="27"/>
      <c r="HD44" s="27"/>
      <c r="HE44" s="27"/>
      <c r="HF44" s="27"/>
      <c r="HG44" s="27"/>
      <c r="HH44" s="27"/>
      <c r="HI44" s="27"/>
      <c r="HJ44" s="27"/>
      <c r="HK44" s="27"/>
      <c r="HL44" s="27"/>
      <c r="HM44" s="27"/>
      <c r="HN44" s="27"/>
      <c r="HO44" s="27"/>
      <c r="HP44" s="27"/>
      <c r="HQ44" s="27"/>
      <c r="HR44" s="27"/>
    </row>
    <row r="45" spans="1:226" x14ac:dyDescent="0.25">
      <c r="A45" s="775">
        <f t="shared" ref="A45:A53" si="5">+A44+1</f>
        <v>4</v>
      </c>
      <c r="B45" s="768">
        <f>+B28</f>
        <v>44773</v>
      </c>
      <c r="C45" s="776">
        <f t="shared" si="1"/>
        <v>680701.45</v>
      </c>
      <c r="D45" s="776">
        <f>C45*0.18</f>
        <v>122526.26099999998</v>
      </c>
      <c r="E45" s="776">
        <f t="shared" ref="E45:E46" si="6">C45+D45</f>
        <v>803227.71099999989</v>
      </c>
      <c r="F45" s="27"/>
      <c r="G45" s="27"/>
      <c r="H45" s="27"/>
      <c r="I45" s="27"/>
      <c r="J45" s="27"/>
      <c r="K45" s="27"/>
      <c r="L45" s="27"/>
      <c r="M45" s="27"/>
      <c r="N45" s="27"/>
      <c r="O45" s="27"/>
      <c r="P45" s="27"/>
      <c r="Q45" s="27"/>
      <c r="R45" s="27"/>
      <c r="S45" s="27"/>
      <c r="T45" s="27"/>
      <c r="U45" s="27"/>
      <c r="V45" s="27"/>
      <c r="W45" s="27"/>
      <c r="X45" s="27"/>
      <c r="Y45" s="27"/>
      <c r="Z45" s="27"/>
      <c r="AA45" s="27"/>
      <c r="AB45" s="27"/>
      <c r="AC45" s="27"/>
      <c r="AD45" s="27"/>
      <c r="AE45" s="27"/>
      <c r="AF45" s="27"/>
      <c r="AG45" s="27"/>
      <c r="AH45" s="27"/>
      <c r="AI45" s="27"/>
      <c r="AJ45" s="27"/>
      <c r="AK45" s="27"/>
      <c r="AL45" s="27"/>
      <c r="AM45" s="27"/>
      <c r="AN45" s="27"/>
      <c r="AO45" s="27"/>
      <c r="AP45" s="27"/>
      <c r="AQ45" s="27"/>
      <c r="AR45" s="27"/>
      <c r="AS45" s="27"/>
      <c r="AT45" s="27"/>
      <c r="AU45" s="27"/>
      <c r="AV45" s="27"/>
      <c r="AW45" s="27"/>
      <c r="AX45" s="27"/>
      <c r="AY45" s="27"/>
      <c r="AZ45" s="27"/>
      <c r="BA45" s="27"/>
      <c r="BB45" s="27"/>
      <c r="BC45" s="27"/>
      <c r="BD45" s="27"/>
      <c r="BE45" s="27"/>
      <c r="BF45" s="27"/>
      <c r="BG45" s="27"/>
      <c r="BH45" s="27"/>
      <c r="BI45" s="27"/>
      <c r="BJ45" s="27"/>
      <c r="BK45" s="27"/>
      <c r="BL45" s="27"/>
      <c r="BM45" s="27"/>
      <c r="BN45" s="27"/>
      <c r="BO45" s="27"/>
      <c r="BP45" s="27"/>
      <c r="BQ45" s="27"/>
      <c r="BR45" s="27"/>
      <c r="BS45" s="27"/>
      <c r="BT45" s="27"/>
      <c r="BU45" s="27"/>
      <c r="BV45" s="27"/>
      <c r="BW45" s="27"/>
      <c r="BX45" s="27"/>
      <c r="BY45" s="27"/>
      <c r="BZ45" s="27"/>
      <c r="CA45" s="27"/>
      <c r="CB45" s="27"/>
      <c r="CC45" s="27"/>
      <c r="CD45" s="27"/>
      <c r="CE45" s="27"/>
      <c r="CF45" s="27"/>
      <c r="CG45" s="27"/>
      <c r="CH45" s="27"/>
      <c r="CI45" s="27"/>
      <c r="CJ45" s="27"/>
      <c r="CK45" s="27"/>
      <c r="CL45" s="27"/>
      <c r="CM45" s="27"/>
      <c r="CN45" s="27"/>
      <c r="CO45" s="27"/>
      <c r="CP45" s="27"/>
      <c r="CQ45" s="27"/>
      <c r="CR45" s="27"/>
      <c r="CS45" s="27"/>
      <c r="CT45" s="27"/>
      <c r="CU45" s="27"/>
      <c r="CV45" s="27"/>
      <c r="CW45" s="27"/>
      <c r="CX45" s="27"/>
      <c r="CY45" s="27"/>
      <c r="CZ45" s="27"/>
      <c r="DA45" s="27"/>
      <c r="DB45" s="27"/>
      <c r="DC45" s="27"/>
      <c r="DD45" s="27"/>
      <c r="DE45" s="27"/>
      <c r="DF45" s="27"/>
      <c r="DG45" s="27"/>
      <c r="DH45" s="27"/>
      <c r="DI45" s="27"/>
      <c r="DJ45" s="27"/>
      <c r="DK45" s="27"/>
      <c r="DL45" s="27"/>
      <c r="DM45" s="27"/>
      <c r="DN45" s="27"/>
      <c r="DO45" s="27"/>
      <c r="DP45" s="27"/>
      <c r="DQ45" s="27"/>
      <c r="DR45" s="27"/>
      <c r="DS45" s="27"/>
      <c r="DT45" s="27"/>
      <c r="DU45" s="27"/>
      <c r="DV45" s="27"/>
      <c r="DW45" s="27"/>
      <c r="DX45" s="27"/>
      <c r="DY45" s="27"/>
      <c r="DZ45" s="27"/>
      <c r="EA45" s="27"/>
      <c r="EB45" s="27"/>
      <c r="EC45" s="27"/>
      <c r="ED45" s="27"/>
      <c r="EE45" s="27"/>
      <c r="EF45" s="27"/>
      <c r="EG45" s="27"/>
      <c r="EH45" s="27"/>
      <c r="EI45" s="27"/>
      <c r="EJ45" s="27"/>
      <c r="EK45" s="27"/>
      <c r="EL45" s="27"/>
      <c r="EM45" s="27"/>
      <c r="EN45" s="27"/>
      <c r="EO45" s="27"/>
      <c r="EP45" s="27"/>
      <c r="EQ45" s="27"/>
      <c r="ER45" s="27"/>
      <c r="ES45" s="27"/>
      <c r="ET45" s="27"/>
      <c r="EU45" s="27"/>
      <c r="EV45" s="27"/>
      <c r="EW45" s="27"/>
      <c r="EX45" s="27"/>
      <c r="EY45" s="27"/>
      <c r="EZ45" s="27"/>
      <c r="FA45" s="27"/>
      <c r="FB45" s="27"/>
      <c r="FC45" s="27"/>
      <c r="FD45" s="27"/>
      <c r="FE45" s="27"/>
      <c r="FF45" s="27"/>
      <c r="FG45" s="27"/>
      <c r="FH45" s="27"/>
      <c r="FI45" s="27"/>
      <c r="FJ45" s="27"/>
      <c r="FK45" s="27"/>
      <c r="FL45" s="27"/>
      <c r="FM45" s="27"/>
      <c r="FN45" s="27"/>
      <c r="FO45" s="27"/>
      <c r="FP45" s="27"/>
      <c r="FQ45" s="27"/>
      <c r="FR45" s="27"/>
      <c r="FS45" s="27"/>
      <c r="FT45" s="27"/>
      <c r="FU45" s="27"/>
      <c r="FV45" s="27"/>
      <c r="FW45" s="27"/>
      <c r="FX45" s="27"/>
      <c r="FY45" s="27"/>
      <c r="FZ45" s="27"/>
      <c r="GA45" s="27"/>
      <c r="GB45" s="27"/>
      <c r="GC45" s="27"/>
      <c r="GD45" s="27"/>
      <c r="GE45" s="27"/>
      <c r="GF45" s="27"/>
      <c r="GG45" s="27"/>
      <c r="GH45" s="27"/>
      <c r="GI45" s="27"/>
      <c r="GJ45" s="27"/>
      <c r="GK45" s="27"/>
      <c r="GL45" s="27"/>
      <c r="GM45" s="27"/>
      <c r="GN45" s="27"/>
      <c r="GO45" s="27"/>
      <c r="GP45" s="27"/>
      <c r="GQ45" s="27"/>
      <c r="GR45" s="27"/>
      <c r="GS45" s="27"/>
      <c r="GT45" s="27"/>
      <c r="GU45" s="27"/>
      <c r="GV45" s="27"/>
      <c r="GW45" s="27"/>
      <c r="GX45" s="27"/>
      <c r="GY45" s="27"/>
      <c r="GZ45" s="27"/>
      <c r="HA45" s="27"/>
      <c r="HB45" s="27"/>
      <c r="HC45" s="27"/>
      <c r="HD45" s="27"/>
      <c r="HE45" s="27"/>
      <c r="HF45" s="27"/>
      <c r="HG45" s="27"/>
      <c r="HH45" s="27"/>
      <c r="HI45" s="27"/>
      <c r="HJ45" s="27"/>
      <c r="HK45" s="27"/>
      <c r="HL45" s="27"/>
      <c r="HM45" s="27"/>
      <c r="HN45" s="27"/>
      <c r="HO45" s="27"/>
      <c r="HP45" s="27"/>
      <c r="HQ45" s="27"/>
      <c r="HR45" s="27"/>
    </row>
    <row r="46" spans="1:226" x14ac:dyDescent="0.25">
      <c r="A46" s="775">
        <f t="shared" si="5"/>
        <v>5</v>
      </c>
      <c r="B46" s="768">
        <v>44804</v>
      </c>
      <c r="C46" s="776">
        <f t="shared" si="1"/>
        <v>1560353.15</v>
      </c>
      <c r="D46" s="776">
        <f>C46*0.18</f>
        <v>280863.56699999998</v>
      </c>
      <c r="E46" s="776">
        <f t="shared" si="6"/>
        <v>1841216.7169999999</v>
      </c>
      <c r="F46" s="27"/>
      <c r="G46" s="140"/>
      <c r="H46" s="27"/>
      <c r="I46" s="27"/>
      <c r="J46" s="27"/>
      <c r="K46" s="27"/>
      <c r="L46" s="27"/>
      <c r="M46" s="27"/>
      <c r="N46" s="27"/>
      <c r="O46" s="27"/>
      <c r="P46" s="27"/>
      <c r="Q46" s="27"/>
      <c r="R46" s="27"/>
      <c r="S46" s="27"/>
      <c r="T46" s="27"/>
      <c r="U46" s="27"/>
      <c r="V46" s="27"/>
      <c r="W46" s="27"/>
      <c r="X46" s="27"/>
      <c r="Y46" s="27"/>
      <c r="Z46" s="27"/>
      <c r="AA46" s="27"/>
      <c r="AB46" s="27"/>
      <c r="AC46" s="27"/>
      <c r="AD46" s="27"/>
      <c r="AE46" s="27"/>
      <c r="AF46" s="27"/>
      <c r="AG46" s="27"/>
      <c r="AH46" s="27"/>
      <c r="AI46" s="27"/>
      <c r="AJ46" s="27"/>
      <c r="AK46" s="27"/>
      <c r="AL46" s="27"/>
      <c r="AM46" s="27"/>
      <c r="AN46" s="27"/>
      <c r="AO46" s="27"/>
      <c r="AP46" s="27"/>
      <c r="AQ46" s="27"/>
      <c r="AR46" s="27"/>
      <c r="AS46" s="27"/>
      <c r="AT46" s="27"/>
      <c r="AU46" s="27"/>
      <c r="AV46" s="27"/>
      <c r="AW46" s="27"/>
      <c r="AX46" s="27"/>
      <c r="AY46" s="27"/>
      <c r="AZ46" s="27"/>
      <c r="BA46" s="27"/>
      <c r="BB46" s="27"/>
      <c r="BC46" s="27"/>
      <c r="BD46" s="27"/>
      <c r="BE46" s="27"/>
      <c r="BF46" s="27"/>
      <c r="BG46" s="27"/>
      <c r="BH46" s="27"/>
      <c r="BI46" s="27"/>
      <c r="BJ46" s="27"/>
      <c r="BK46" s="27"/>
      <c r="BL46" s="27"/>
      <c r="BM46" s="27"/>
      <c r="BN46" s="27"/>
      <c r="BO46" s="27"/>
      <c r="BP46" s="27"/>
      <c r="BQ46" s="27"/>
      <c r="BR46" s="27"/>
      <c r="BS46" s="27"/>
      <c r="BT46" s="27"/>
      <c r="BU46" s="27"/>
      <c r="BV46" s="27"/>
      <c r="BW46" s="27"/>
      <c r="BX46" s="27"/>
      <c r="BY46" s="27"/>
      <c r="BZ46" s="27"/>
      <c r="CA46" s="27"/>
      <c r="CB46" s="27"/>
      <c r="CC46" s="27"/>
      <c r="CD46" s="27"/>
      <c r="CE46" s="27"/>
      <c r="CF46" s="27"/>
      <c r="CG46" s="27"/>
      <c r="CH46" s="27"/>
      <c r="CI46" s="27"/>
      <c r="CJ46" s="27"/>
      <c r="CK46" s="27"/>
      <c r="CL46" s="27"/>
      <c r="CM46" s="27"/>
      <c r="CN46" s="27"/>
      <c r="CO46" s="27"/>
      <c r="CP46" s="27"/>
      <c r="CQ46" s="27"/>
      <c r="CR46" s="27"/>
      <c r="CS46" s="27"/>
      <c r="CT46" s="27"/>
      <c r="CU46" s="27"/>
      <c r="CV46" s="27"/>
      <c r="CW46" s="27"/>
      <c r="CX46" s="27"/>
      <c r="CY46" s="27"/>
      <c r="CZ46" s="27"/>
      <c r="DA46" s="27"/>
      <c r="DB46" s="27"/>
      <c r="DC46" s="27"/>
      <c r="DD46" s="27"/>
      <c r="DE46" s="27"/>
      <c r="DF46" s="27"/>
      <c r="DG46" s="27"/>
      <c r="DH46" s="27"/>
      <c r="DI46" s="27"/>
      <c r="DJ46" s="27"/>
      <c r="DK46" s="27"/>
      <c r="DL46" s="27"/>
      <c r="DM46" s="27"/>
      <c r="DN46" s="27"/>
      <c r="DO46" s="27"/>
      <c r="DP46" s="27"/>
      <c r="DQ46" s="27"/>
      <c r="DR46" s="27"/>
      <c r="DS46" s="27"/>
      <c r="DT46" s="27"/>
      <c r="DU46" s="27"/>
      <c r="DV46" s="27"/>
      <c r="DW46" s="27"/>
      <c r="DX46" s="27"/>
      <c r="DY46" s="27"/>
      <c r="DZ46" s="27"/>
      <c r="EA46" s="27"/>
      <c r="EB46" s="27"/>
      <c r="EC46" s="27"/>
      <c r="ED46" s="27"/>
      <c r="EE46" s="27"/>
      <c r="EF46" s="27"/>
      <c r="EG46" s="27"/>
      <c r="EH46" s="27"/>
      <c r="EI46" s="27"/>
      <c r="EJ46" s="27"/>
      <c r="EK46" s="27"/>
      <c r="EL46" s="27"/>
      <c r="EM46" s="27"/>
      <c r="EN46" s="27"/>
      <c r="EO46" s="27"/>
      <c r="EP46" s="27"/>
      <c r="EQ46" s="27"/>
      <c r="ER46" s="27"/>
      <c r="ES46" s="27"/>
      <c r="ET46" s="27"/>
      <c r="EU46" s="27"/>
      <c r="EV46" s="27"/>
      <c r="EW46" s="27"/>
      <c r="EX46" s="27"/>
      <c r="EY46" s="27"/>
      <c r="EZ46" s="27"/>
      <c r="FA46" s="27"/>
      <c r="FB46" s="27"/>
      <c r="FC46" s="27"/>
      <c r="FD46" s="27"/>
      <c r="FE46" s="27"/>
      <c r="FF46" s="27"/>
      <c r="FG46" s="27"/>
      <c r="FH46" s="27"/>
      <c r="FI46" s="27"/>
      <c r="FJ46" s="27"/>
      <c r="FK46" s="27"/>
      <c r="FL46" s="27"/>
      <c r="FM46" s="27"/>
      <c r="FN46" s="27"/>
      <c r="FO46" s="27"/>
      <c r="FP46" s="27"/>
      <c r="FQ46" s="27"/>
      <c r="FR46" s="27"/>
      <c r="FS46" s="27"/>
      <c r="FT46" s="27"/>
      <c r="FU46" s="27"/>
      <c r="FV46" s="27"/>
      <c r="FW46" s="27"/>
      <c r="FX46" s="27"/>
      <c r="FY46" s="27"/>
      <c r="FZ46" s="27"/>
      <c r="GA46" s="27"/>
      <c r="GB46" s="27"/>
      <c r="GC46" s="27"/>
      <c r="GD46" s="27"/>
      <c r="GE46" s="27"/>
      <c r="GF46" s="27"/>
      <c r="GG46" s="27"/>
      <c r="GH46" s="27"/>
      <c r="GI46" s="27"/>
      <c r="GJ46" s="27"/>
      <c r="GK46" s="27"/>
      <c r="GL46" s="27"/>
      <c r="GM46" s="27"/>
      <c r="GN46" s="27"/>
      <c r="GO46" s="27"/>
      <c r="GP46" s="27"/>
      <c r="GQ46" s="27"/>
      <c r="GR46" s="27"/>
      <c r="GS46" s="27"/>
      <c r="GT46" s="27"/>
      <c r="GU46" s="27"/>
      <c r="GV46" s="27"/>
      <c r="GW46" s="27"/>
      <c r="GX46" s="27"/>
      <c r="GY46" s="27"/>
      <c r="GZ46" s="27"/>
      <c r="HA46" s="27"/>
      <c r="HB46" s="27"/>
      <c r="HC46" s="27"/>
      <c r="HD46" s="27"/>
      <c r="HE46" s="27"/>
      <c r="HF46" s="27"/>
      <c r="HG46" s="27"/>
      <c r="HH46" s="27"/>
      <c r="HI46" s="27"/>
      <c r="HJ46" s="27"/>
      <c r="HK46" s="27"/>
      <c r="HL46" s="27"/>
      <c r="HM46" s="27"/>
      <c r="HN46" s="27"/>
      <c r="HO46" s="27"/>
      <c r="HP46" s="27"/>
      <c r="HQ46" s="27"/>
      <c r="HR46" s="27"/>
    </row>
    <row r="47" spans="1:226" x14ac:dyDescent="0.25">
      <c r="A47" s="775">
        <f t="shared" si="5"/>
        <v>6</v>
      </c>
      <c r="B47" s="768">
        <v>44834</v>
      </c>
      <c r="C47" s="776">
        <f t="shared" si="1"/>
        <v>1669307.74</v>
      </c>
      <c r="D47" s="776">
        <f>C47*0.18</f>
        <v>300475.39319999999</v>
      </c>
      <c r="E47" s="776">
        <f t="shared" ref="E47" si="7">C47+D47</f>
        <v>1969783.1332</v>
      </c>
      <c r="F47" s="27"/>
      <c r="G47" s="27"/>
      <c r="H47" s="27"/>
      <c r="I47" s="27"/>
      <c r="J47" s="27"/>
      <c r="K47" s="27"/>
      <c r="L47" s="27"/>
      <c r="M47" s="27"/>
      <c r="N47" s="27"/>
      <c r="O47" s="27"/>
      <c r="P47" s="27"/>
      <c r="Q47" s="27"/>
      <c r="R47" s="27"/>
      <c r="S47" s="27"/>
      <c r="T47" s="27"/>
      <c r="U47" s="27"/>
      <c r="V47" s="27"/>
      <c r="W47" s="27"/>
      <c r="X47" s="27"/>
      <c r="Y47" s="27"/>
      <c r="Z47" s="27"/>
      <c r="AA47" s="27"/>
      <c r="AB47" s="27"/>
      <c r="AC47" s="27"/>
      <c r="AD47" s="27"/>
      <c r="AE47" s="27"/>
      <c r="AF47" s="27"/>
      <c r="AG47" s="27"/>
      <c r="AH47" s="27"/>
      <c r="AI47" s="27"/>
      <c r="AJ47" s="27"/>
      <c r="AK47" s="27"/>
      <c r="AL47" s="27"/>
      <c r="AM47" s="27"/>
      <c r="AN47" s="27"/>
      <c r="AO47" s="27"/>
      <c r="AP47" s="27"/>
      <c r="AQ47" s="27"/>
      <c r="AR47" s="27"/>
      <c r="AS47" s="27"/>
      <c r="AT47" s="27"/>
      <c r="AU47" s="27"/>
      <c r="AV47" s="27"/>
      <c r="AW47" s="27"/>
      <c r="AX47" s="27"/>
      <c r="AY47" s="27"/>
      <c r="AZ47" s="27"/>
      <c r="BA47" s="27"/>
      <c r="BB47" s="27"/>
      <c r="BC47" s="27"/>
      <c r="BD47" s="27"/>
      <c r="BE47" s="27"/>
      <c r="BF47" s="27"/>
      <c r="BG47" s="27"/>
      <c r="BH47" s="27"/>
      <c r="BI47" s="27"/>
      <c r="BJ47" s="27"/>
      <c r="BK47" s="27"/>
      <c r="BL47" s="27"/>
      <c r="BM47" s="27"/>
      <c r="BN47" s="27"/>
      <c r="BO47" s="27"/>
      <c r="BP47" s="27"/>
      <c r="BQ47" s="27"/>
      <c r="BR47" s="27"/>
      <c r="BS47" s="27"/>
      <c r="BT47" s="27"/>
      <c r="BU47" s="27"/>
      <c r="BV47" s="27"/>
      <c r="BW47" s="27"/>
      <c r="BX47" s="27"/>
      <c r="BY47" s="27"/>
      <c r="BZ47" s="27"/>
      <c r="CA47" s="27"/>
      <c r="CB47" s="27"/>
      <c r="CC47" s="27"/>
      <c r="CD47" s="27"/>
      <c r="CE47" s="27"/>
      <c r="CF47" s="27"/>
      <c r="CG47" s="27"/>
      <c r="CH47" s="27"/>
      <c r="CI47" s="27"/>
      <c r="CJ47" s="27"/>
      <c r="CK47" s="27"/>
      <c r="CL47" s="27"/>
      <c r="CM47" s="27"/>
      <c r="CN47" s="27"/>
      <c r="CO47" s="27"/>
      <c r="CP47" s="27"/>
      <c r="CQ47" s="27"/>
      <c r="CR47" s="27"/>
      <c r="CS47" s="27"/>
      <c r="CT47" s="27"/>
      <c r="CU47" s="27"/>
      <c r="CV47" s="27"/>
      <c r="CW47" s="27"/>
      <c r="CX47" s="27"/>
      <c r="CY47" s="27"/>
      <c r="CZ47" s="27"/>
      <c r="DA47" s="27"/>
      <c r="DB47" s="27"/>
      <c r="DC47" s="27"/>
      <c r="DD47" s="27"/>
      <c r="DE47" s="27"/>
      <c r="DF47" s="27"/>
      <c r="DG47" s="27"/>
      <c r="DH47" s="27"/>
      <c r="DI47" s="27"/>
      <c r="DJ47" s="27"/>
      <c r="DK47" s="27"/>
      <c r="DL47" s="27"/>
      <c r="DM47" s="27"/>
      <c r="DN47" s="27"/>
      <c r="DO47" s="27"/>
      <c r="DP47" s="27"/>
      <c r="DQ47" s="27"/>
      <c r="DR47" s="27"/>
      <c r="DS47" s="27"/>
      <c r="DT47" s="27"/>
      <c r="DU47" s="27"/>
      <c r="DV47" s="27"/>
      <c r="DW47" s="27"/>
      <c r="DX47" s="27"/>
      <c r="DY47" s="27"/>
      <c r="DZ47" s="27"/>
      <c r="EA47" s="27"/>
      <c r="EB47" s="27"/>
      <c r="EC47" s="27"/>
      <c r="ED47" s="27"/>
      <c r="EE47" s="27"/>
      <c r="EF47" s="27"/>
      <c r="EG47" s="27"/>
      <c r="EH47" s="27"/>
      <c r="EI47" s="27"/>
      <c r="EJ47" s="27"/>
      <c r="EK47" s="27"/>
      <c r="EL47" s="27"/>
      <c r="EM47" s="27"/>
      <c r="EN47" s="27"/>
      <c r="EO47" s="27"/>
      <c r="EP47" s="27"/>
      <c r="EQ47" s="27"/>
      <c r="ER47" s="27"/>
      <c r="ES47" s="27"/>
      <c r="ET47" s="27"/>
      <c r="EU47" s="27"/>
      <c r="EV47" s="27"/>
      <c r="EW47" s="27"/>
      <c r="EX47" s="27"/>
      <c r="EY47" s="27"/>
      <c r="EZ47" s="27"/>
      <c r="FA47" s="27"/>
      <c r="FB47" s="27"/>
      <c r="FC47" s="27"/>
      <c r="FD47" s="27"/>
      <c r="FE47" s="27"/>
      <c r="FF47" s="27"/>
      <c r="FG47" s="27"/>
      <c r="FH47" s="27"/>
      <c r="FI47" s="27"/>
      <c r="FJ47" s="27"/>
      <c r="FK47" s="27"/>
      <c r="FL47" s="27"/>
      <c r="FM47" s="27"/>
      <c r="FN47" s="27"/>
      <c r="FO47" s="27"/>
      <c r="FP47" s="27"/>
      <c r="FQ47" s="27"/>
      <c r="FR47" s="27"/>
      <c r="FS47" s="27"/>
      <c r="FT47" s="27"/>
      <c r="FU47" s="27"/>
      <c r="FV47" s="27"/>
      <c r="FW47" s="27"/>
      <c r="FX47" s="27"/>
      <c r="FY47" s="27"/>
      <c r="FZ47" s="27"/>
      <c r="GA47" s="27"/>
      <c r="GB47" s="27"/>
      <c r="GC47" s="27"/>
      <c r="GD47" s="27"/>
      <c r="GE47" s="27"/>
      <c r="GF47" s="27"/>
      <c r="GG47" s="27"/>
      <c r="GH47" s="27"/>
      <c r="GI47" s="27"/>
      <c r="GJ47" s="27"/>
      <c r="GK47" s="27"/>
      <c r="GL47" s="27"/>
      <c r="GM47" s="27"/>
      <c r="GN47" s="27"/>
      <c r="GO47" s="27"/>
      <c r="GP47" s="27"/>
      <c r="GQ47" s="27"/>
      <c r="GR47" s="27"/>
      <c r="GS47" s="27"/>
      <c r="GT47" s="27"/>
      <c r="GU47" s="27"/>
      <c r="GV47" s="27"/>
      <c r="GW47" s="27"/>
      <c r="GX47" s="27"/>
      <c r="GY47" s="27"/>
      <c r="GZ47" s="27"/>
      <c r="HA47" s="27"/>
      <c r="HB47" s="27"/>
      <c r="HC47" s="27"/>
      <c r="HD47" s="27"/>
      <c r="HE47" s="27"/>
      <c r="HF47" s="27"/>
      <c r="HG47" s="27"/>
      <c r="HH47" s="27"/>
      <c r="HI47" s="27"/>
      <c r="HJ47" s="27"/>
      <c r="HK47" s="27"/>
      <c r="HL47" s="27"/>
      <c r="HM47" s="27"/>
      <c r="HN47" s="27"/>
      <c r="HO47" s="27"/>
      <c r="HP47" s="27"/>
      <c r="HQ47" s="27"/>
      <c r="HR47" s="27"/>
    </row>
    <row r="48" spans="1:226" x14ac:dyDescent="0.25">
      <c r="A48" s="775">
        <f t="shared" si="5"/>
        <v>7</v>
      </c>
      <c r="B48" s="768"/>
      <c r="C48" s="776"/>
      <c r="D48" s="776"/>
      <c r="E48" s="776"/>
      <c r="F48" s="27"/>
      <c r="G48" s="27"/>
      <c r="H48" s="27"/>
      <c r="I48" s="27"/>
      <c r="J48" s="27"/>
      <c r="K48" s="27"/>
      <c r="L48" s="27"/>
      <c r="M48" s="27"/>
      <c r="N48" s="27"/>
      <c r="O48" s="27"/>
      <c r="P48" s="27"/>
      <c r="Q48" s="27"/>
      <c r="R48" s="27"/>
      <c r="S48" s="27"/>
      <c r="T48" s="27"/>
      <c r="U48" s="27"/>
      <c r="V48" s="27"/>
      <c r="W48" s="27"/>
      <c r="X48" s="27"/>
      <c r="Y48" s="27"/>
      <c r="Z48" s="27"/>
      <c r="AA48" s="27"/>
      <c r="AB48" s="27"/>
      <c r="AC48" s="27"/>
      <c r="AD48" s="27"/>
      <c r="AE48" s="27"/>
      <c r="AF48" s="27"/>
      <c r="AG48" s="27"/>
      <c r="AH48" s="27"/>
      <c r="AI48" s="27"/>
      <c r="AJ48" s="27"/>
      <c r="AK48" s="27"/>
      <c r="AL48" s="27"/>
      <c r="AM48" s="27"/>
      <c r="AN48" s="27"/>
      <c r="AO48" s="27"/>
      <c r="AP48" s="27"/>
      <c r="AQ48" s="27"/>
      <c r="AR48" s="27"/>
      <c r="AS48" s="27"/>
      <c r="AT48" s="27"/>
      <c r="AU48" s="27"/>
      <c r="AV48" s="27"/>
      <c r="AW48" s="27"/>
      <c r="AX48" s="27"/>
      <c r="AY48" s="27"/>
      <c r="AZ48" s="27"/>
      <c r="BA48" s="27"/>
      <c r="BB48" s="27"/>
      <c r="BC48" s="27"/>
      <c r="BD48" s="27"/>
      <c r="BE48" s="27"/>
      <c r="BF48" s="27"/>
      <c r="BG48" s="27"/>
      <c r="BH48" s="27"/>
      <c r="BI48" s="27"/>
      <c r="BJ48" s="27"/>
      <c r="BK48" s="27"/>
      <c r="BL48" s="27"/>
      <c r="BM48" s="27"/>
      <c r="BN48" s="27"/>
      <c r="BO48" s="27"/>
      <c r="BP48" s="27"/>
      <c r="BQ48" s="27"/>
      <c r="BR48" s="27"/>
      <c r="BS48" s="27"/>
      <c r="BT48" s="27"/>
      <c r="BU48" s="27"/>
      <c r="BV48" s="27"/>
      <c r="BW48" s="27"/>
      <c r="BX48" s="27"/>
      <c r="BY48" s="27"/>
      <c r="BZ48" s="27"/>
      <c r="CA48" s="27"/>
      <c r="CB48" s="27"/>
      <c r="CC48" s="27"/>
      <c r="CD48" s="27"/>
      <c r="CE48" s="27"/>
      <c r="CF48" s="27"/>
      <c r="CG48" s="27"/>
      <c r="CH48" s="27"/>
      <c r="CI48" s="27"/>
      <c r="CJ48" s="27"/>
      <c r="CK48" s="27"/>
      <c r="CL48" s="27"/>
      <c r="CM48" s="27"/>
      <c r="CN48" s="27"/>
      <c r="CO48" s="27"/>
      <c r="CP48" s="27"/>
      <c r="CQ48" s="27"/>
      <c r="CR48" s="27"/>
      <c r="CS48" s="27"/>
      <c r="CT48" s="27"/>
      <c r="CU48" s="27"/>
      <c r="CV48" s="27"/>
      <c r="CW48" s="27"/>
      <c r="CX48" s="27"/>
      <c r="CY48" s="27"/>
      <c r="CZ48" s="27"/>
      <c r="DA48" s="27"/>
      <c r="DB48" s="27"/>
      <c r="DC48" s="27"/>
      <c r="DD48" s="27"/>
      <c r="DE48" s="27"/>
      <c r="DF48" s="27"/>
      <c r="DG48" s="27"/>
      <c r="DH48" s="27"/>
      <c r="DI48" s="27"/>
      <c r="DJ48" s="27"/>
      <c r="DK48" s="27"/>
      <c r="DL48" s="27"/>
      <c r="DM48" s="27"/>
      <c r="DN48" s="27"/>
      <c r="DO48" s="27"/>
      <c r="DP48" s="27"/>
      <c r="DQ48" s="27"/>
      <c r="DR48" s="27"/>
      <c r="DS48" s="27"/>
      <c r="DT48" s="27"/>
      <c r="DU48" s="27"/>
      <c r="DV48" s="27"/>
      <c r="DW48" s="27"/>
      <c r="DX48" s="27"/>
      <c r="DY48" s="27"/>
      <c r="DZ48" s="27"/>
      <c r="EA48" s="27"/>
      <c r="EB48" s="27"/>
      <c r="EC48" s="27"/>
      <c r="ED48" s="27"/>
      <c r="EE48" s="27"/>
      <c r="EF48" s="27"/>
      <c r="EG48" s="27"/>
      <c r="EH48" s="27"/>
      <c r="EI48" s="27"/>
      <c r="EJ48" s="27"/>
      <c r="EK48" s="27"/>
      <c r="EL48" s="27"/>
      <c r="EM48" s="27"/>
      <c r="EN48" s="27"/>
      <c r="EO48" s="27"/>
      <c r="EP48" s="27"/>
      <c r="EQ48" s="27"/>
      <c r="ER48" s="27"/>
      <c r="ES48" s="27"/>
      <c r="ET48" s="27"/>
      <c r="EU48" s="27"/>
      <c r="EV48" s="27"/>
      <c r="EW48" s="27"/>
      <c r="EX48" s="27"/>
      <c r="EY48" s="27"/>
      <c r="EZ48" s="27"/>
      <c r="FA48" s="27"/>
      <c r="FB48" s="27"/>
      <c r="FC48" s="27"/>
      <c r="FD48" s="27"/>
      <c r="FE48" s="27"/>
      <c r="FF48" s="27"/>
      <c r="FG48" s="27"/>
      <c r="FH48" s="27"/>
      <c r="FI48" s="27"/>
      <c r="FJ48" s="27"/>
      <c r="FK48" s="27"/>
      <c r="FL48" s="27"/>
      <c r="FM48" s="27"/>
      <c r="FN48" s="27"/>
      <c r="FO48" s="27"/>
      <c r="FP48" s="27"/>
      <c r="FQ48" s="27"/>
      <c r="FR48" s="27"/>
      <c r="FS48" s="27"/>
      <c r="FT48" s="27"/>
      <c r="FU48" s="27"/>
      <c r="FV48" s="27"/>
      <c r="FW48" s="27"/>
      <c r="FX48" s="27"/>
      <c r="FY48" s="27"/>
      <c r="FZ48" s="27"/>
      <c r="GA48" s="27"/>
      <c r="GB48" s="27"/>
      <c r="GC48" s="27"/>
      <c r="GD48" s="27"/>
      <c r="GE48" s="27"/>
      <c r="GF48" s="27"/>
      <c r="GG48" s="27"/>
      <c r="GH48" s="27"/>
      <c r="GI48" s="27"/>
      <c r="GJ48" s="27"/>
      <c r="GK48" s="27"/>
      <c r="GL48" s="27"/>
      <c r="GM48" s="27"/>
      <c r="GN48" s="27"/>
      <c r="GO48" s="27"/>
      <c r="GP48" s="27"/>
      <c r="GQ48" s="27"/>
      <c r="GR48" s="27"/>
      <c r="GS48" s="27"/>
      <c r="GT48" s="27"/>
      <c r="GU48" s="27"/>
      <c r="GV48" s="27"/>
      <c r="GW48" s="27"/>
      <c r="GX48" s="27"/>
      <c r="GY48" s="27"/>
      <c r="GZ48" s="27"/>
      <c r="HA48" s="27"/>
      <c r="HB48" s="27"/>
      <c r="HC48" s="27"/>
      <c r="HD48" s="27"/>
      <c r="HE48" s="27"/>
      <c r="HF48" s="27"/>
      <c r="HG48" s="27"/>
      <c r="HH48" s="27"/>
      <c r="HI48" s="27"/>
      <c r="HJ48" s="27"/>
      <c r="HK48" s="27"/>
      <c r="HL48" s="27"/>
      <c r="HM48" s="27"/>
      <c r="HN48" s="27"/>
      <c r="HO48" s="27"/>
      <c r="HP48" s="27"/>
      <c r="HQ48" s="27"/>
      <c r="HR48" s="27"/>
    </row>
    <row r="49" spans="1:226" x14ac:dyDescent="0.25">
      <c r="A49" s="775">
        <f t="shared" si="5"/>
        <v>8</v>
      </c>
      <c r="B49" s="768"/>
      <c r="C49" s="776"/>
      <c r="D49" s="776"/>
      <c r="E49" s="776"/>
      <c r="F49" s="27"/>
      <c r="G49" s="27"/>
      <c r="H49" s="27"/>
      <c r="I49" s="27"/>
      <c r="J49" s="27"/>
      <c r="K49" s="27"/>
      <c r="L49" s="27"/>
      <c r="M49" s="27"/>
      <c r="N49" s="27"/>
      <c r="O49" s="27"/>
      <c r="P49" s="27"/>
      <c r="Q49" s="27"/>
      <c r="R49" s="27"/>
      <c r="S49" s="27"/>
      <c r="T49" s="27"/>
      <c r="U49" s="27"/>
      <c r="V49" s="27"/>
      <c r="W49" s="27"/>
      <c r="X49" s="27"/>
      <c r="Y49" s="27"/>
      <c r="Z49" s="27"/>
      <c r="AA49" s="27"/>
      <c r="AB49" s="27"/>
      <c r="AC49" s="27"/>
      <c r="AD49" s="27"/>
      <c r="AE49" s="27"/>
      <c r="AF49" s="27"/>
      <c r="AG49" s="27"/>
      <c r="AH49" s="27"/>
      <c r="AI49" s="27"/>
      <c r="AJ49" s="27"/>
      <c r="AK49" s="27"/>
      <c r="AL49" s="27"/>
      <c r="AM49" s="27"/>
      <c r="AN49" s="27"/>
      <c r="AO49" s="27"/>
      <c r="AP49" s="27"/>
      <c r="AQ49" s="27"/>
      <c r="AR49" s="27"/>
      <c r="AS49" s="27"/>
      <c r="AT49" s="27"/>
      <c r="AU49" s="27"/>
      <c r="AV49" s="27"/>
      <c r="AW49" s="27"/>
      <c r="AX49" s="27"/>
      <c r="AY49" s="27"/>
      <c r="AZ49" s="27"/>
      <c r="BA49" s="27"/>
      <c r="BB49" s="27"/>
      <c r="BC49" s="27"/>
      <c r="BD49" s="27"/>
      <c r="BE49" s="27"/>
      <c r="BF49" s="27"/>
      <c r="BG49" s="27"/>
      <c r="BH49" s="27"/>
      <c r="BI49" s="27"/>
      <c r="BJ49" s="27"/>
      <c r="BK49" s="27"/>
      <c r="BL49" s="27"/>
      <c r="BM49" s="27"/>
      <c r="BN49" s="27"/>
      <c r="BO49" s="27"/>
      <c r="BP49" s="27"/>
      <c r="BQ49" s="27"/>
      <c r="BR49" s="27"/>
      <c r="BS49" s="27"/>
      <c r="BT49" s="27"/>
      <c r="BU49" s="27"/>
      <c r="BV49" s="27"/>
      <c r="BW49" s="27"/>
      <c r="BX49" s="27"/>
      <c r="BY49" s="27"/>
      <c r="BZ49" s="27"/>
      <c r="CA49" s="27"/>
      <c r="CB49" s="27"/>
      <c r="CC49" s="27"/>
      <c r="CD49" s="27"/>
      <c r="CE49" s="27"/>
      <c r="CF49" s="27"/>
      <c r="CG49" s="27"/>
      <c r="CH49" s="27"/>
      <c r="CI49" s="27"/>
      <c r="CJ49" s="27"/>
      <c r="CK49" s="27"/>
      <c r="CL49" s="27"/>
      <c r="CM49" s="27"/>
      <c r="CN49" s="27"/>
      <c r="CO49" s="27"/>
      <c r="CP49" s="27"/>
      <c r="CQ49" s="27"/>
      <c r="CR49" s="27"/>
      <c r="CS49" s="27"/>
      <c r="CT49" s="27"/>
      <c r="CU49" s="27"/>
      <c r="CV49" s="27"/>
      <c r="CW49" s="27"/>
      <c r="CX49" s="27"/>
      <c r="CY49" s="27"/>
      <c r="CZ49" s="27"/>
      <c r="DA49" s="27"/>
      <c r="DB49" s="27"/>
      <c r="DC49" s="27"/>
      <c r="DD49" s="27"/>
      <c r="DE49" s="27"/>
      <c r="DF49" s="27"/>
      <c r="DG49" s="27"/>
      <c r="DH49" s="27"/>
      <c r="DI49" s="27"/>
      <c r="DJ49" s="27"/>
      <c r="DK49" s="27"/>
      <c r="DL49" s="27"/>
      <c r="DM49" s="27"/>
      <c r="DN49" s="27"/>
      <c r="DO49" s="27"/>
      <c r="DP49" s="27"/>
      <c r="DQ49" s="27"/>
      <c r="DR49" s="27"/>
      <c r="DS49" s="27"/>
      <c r="DT49" s="27"/>
      <c r="DU49" s="27"/>
      <c r="DV49" s="27"/>
      <c r="DW49" s="27"/>
      <c r="DX49" s="27"/>
      <c r="DY49" s="27"/>
      <c r="DZ49" s="27"/>
      <c r="EA49" s="27"/>
      <c r="EB49" s="27"/>
      <c r="EC49" s="27"/>
      <c r="ED49" s="27"/>
      <c r="EE49" s="27"/>
      <c r="EF49" s="27"/>
      <c r="EG49" s="27"/>
      <c r="EH49" s="27"/>
      <c r="EI49" s="27"/>
      <c r="EJ49" s="27"/>
      <c r="EK49" s="27"/>
      <c r="EL49" s="27"/>
      <c r="EM49" s="27"/>
      <c r="EN49" s="27"/>
      <c r="EO49" s="27"/>
      <c r="EP49" s="27"/>
      <c r="EQ49" s="27"/>
      <c r="ER49" s="27"/>
      <c r="ES49" s="27"/>
      <c r="ET49" s="27"/>
      <c r="EU49" s="27"/>
      <c r="EV49" s="27"/>
      <c r="EW49" s="27"/>
      <c r="EX49" s="27"/>
      <c r="EY49" s="27"/>
      <c r="EZ49" s="27"/>
      <c r="FA49" s="27"/>
      <c r="FB49" s="27"/>
      <c r="FC49" s="27"/>
      <c r="FD49" s="27"/>
      <c r="FE49" s="27"/>
      <c r="FF49" s="27"/>
      <c r="FG49" s="27"/>
      <c r="FH49" s="27"/>
      <c r="FI49" s="27"/>
      <c r="FJ49" s="27"/>
      <c r="FK49" s="27"/>
      <c r="FL49" s="27"/>
      <c r="FM49" s="27"/>
      <c r="FN49" s="27"/>
      <c r="FO49" s="27"/>
      <c r="FP49" s="27"/>
      <c r="FQ49" s="27"/>
      <c r="FR49" s="27"/>
      <c r="FS49" s="27"/>
      <c r="FT49" s="27"/>
      <c r="FU49" s="27"/>
      <c r="FV49" s="27"/>
      <c r="FW49" s="27"/>
      <c r="FX49" s="27"/>
      <c r="FY49" s="27"/>
      <c r="FZ49" s="27"/>
      <c r="GA49" s="27"/>
      <c r="GB49" s="27"/>
      <c r="GC49" s="27"/>
      <c r="GD49" s="27"/>
      <c r="GE49" s="27"/>
      <c r="GF49" s="27"/>
      <c r="GG49" s="27"/>
      <c r="GH49" s="27"/>
      <c r="GI49" s="27"/>
      <c r="GJ49" s="27"/>
      <c r="GK49" s="27"/>
      <c r="GL49" s="27"/>
      <c r="GM49" s="27"/>
      <c r="GN49" s="27"/>
      <c r="GO49" s="27"/>
      <c r="GP49" s="27"/>
      <c r="GQ49" s="27"/>
      <c r="GR49" s="27"/>
      <c r="GS49" s="27"/>
      <c r="GT49" s="27"/>
      <c r="GU49" s="27"/>
      <c r="GV49" s="27"/>
      <c r="GW49" s="27"/>
      <c r="GX49" s="27"/>
      <c r="GY49" s="27"/>
      <c r="GZ49" s="27"/>
      <c r="HA49" s="27"/>
      <c r="HB49" s="27"/>
      <c r="HC49" s="27"/>
      <c r="HD49" s="27"/>
      <c r="HE49" s="27"/>
      <c r="HF49" s="27"/>
      <c r="HG49" s="27"/>
      <c r="HH49" s="27"/>
      <c r="HI49" s="27"/>
      <c r="HJ49" s="27"/>
      <c r="HK49" s="27"/>
      <c r="HL49" s="27"/>
      <c r="HM49" s="27"/>
      <c r="HN49" s="27"/>
      <c r="HO49" s="27"/>
      <c r="HP49" s="27"/>
      <c r="HQ49" s="27"/>
      <c r="HR49" s="27"/>
    </row>
    <row r="50" spans="1:226" x14ac:dyDescent="0.25">
      <c r="A50" s="775">
        <f t="shared" si="5"/>
        <v>9</v>
      </c>
      <c r="B50" s="768"/>
      <c r="C50" s="776"/>
      <c r="D50" s="776"/>
      <c r="E50" s="776"/>
      <c r="F50" s="27"/>
      <c r="G50" s="27"/>
      <c r="H50" s="27"/>
      <c r="I50" s="27"/>
      <c r="J50" s="27"/>
      <c r="K50" s="27"/>
      <c r="L50" s="27"/>
      <c r="M50" s="27"/>
      <c r="N50" s="27"/>
      <c r="O50" s="27"/>
      <c r="P50" s="27"/>
      <c r="Q50" s="27"/>
      <c r="R50" s="27"/>
      <c r="S50" s="27"/>
      <c r="T50" s="27"/>
      <c r="U50" s="27"/>
      <c r="V50" s="27"/>
      <c r="W50" s="27"/>
      <c r="X50" s="27"/>
      <c r="Y50" s="27"/>
      <c r="Z50" s="27"/>
      <c r="AA50" s="27"/>
      <c r="AB50" s="27"/>
      <c r="AC50" s="27"/>
      <c r="AD50" s="27"/>
      <c r="AE50" s="27"/>
      <c r="AF50" s="27"/>
      <c r="AG50" s="27"/>
      <c r="AH50" s="27"/>
      <c r="AI50" s="27"/>
      <c r="AJ50" s="27"/>
      <c r="AK50" s="27"/>
      <c r="AL50" s="27"/>
      <c r="AM50" s="27"/>
      <c r="AN50" s="27"/>
      <c r="AO50" s="27"/>
      <c r="AP50" s="27"/>
      <c r="AQ50" s="27"/>
      <c r="AR50" s="27"/>
      <c r="AS50" s="27"/>
      <c r="AT50" s="27"/>
      <c r="AU50" s="27"/>
      <c r="AV50" s="27"/>
      <c r="AW50" s="27"/>
      <c r="AX50" s="27"/>
      <c r="AY50" s="27"/>
      <c r="AZ50" s="27"/>
      <c r="BA50" s="27"/>
      <c r="BB50" s="27"/>
      <c r="BC50" s="27"/>
      <c r="BD50" s="27"/>
      <c r="BE50" s="27"/>
      <c r="BF50" s="27"/>
      <c r="BG50" s="27"/>
      <c r="BH50" s="27"/>
      <c r="BI50" s="27"/>
      <c r="BJ50" s="27"/>
      <c r="BK50" s="27"/>
      <c r="BL50" s="27"/>
      <c r="BM50" s="27"/>
      <c r="BN50" s="27"/>
      <c r="BO50" s="27"/>
      <c r="BP50" s="27"/>
      <c r="BQ50" s="27"/>
      <c r="BR50" s="27"/>
      <c r="BS50" s="27"/>
      <c r="BT50" s="27"/>
      <c r="BU50" s="27"/>
      <c r="BV50" s="27"/>
      <c r="BW50" s="27"/>
      <c r="BX50" s="27"/>
      <c r="BY50" s="27"/>
      <c r="BZ50" s="27"/>
      <c r="CA50" s="27"/>
      <c r="CB50" s="27"/>
      <c r="CC50" s="27"/>
      <c r="CD50" s="27"/>
      <c r="CE50" s="27"/>
      <c r="CF50" s="27"/>
      <c r="CG50" s="27"/>
      <c r="CH50" s="27"/>
      <c r="CI50" s="27"/>
      <c r="CJ50" s="27"/>
      <c r="CK50" s="27"/>
      <c r="CL50" s="27"/>
      <c r="CM50" s="27"/>
      <c r="CN50" s="27"/>
      <c r="CO50" s="27"/>
      <c r="CP50" s="27"/>
      <c r="CQ50" s="27"/>
      <c r="CR50" s="27"/>
      <c r="CS50" s="27"/>
      <c r="CT50" s="27"/>
      <c r="CU50" s="27"/>
      <c r="CV50" s="27"/>
      <c r="CW50" s="27"/>
      <c r="CX50" s="27"/>
      <c r="CY50" s="27"/>
      <c r="CZ50" s="27"/>
      <c r="DA50" s="27"/>
      <c r="DB50" s="27"/>
      <c r="DC50" s="27"/>
      <c r="DD50" s="27"/>
      <c r="DE50" s="27"/>
      <c r="DF50" s="27"/>
      <c r="DG50" s="27"/>
      <c r="DH50" s="27"/>
      <c r="DI50" s="27"/>
      <c r="DJ50" s="27"/>
      <c r="DK50" s="27"/>
      <c r="DL50" s="27"/>
      <c r="DM50" s="27"/>
      <c r="DN50" s="27"/>
      <c r="DO50" s="27"/>
      <c r="DP50" s="27"/>
      <c r="DQ50" s="27"/>
      <c r="DR50" s="27"/>
      <c r="DS50" s="27"/>
      <c r="DT50" s="27"/>
      <c r="DU50" s="27"/>
      <c r="DV50" s="27"/>
      <c r="DW50" s="27"/>
      <c r="DX50" s="27"/>
      <c r="DY50" s="27"/>
      <c r="DZ50" s="27"/>
      <c r="EA50" s="27"/>
      <c r="EB50" s="27"/>
      <c r="EC50" s="27"/>
      <c r="ED50" s="27"/>
      <c r="EE50" s="27"/>
      <c r="EF50" s="27"/>
      <c r="EG50" s="27"/>
      <c r="EH50" s="27"/>
      <c r="EI50" s="27"/>
      <c r="EJ50" s="27"/>
      <c r="EK50" s="27"/>
      <c r="EL50" s="27"/>
      <c r="EM50" s="27"/>
      <c r="EN50" s="27"/>
      <c r="EO50" s="27"/>
      <c r="EP50" s="27"/>
      <c r="EQ50" s="27"/>
      <c r="ER50" s="27"/>
      <c r="ES50" s="27"/>
      <c r="ET50" s="27"/>
      <c r="EU50" s="27"/>
      <c r="EV50" s="27"/>
      <c r="EW50" s="27"/>
      <c r="EX50" s="27"/>
      <c r="EY50" s="27"/>
      <c r="EZ50" s="27"/>
      <c r="FA50" s="27"/>
      <c r="FB50" s="27"/>
      <c r="FC50" s="27"/>
      <c r="FD50" s="27"/>
      <c r="FE50" s="27"/>
      <c r="FF50" s="27"/>
      <c r="FG50" s="27"/>
      <c r="FH50" s="27"/>
      <c r="FI50" s="27"/>
      <c r="FJ50" s="27"/>
      <c r="FK50" s="27"/>
      <c r="FL50" s="27"/>
      <c r="FM50" s="27"/>
      <c r="FN50" s="27"/>
      <c r="FO50" s="27"/>
      <c r="FP50" s="27"/>
      <c r="FQ50" s="27"/>
      <c r="FR50" s="27"/>
      <c r="FS50" s="27"/>
      <c r="FT50" s="27"/>
      <c r="FU50" s="27"/>
      <c r="FV50" s="27"/>
      <c r="FW50" s="27"/>
      <c r="FX50" s="27"/>
      <c r="FY50" s="27"/>
      <c r="FZ50" s="27"/>
      <c r="GA50" s="27"/>
      <c r="GB50" s="27"/>
      <c r="GC50" s="27"/>
      <c r="GD50" s="27"/>
      <c r="GE50" s="27"/>
      <c r="GF50" s="27"/>
      <c r="GG50" s="27"/>
      <c r="GH50" s="27"/>
      <c r="GI50" s="27"/>
      <c r="GJ50" s="27"/>
      <c r="GK50" s="27"/>
      <c r="GL50" s="27"/>
      <c r="GM50" s="27"/>
      <c r="GN50" s="27"/>
      <c r="GO50" s="27"/>
      <c r="GP50" s="27"/>
      <c r="GQ50" s="27"/>
      <c r="GR50" s="27"/>
      <c r="GS50" s="27"/>
      <c r="GT50" s="27"/>
      <c r="GU50" s="27"/>
      <c r="GV50" s="27"/>
      <c r="GW50" s="27"/>
      <c r="GX50" s="27"/>
      <c r="GY50" s="27"/>
      <c r="GZ50" s="27"/>
      <c r="HA50" s="27"/>
      <c r="HB50" s="27"/>
      <c r="HC50" s="27"/>
      <c r="HD50" s="27"/>
      <c r="HE50" s="27"/>
      <c r="HF50" s="27"/>
      <c r="HG50" s="27"/>
      <c r="HH50" s="27"/>
      <c r="HI50" s="27"/>
      <c r="HJ50" s="27"/>
      <c r="HK50" s="27"/>
      <c r="HL50" s="27"/>
      <c r="HM50" s="27"/>
      <c r="HN50" s="27"/>
      <c r="HO50" s="27"/>
      <c r="HP50" s="27"/>
      <c r="HQ50" s="27"/>
      <c r="HR50" s="27"/>
    </row>
    <row r="51" spans="1:226" x14ac:dyDescent="0.25">
      <c r="A51" s="775">
        <f t="shared" si="5"/>
        <v>10</v>
      </c>
      <c r="B51" s="768"/>
      <c r="C51" s="776"/>
      <c r="D51" s="776"/>
      <c r="E51" s="776"/>
      <c r="F51" s="27"/>
      <c r="G51" s="27"/>
      <c r="H51" s="27"/>
      <c r="I51" s="27"/>
      <c r="J51" s="27"/>
      <c r="K51" s="27"/>
      <c r="L51" s="27"/>
      <c r="M51" s="27"/>
      <c r="N51" s="27"/>
      <c r="O51" s="27"/>
      <c r="P51" s="27"/>
      <c r="Q51" s="27"/>
      <c r="R51" s="27"/>
      <c r="S51" s="27"/>
      <c r="T51" s="27"/>
      <c r="U51" s="27"/>
      <c r="V51" s="27"/>
      <c r="W51" s="27"/>
      <c r="X51" s="27"/>
      <c r="Y51" s="27"/>
      <c r="Z51" s="27"/>
      <c r="AA51" s="27"/>
      <c r="AB51" s="27"/>
      <c r="AC51" s="27"/>
      <c r="AD51" s="27"/>
      <c r="AE51" s="27"/>
      <c r="AF51" s="27"/>
      <c r="AG51" s="27"/>
      <c r="AH51" s="27"/>
      <c r="AI51" s="27"/>
      <c r="AJ51" s="27"/>
      <c r="AK51" s="27"/>
      <c r="AL51" s="27"/>
      <c r="AM51" s="27"/>
      <c r="AN51" s="27"/>
      <c r="AO51" s="27"/>
      <c r="AP51" s="27"/>
      <c r="AQ51" s="27"/>
      <c r="AR51" s="27"/>
      <c r="AS51" s="27"/>
      <c r="AT51" s="27"/>
      <c r="AU51" s="27"/>
      <c r="AV51" s="27"/>
      <c r="AW51" s="27"/>
      <c r="AX51" s="27"/>
      <c r="AY51" s="27"/>
      <c r="AZ51" s="27"/>
      <c r="BA51" s="27"/>
      <c r="BB51" s="27"/>
      <c r="BC51" s="27"/>
      <c r="BD51" s="27"/>
      <c r="BE51" s="27"/>
      <c r="BF51" s="27"/>
      <c r="BG51" s="27"/>
      <c r="BH51" s="27"/>
      <c r="BI51" s="27"/>
      <c r="BJ51" s="27"/>
      <c r="BK51" s="27"/>
      <c r="BL51" s="27"/>
      <c r="BM51" s="27"/>
      <c r="BN51" s="27"/>
      <c r="BO51" s="27"/>
      <c r="BP51" s="27"/>
      <c r="BQ51" s="27"/>
      <c r="BR51" s="27"/>
      <c r="BS51" s="27"/>
      <c r="BT51" s="27"/>
      <c r="BU51" s="27"/>
      <c r="BV51" s="27"/>
      <c r="BW51" s="27"/>
      <c r="BX51" s="27"/>
      <c r="BY51" s="27"/>
      <c r="BZ51" s="27"/>
      <c r="CA51" s="27"/>
      <c r="CB51" s="27"/>
      <c r="CC51" s="27"/>
      <c r="CD51" s="27"/>
      <c r="CE51" s="27"/>
      <c r="CF51" s="27"/>
      <c r="CG51" s="27"/>
      <c r="CH51" s="27"/>
      <c r="CI51" s="27"/>
      <c r="CJ51" s="27"/>
      <c r="CK51" s="27"/>
      <c r="CL51" s="27"/>
      <c r="CM51" s="27"/>
      <c r="CN51" s="27"/>
      <c r="CO51" s="27"/>
      <c r="CP51" s="27"/>
      <c r="CQ51" s="27"/>
      <c r="CR51" s="27"/>
      <c r="CS51" s="27"/>
      <c r="CT51" s="27"/>
      <c r="CU51" s="27"/>
      <c r="CV51" s="27"/>
      <c r="CW51" s="27"/>
      <c r="CX51" s="27"/>
      <c r="CY51" s="27"/>
      <c r="CZ51" s="27"/>
      <c r="DA51" s="27"/>
      <c r="DB51" s="27"/>
      <c r="DC51" s="27"/>
      <c r="DD51" s="27"/>
      <c r="DE51" s="27"/>
      <c r="DF51" s="27"/>
      <c r="DG51" s="27"/>
      <c r="DH51" s="27"/>
      <c r="DI51" s="27"/>
      <c r="DJ51" s="27"/>
      <c r="DK51" s="27"/>
      <c r="DL51" s="27"/>
      <c r="DM51" s="27"/>
      <c r="DN51" s="27"/>
      <c r="DO51" s="27"/>
      <c r="DP51" s="27"/>
      <c r="DQ51" s="27"/>
      <c r="DR51" s="27"/>
      <c r="DS51" s="27"/>
      <c r="DT51" s="27"/>
      <c r="DU51" s="27"/>
      <c r="DV51" s="27"/>
      <c r="DW51" s="27"/>
      <c r="DX51" s="27"/>
      <c r="DY51" s="27"/>
      <c r="DZ51" s="27"/>
      <c r="EA51" s="27"/>
      <c r="EB51" s="27"/>
      <c r="EC51" s="27"/>
      <c r="ED51" s="27"/>
      <c r="EE51" s="27"/>
      <c r="EF51" s="27"/>
      <c r="EG51" s="27"/>
      <c r="EH51" s="27"/>
      <c r="EI51" s="27"/>
      <c r="EJ51" s="27"/>
      <c r="EK51" s="27"/>
      <c r="EL51" s="27"/>
      <c r="EM51" s="27"/>
      <c r="EN51" s="27"/>
      <c r="EO51" s="27"/>
      <c r="EP51" s="27"/>
      <c r="EQ51" s="27"/>
      <c r="ER51" s="27"/>
      <c r="ES51" s="27"/>
      <c r="ET51" s="27"/>
      <c r="EU51" s="27"/>
      <c r="EV51" s="27"/>
      <c r="EW51" s="27"/>
      <c r="EX51" s="27"/>
      <c r="EY51" s="27"/>
      <c r="EZ51" s="27"/>
      <c r="FA51" s="27"/>
      <c r="FB51" s="27"/>
      <c r="FC51" s="27"/>
      <c r="FD51" s="27"/>
      <c r="FE51" s="27"/>
      <c r="FF51" s="27"/>
      <c r="FG51" s="27"/>
      <c r="FH51" s="27"/>
      <c r="FI51" s="27"/>
      <c r="FJ51" s="27"/>
      <c r="FK51" s="27"/>
      <c r="FL51" s="27"/>
      <c r="FM51" s="27"/>
      <c r="FN51" s="27"/>
      <c r="FO51" s="27"/>
      <c r="FP51" s="27"/>
      <c r="FQ51" s="27"/>
      <c r="FR51" s="27"/>
      <c r="FS51" s="27"/>
      <c r="FT51" s="27"/>
      <c r="FU51" s="27"/>
      <c r="FV51" s="27"/>
      <c r="FW51" s="27"/>
      <c r="FX51" s="27"/>
      <c r="FY51" s="27"/>
      <c r="FZ51" s="27"/>
      <c r="GA51" s="27"/>
      <c r="GB51" s="27"/>
      <c r="GC51" s="27"/>
      <c r="GD51" s="27"/>
      <c r="GE51" s="27"/>
      <c r="GF51" s="27"/>
      <c r="GG51" s="27"/>
      <c r="GH51" s="27"/>
      <c r="GI51" s="27"/>
      <c r="GJ51" s="27"/>
      <c r="GK51" s="27"/>
      <c r="GL51" s="27"/>
      <c r="GM51" s="27"/>
      <c r="GN51" s="27"/>
      <c r="GO51" s="27"/>
      <c r="GP51" s="27"/>
      <c r="GQ51" s="27"/>
      <c r="GR51" s="27"/>
      <c r="GS51" s="27"/>
      <c r="GT51" s="27"/>
      <c r="GU51" s="27"/>
      <c r="GV51" s="27"/>
      <c r="GW51" s="27"/>
      <c r="GX51" s="27"/>
      <c r="GY51" s="27"/>
      <c r="GZ51" s="27"/>
      <c r="HA51" s="27"/>
      <c r="HB51" s="27"/>
      <c r="HC51" s="27"/>
      <c r="HD51" s="27"/>
      <c r="HE51" s="27"/>
      <c r="HF51" s="27"/>
      <c r="HG51" s="27"/>
      <c r="HH51" s="27"/>
      <c r="HI51" s="27"/>
      <c r="HJ51" s="27"/>
      <c r="HK51" s="27"/>
      <c r="HL51" s="27"/>
      <c r="HM51" s="27"/>
      <c r="HN51" s="27"/>
      <c r="HO51" s="27"/>
      <c r="HP51" s="27"/>
      <c r="HQ51" s="27"/>
      <c r="HR51" s="27"/>
    </row>
    <row r="52" spans="1:226" x14ac:dyDescent="0.25">
      <c r="A52" s="775">
        <f t="shared" si="5"/>
        <v>11</v>
      </c>
      <c r="B52" s="768"/>
      <c r="C52" s="776"/>
      <c r="D52" s="776"/>
      <c r="E52" s="982"/>
      <c r="F52" s="27"/>
      <c r="G52" s="140">
        <f>'PUENTE CCANCHI'!L127</f>
        <v>5990239.0099999998</v>
      </c>
      <c r="H52" s="27"/>
      <c r="I52" s="27"/>
      <c r="J52" s="27"/>
      <c r="K52" s="27"/>
      <c r="L52" s="27"/>
      <c r="M52" s="27"/>
      <c r="N52" s="27"/>
      <c r="O52" s="27"/>
      <c r="P52" s="27"/>
      <c r="Q52" s="27"/>
      <c r="R52" s="27"/>
      <c r="S52" s="27"/>
      <c r="T52" s="27"/>
      <c r="U52" s="27"/>
      <c r="V52" s="27"/>
      <c r="W52" s="27"/>
      <c r="X52" s="27"/>
      <c r="Y52" s="27"/>
      <c r="Z52" s="27"/>
      <c r="AA52" s="27"/>
      <c r="AB52" s="27"/>
      <c r="AC52" s="27"/>
      <c r="AD52" s="27"/>
      <c r="AE52" s="27"/>
      <c r="AF52" s="27"/>
      <c r="AG52" s="27"/>
      <c r="AH52" s="27"/>
      <c r="AI52" s="27"/>
      <c r="AJ52" s="27"/>
      <c r="AK52" s="27"/>
      <c r="AL52" s="27"/>
      <c r="AM52" s="27"/>
      <c r="AN52" s="27"/>
      <c r="AO52" s="27"/>
      <c r="AP52" s="27"/>
      <c r="AQ52" s="27"/>
      <c r="AR52" s="27"/>
      <c r="AS52" s="27"/>
      <c r="AT52" s="27"/>
      <c r="AU52" s="27"/>
      <c r="AV52" s="27"/>
      <c r="AW52" s="27"/>
      <c r="AX52" s="27"/>
      <c r="AY52" s="27"/>
      <c r="AZ52" s="27"/>
      <c r="BA52" s="27"/>
      <c r="BB52" s="27"/>
      <c r="BC52" s="27"/>
      <c r="BD52" s="27"/>
      <c r="BE52" s="27"/>
      <c r="BF52" s="27"/>
      <c r="BG52" s="27"/>
      <c r="BH52" s="27"/>
      <c r="BI52" s="27"/>
      <c r="BJ52" s="27"/>
      <c r="BK52" s="27"/>
      <c r="BL52" s="27"/>
      <c r="BM52" s="27"/>
      <c r="BN52" s="27"/>
      <c r="BO52" s="27"/>
      <c r="BP52" s="27"/>
      <c r="BQ52" s="27"/>
      <c r="BR52" s="27"/>
      <c r="BS52" s="27"/>
      <c r="BT52" s="27"/>
      <c r="BU52" s="27"/>
      <c r="BV52" s="27"/>
      <c r="BW52" s="27"/>
      <c r="BX52" s="27"/>
      <c r="BY52" s="27"/>
      <c r="BZ52" s="27"/>
      <c r="CA52" s="27"/>
      <c r="CB52" s="27"/>
      <c r="CC52" s="27"/>
      <c r="CD52" s="27"/>
      <c r="CE52" s="27"/>
      <c r="CF52" s="27"/>
      <c r="CG52" s="27"/>
      <c r="CH52" s="27"/>
      <c r="CI52" s="27"/>
      <c r="CJ52" s="27"/>
      <c r="CK52" s="27"/>
      <c r="CL52" s="27"/>
      <c r="CM52" s="27"/>
      <c r="CN52" s="27"/>
      <c r="CO52" s="27"/>
      <c r="CP52" s="27"/>
      <c r="CQ52" s="27"/>
      <c r="CR52" s="27"/>
      <c r="CS52" s="27"/>
      <c r="CT52" s="27"/>
      <c r="CU52" s="27"/>
      <c r="CV52" s="27"/>
      <c r="CW52" s="27"/>
      <c r="CX52" s="27"/>
      <c r="CY52" s="27"/>
      <c r="CZ52" s="27"/>
      <c r="DA52" s="27"/>
      <c r="DB52" s="27"/>
      <c r="DC52" s="27"/>
      <c r="DD52" s="27"/>
      <c r="DE52" s="27"/>
      <c r="DF52" s="27"/>
      <c r="DG52" s="27"/>
      <c r="DH52" s="27"/>
      <c r="DI52" s="27"/>
      <c r="DJ52" s="27"/>
      <c r="DK52" s="27"/>
      <c r="DL52" s="27"/>
      <c r="DM52" s="27"/>
      <c r="DN52" s="27"/>
      <c r="DO52" s="27"/>
      <c r="DP52" s="27"/>
      <c r="DQ52" s="27"/>
      <c r="DR52" s="27"/>
      <c r="DS52" s="27"/>
      <c r="DT52" s="27"/>
      <c r="DU52" s="27"/>
      <c r="DV52" s="27"/>
      <c r="DW52" s="27"/>
      <c r="DX52" s="27"/>
      <c r="DY52" s="27"/>
      <c r="DZ52" s="27"/>
      <c r="EA52" s="27"/>
      <c r="EB52" s="27"/>
      <c r="EC52" s="27"/>
      <c r="ED52" s="27"/>
      <c r="EE52" s="27"/>
      <c r="EF52" s="27"/>
      <c r="EG52" s="27"/>
      <c r="EH52" s="27"/>
      <c r="EI52" s="27"/>
      <c r="EJ52" s="27"/>
      <c r="EK52" s="27"/>
      <c r="EL52" s="27"/>
      <c r="EM52" s="27"/>
      <c r="EN52" s="27"/>
      <c r="EO52" s="27"/>
      <c r="EP52" s="27"/>
      <c r="EQ52" s="27"/>
      <c r="ER52" s="27"/>
      <c r="ES52" s="27"/>
      <c r="ET52" s="27"/>
      <c r="EU52" s="27"/>
      <c r="EV52" s="27"/>
      <c r="EW52" s="27"/>
      <c r="EX52" s="27"/>
      <c r="EY52" s="27"/>
      <c r="EZ52" s="27"/>
      <c r="FA52" s="27"/>
      <c r="FB52" s="27"/>
      <c r="FC52" s="27"/>
      <c r="FD52" s="27"/>
      <c r="FE52" s="27"/>
      <c r="FF52" s="27"/>
      <c r="FG52" s="27"/>
      <c r="FH52" s="27"/>
      <c r="FI52" s="27"/>
      <c r="FJ52" s="27"/>
      <c r="FK52" s="27"/>
      <c r="FL52" s="27"/>
      <c r="FM52" s="27"/>
      <c r="FN52" s="27"/>
      <c r="FO52" s="27"/>
      <c r="FP52" s="27"/>
      <c r="FQ52" s="27"/>
      <c r="FR52" s="27"/>
      <c r="FS52" s="27"/>
      <c r="FT52" s="27"/>
      <c r="FU52" s="27"/>
      <c r="FV52" s="27"/>
      <c r="FW52" s="27"/>
      <c r="FX52" s="27"/>
      <c r="FY52" s="27"/>
      <c r="FZ52" s="27"/>
      <c r="GA52" s="27"/>
      <c r="GB52" s="27"/>
      <c r="GC52" s="27"/>
      <c r="GD52" s="27"/>
      <c r="GE52" s="27"/>
      <c r="GF52" s="27"/>
      <c r="GG52" s="27"/>
      <c r="GH52" s="27"/>
      <c r="GI52" s="27"/>
      <c r="GJ52" s="27"/>
      <c r="GK52" s="27"/>
      <c r="GL52" s="27"/>
      <c r="GM52" s="27"/>
      <c r="GN52" s="27"/>
      <c r="GO52" s="27"/>
      <c r="GP52" s="27"/>
      <c r="GQ52" s="27"/>
      <c r="GR52" s="27"/>
      <c r="GS52" s="27"/>
      <c r="GT52" s="27"/>
      <c r="GU52" s="27"/>
      <c r="GV52" s="27"/>
      <c r="GW52" s="27"/>
      <c r="GX52" s="27"/>
      <c r="GY52" s="27"/>
      <c r="GZ52" s="27"/>
      <c r="HA52" s="27"/>
      <c r="HB52" s="27"/>
      <c r="HC52" s="27"/>
      <c r="HD52" s="27"/>
      <c r="HE52" s="27"/>
      <c r="HF52" s="27"/>
      <c r="HG52" s="27"/>
      <c r="HH52" s="27"/>
      <c r="HI52" s="27"/>
      <c r="HJ52" s="27"/>
      <c r="HK52" s="27"/>
      <c r="HL52" s="27"/>
      <c r="HM52" s="27"/>
      <c r="HN52" s="27"/>
      <c r="HO52" s="27"/>
      <c r="HP52" s="27"/>
      <c r="HQ52" s="27"/>
      <c r="HR52" s="27"/>
    </row>
    <row r="53" spans="1:226" x14ac:dyDescent="0.25">
      <c r="A53" s="775">
        <f t="shared" si="5"/>
        <v>12</v>
      </c>
      <c r="B53" s="768"/>
      <c r="C53" s="776"/>
      <c r="D53" s="776"/>
      <c r="E53" s="982"/>
      <c r="F53" s="27"/>
      <c r="G53" s="140">
        <f>'PUENTE CCANCHI'!L128</f>
        <v>1078243.01</v>
      </c>
      <c r="H53" s="27"/>
      <c r="I53" s="27"/>
      <c r="J53" s="27"/>
      <c r="K53" s="27"/>
      <c r="L53" s="27"/>
      <c r="M53" s="27"/>
      <c r="N53" s="27"/>
      <c r="O53" s="27"/>
      <c r="P53" s="27"/>
      <c r="Q53" s="27"/>
      <c r="R53" s="27"/>
      <c r="S53" s="27"/>
      <c r="T53" s="27"/>
      <c r="U53" s="27"/>
      <c r="V53" s="27"/>
      <c r="W53" s="27"/>
      <c r="X53" s="27"/>
      <c r="Y53" s="27"/>
      <c r="Z53" s="27"/>
      <c r="AA53" s="27"/>
      <c r="AB53" s="27"/>
      <c r="AC53" s="27"/>
      <c r="AD53" s="27"/>
      <c r="AE53" s="27"/>
      <c r="AF53" s="27"/>
      <c r="AG53" s="27"/>
      <c r="AH53" s="27"/>
      <c r="AI53" s="27"/>
      <c r="AJ53" s="27"/>
      <c r="AK53" s="27"/>
      <c r="AL53" s="27"/>
      <c r="AM53" s="27"/>
      <c r="AN53" s="27"/>
      <c r="AO53" s="27"/>
      <c r="AP53" s="27"/>
      <c r="AQ53" s="27"/>
      <c r="AR53" s="27"/>
      <c r="AS53" s="27"/>
      <c r="AT53" s="27"/>
      <c r="AU53" s="27"/>
      <c r="AV53" s="27"/>
      <c r="AW53" s="27"/>
      <c r="AX53" s="27"/>
      <c r="AY53" s="27"/>
      <c r="AZ53" s="27"/>
      <c r="BA53" s="27"/>
      <c r="BB53" s="27"/>
      <c r="BC53" s="27"/>
      <c r="BD53" s="27"/>
      <c r="BE53" s="27"/>
      <c r="BF53" s="27"/>
      <c r="BG53" s="27"/>
      <c r="BH53" s="27"/>
      <c r="BI53" s="27"/>
      <c r="BJ53" s="27"/>
      <c r="BK53" s="27"/>
      <c r="BL53" s="27"/>
      <c r="BM53" s="27"/>
      <c r="BN53" s="27"/>
      <c r="BO53" s="27"/>
      <c r="BP53" s="27"/>
      <c r="BQ53" s="27"/>
      <c r="BR53" s="27"/>
      <c r="BS53" s="27"/>
      <c r="BT53" s="27"/>
      <c r="BU53" s="27"/>
      <c r="BV53" s="27"/>
      <c r="BW53" s="27"/>
      <c r="BX53" s="27"/>
      <c r="BY53" s="27"/>
      <c r="BZ53" s="27"/>
      <c r="CA53" s="27"/>
      <c r="CB53" s="27"/>
      <c r="CC53" s="27"/>
      <c r="CD53" s="27"/>
      <c r="CE53" s="27"/>
      <c r="CF53" s="27"/>
      <c r="CG53" s="27"/>
      <c r="CH53" s="27"/>
      <c r="CI53" s="27"/>
      <c r="CJ53" s="27"/>
      <c r="CK53" s="27"/>
      <c r="CL53" s="27"/>
      <c r="CM53" s="27"/>
      <c r="CN53" s="27"/>
      <c r="CO53" s="27"/>
      <c r="CP53" s="27"/>
      <c r="CQ53" s="27"/>
      <c r="CR53" s="27"/>
      <c r="CS53" s="27"/>
      <c r="CT53" s="27"/>
      <c r="CU53" s="27"/>
      <c r="CV53" s="27"/>
      <c r="CW53" s="27"/>
      <c r="CX53" s="27"/>
      <c r="CY53" s="27"/>
      <c r="CZ53" s="27"/>
      <c r="DA53" s="27"/>
      <c r="DB53" s="27"/>
      <c r="DC53" s="27"/>
      <c r="DD53" s="27"/>
      <c r="DE53" s="27"/>
      <c r="DF53" s="27"/>
      <c r="DG53" s="27"/>
      <c r="DH53" s="27"/>
      <c r="DI53" s="27"/>
      <c r="DJ53" s="27"/>
      <c r="DK53" s="27"/>
      <c r="DL53" s="27"/>
      <c r="DM53" s="27"/>
      <c r="DN53" s="27"/>
      <c r="DO53" s="27"/>
      <c r="DP53" s="27"/>
      <c r="DQ53" s="27"/>
      <c r="DR53" s="27"/>
      <c r="DS53" s="27"/>
      <c r="DT53" s="27"/>
      <c r="DU53" s="27"/>
      <c r="DV53" s="27"/>
      <c r="DW53" s="27"/>
      <c r="DX53" s="27"/>
      <c r="DY53" s="27"/>
      <c r="DZ53" s="27"/>
      <c r="EA53" s="27"/>
      <c r="EB53" s="27"/>
      <c r="EC53" s="27"/>
      <c r="ED53" s="27"/>
      <c r="EE53" s="27"/>
      <c r="EF53" s="27"/>
      <c r="EG53" s="27"/>
      <c r="EH53" s="27"/>
      <c r="EI53" s="27"/>
      <c r="EJ53" s="27"/>
      <c r="EK53" s="27"/>
      <c r="EL53" s="27"/>
      <c r="EM53" s="27"/>
      <c r="EN53" s="27"/>
      <c r="EO53" s="27"/>
      <c r="EP53" s="27"/>
      <c r="EQ53" s="27"/>
      <c r="ER53" s="27"/>
      <c r="ES53" s="27"/>
      <c r="ET53" s="27"/>
      <c r="EU53" s="27"/>
      <c r="EV53" s="27"/>
      <c r="EW53" s="27"/>
      <c r="EX53" s="27"/>
      <c r="EY53" s="27"/>
      <c r="EZ53" s="27"/>
      <c r="FA53" s="27"/>
      <c r="FB53" s="27"/>
      <c r="FC53" s="27"/>
      <c r="FD53" s="27"/>
      <c r="FE53" s="27"/>
      <c r="FF53" s="27"/>
      <c r="FG53" s="27"/>
      <c r="FH53" s="27"/>
      <c r="FI53" s="27"/>
      <c r="FJ53" s="27"/>
      <c r="FK53" s="27"/>
      <c r="FL53" s="27"/>
      <c r="FM53" s="27"/>
      <c r="FN53" s="27"/>
      <c r="FO53" s="27"/>
      <c r="FP53" s="27"/>
      <c r="FQ53" s="27"/>
      <c r="FR53" s="27"/>
      <c r="FS53" s="27"/>
      <c r="FT53" s="27"/>
      <c r="FU53" s="27"/>
      <c r="FV53" s="27"/>
      <c r="FW53" s="27"/>
      <c r="FX53" s="27"/>
      <c r="FY53" s="27"/>
      <c r="FZ53" s="27"/>
      <c r="GA53" s="27"/>
      <c r="GB53" s="27"/>
      <c r="GC53" s="27"/>
      <c r="GD53" s="27"/>
      <c r="GE53" s="27"/>
      <c r="GF53" s="27"/>
      <c r="GG53" s="27"/>
      <c r="GH53" s="27"/>
      <c r="GI53" s="27"/>
      <c r="GJ53" s="27"/>
      <c r="GK53" s="27"/>
      <c r="GL53" s="27"/>
      <c r="GM53" s="27"/>
      <c r="GN53" s="27"/>
      <c r="GO53" s="27"/>
      <c r="GP53" s="27"/>
      <c r="GQ53" s="27"/>
      <c r="GR53" s="27"/>
      <c r="GS53" s="27"/>
      <c r="GT53" s="27"/>
      <c r="GU53" s="27"/>
      <c r="GV53" s="27"/>
      <c r="GW53" s="27"/>
      <c r="GX53" s="27"/>
      <c r="GY53" s="27"/>
      <c r="GZ53" s="27"/>
      <c r="HA53" s="27"/>
      <c r="HB53" s="27"/>
      <c r="HC53" s="27"/>
      <c r="HD53" s="27"/>
      <c r="HE53" s="27"/>
      <c r="HF53" s="27"/>
      <c r="HG53" s="27"/>
      <c r="HH53" s="27"/>
      <c r="HI53" s="27"/>
      <c r="HJ53" s="27"/>
      <c r="HK53" s="27"/>
      <c r="HL53" s="27"/>
      <c r="HM53" s="27"/>
      <c r="HN53" s="27"/>
      <c r="HO53" s="27"/>
      <c r="HP53" s="27"/>
      <c r="HQ53" s="27"/>
      <c r="HR53" s="27"/>
    </row>
    <row r="54" spans="1:226" x14ac:dyDescent="0.25">
      <c r="A54" s="905" t="s">
        <v>123</v>
      </c>
      <c r="B54" s="777"/>
      <c r="C54" s="906">
        <f t="shared" ref="C54" si="8">SUM(C42:C53)</f>
        <v>4228497.1399999997</v>
      </c>
      <c r="D54" s="906">
        <f>SUM(D42:D53)-0.01</f>
        <v>761129.47536898497</v>
      </c>
      <c r="E54" s="906">
        <f>SUM(E42:E53)-0.01</f>
        <v>4989626.6153689846</v>
      </c>
      <c r="F54" s="140"/>
      <c r="G54" s="140">
        <f>'PUENTE CCANCHI'!L129</f>
        <v>7068482.0199999996</v>
      </c>
      <c r="H54" s="27"/>
      <c r="I54" s="27"/>
      <c r="J54" s="27"/>
      <c r="K54" s="27"/>
      <c r="L54" s="27"/>
      <c r="M54" s="27"/>
      <c r="N54" s="27"/>
      <c r="O54" s="27"/>
      <c r="P54" s="27"/>
      <c r="Q54" s="27"/>
      <c r="R54" s="27"/>
      <c r="S54" s="27"/>
      <c r="T54" s="27"/>
      <c r="U54" s="27"/>
      <c r="V54" s="27"/>
      <c r="W54" s="27"/>
      <c r="X54" s="27"/>
      <c r="Y54" s="27"/>
      <c r="Z54" s="27"/>
      <c r="AA54" s="27"/>
      <c r="AB54" s="27"/>
      <c r="AC54" s="27"/>
      <c r="AD54" s="27"/>
      <c r="AE54" s="27"/>
      <c r="AF54" s="27"/>
      <c r="AG54" s="27"/>
      <c r="AH54" s="27"/>
      <c r="AI54" s="27"/>
      <c r="AJ54" s="27"/>
      <c r="AK54" s="27"/>
      <c r="AL54" s="27"/>
      <c r="AM54" s="27"/>
      <c r="AN54" s="27"/>
      <c r="AO54" s="27"/>
      <c r="AP54" s="27"/>
      <c r="AQ54" s="27"/>
      <c r="AR54" s="27"/>
      <c r="AS54" s="27"/>
      <c r="AT54" s="27"/>
      <c r="AU54" s="27"/>
      <c r="AV54" s="27"/>
      <c r="AW54" s="27"/>
      <c r="AX54" s="27"/>
      <c r="AY54" s="27"/>
      <c r="AZ54" s="27"/>
      <c r="BA54" s="27"/>
      <c r="BB54" s="27"/>
      <c r="BC54" s="27"/>
      <c r="BD54" s="27"/>
      <c r="BE54" s="27"/>
      <c r="BF54" s="27"/>
      <c r="BG54" s="27"/>
      <c r="BH54" s="27"/>
      <c r="BI54" s="27"/>
      <c r="BJ54" s="27"/>
      <c r="BK54" s="27"/>
      <c r="BL54" s="27"/>
      <c r="BM54" s="27"/>
      <c r="BN54" s="27"/>
      <c r="BO54" s="27"/>
      <c r="BP54" s="27"/>
      <c r="BQ54" s="27"/>
      <c r="BR54" s="27"/>
      <c r="BS54" s="27"/>
      <c r="BT54" s="27"/>
      <c r="BU54" s="27"/>
      <c r="BV54" s="27"/>
      <c r="BW54" s="27"/>
      <c r="BX54" s="27"/>
      <c r="BY54" s="27"/>
      <c r="BZ54" s="27"/>
      <c r="CA54" s="27"/>
      <c r="CB54" s="27"/>
      <c r="CC54" s="27"/>
      <c r="CD54" s="27"/>
      <c r="CE54" s="27"/>
      <c r="CF54" s="27"/>
      <c r="CG54" s="27"/>
      <c r="CH54" s="27"/>
      <c r="CI54" s="27"/>
      <c r="CJ54" s="27"/>
      <c r="CK54" s="27"/>
      <c r="CL54" s="27"/>
      <c r="CM54" s="27"/>
      <c r="CN54" s="27"/>
      <c r="CO54" s="27"/>
      <c r="CP54" s="27"/>
      <c r="CQ54" s="27"/>
      <c r="CR54" s="27"/>
      <c r="CS54" s="27"/>
      <c r="CT54" s="27"/>
      <c r="CU54" s="27"/>
      <c r="CV54" s="27"/>
      <c r="CW54" s="27"/>
      <c r="CX54" s="27"/>
      <c r="CY54" s="27"/>
      <c r="CZ54" s="27"/>
      <c r="DA54" s="27"/>
      <c r="DB54" s="27"/>
      <c r="DC54" s="27"/>
      <c r="DD54" s="27"/>
      <c r="DE54" s="27"/>
      <c r="DF54" s="27"/>
      <c r="DG54" s="27"/>
      <c r="DH54" s="27"/>
      <c r="DI54" s="27"/>
      <c r="DJ54" s="27"/>
      <c r="DK54" s="27"/>
      <c r="DL54" s="27"/>
      <c r="DM54" s="27"/>
      <c r="DN54" s="27"/>
      <c r="DO54" s="27"/>
      <c r="DP54" s="27"/>
      <c r="DQ54" s="27"/>
      <c r="DR54" s="27"/>
      <c r="DS54" s="27"/>
      <c r="DT54" s="27"/>
      <c r="DU54" s="27"/>
      <c r="DV54" s="27"/>
      <c r="DW54" s="27"/>
      <c r="DX54" s="27"/>
      <c r="DY54" s="27"/>
      <c r="DZ54" s="27"/>
      <c r="EA54" s="27"/>
      <c r="EB54" s="27"/>
      <c r="EC54" s="27"/>
      <c r="ED54" s="27"/>
      <c r="EE54" s="27"/>
      <c r="EF54" s="27"/>
      <c r="EG54" s="27"/>
      <c r="EH54" s="27"/>
      <c r="EI54" s="27"/>
      <c r="EJ54" s="27"/>
      <c r="EK54" s="27"/>
      <c r="EL54" s="27"/>
      <c r="EM54" s="27"/>
      <c r="EN54" s="27"/>
      <c r="EO54" s="27"/>
      <c r="EP54" s="27"/>
      <c r="EQ54" s="27"/>
      <c r="ER54" s="27"/>
      <c r="ES54" s="27"/>
      <c r="ET54" s="27"/>
      <c r="EU54" s="27"/>
      <c r="EV54" s="27"/>
      <c r="EW54" s="27"/>
      <c r="EX54" s="27"/>
      <c r="EY54" s="27"/>
      <c r="EZ54" s="27"/>
      <c r="FA54" s="27"/>
      <c r="FB54" s="27"/>
      <c r="FC54" s="27"/>
      <c r="FD54" s="27"/>
      <c r="FE54" s="27"/>
      <c r="FF54" s="27"/>
      <c r="FG54" s="27"/>
      <c r="FH54" s="27"/>
      <c r="FI54" s="27"/>
      <c r="FJ54" s="27"/>
      <c r="FK54" s="27"/>
      <c r="FL54" s="27"/>
      <c r="FM54" s="27"/>
      <c r="FN54" s="27"/>
      <c r="FO54" s="27"/>
      <c r="FP54" s="27"/>
      <c r="FQ54" s="27"/>
      <c r="FR54" s="27"/>
      <c r="FS54" s="27"/>
      <c r="FT54" s="27"/>
      <c r="FU54" s="27"/>
      <c r="FV54" s="27"/>
      <c r="FW54" s="27"/>
      <c r="FX54" s="27"/>
      <c r="FY54" s="27"/>
      <c r="FZ54" s="27"/>
      <c r="GA54" s="27"/>
      <c r="GB54" s="27"/>
      <c r="GC54" s="27"/>
      <c r="GD54" s="27"/>
      <c r="GE54" s="27"/>
      <c r="GF54" s="27"/>
      <c r="GG54" s="27"/>
      <c r="GH54" s="27"/>
      <c r="GI54" s="27"/>
      <c r="GJ54" s="27"/>
      <c r="GK54" s="27"/>
      <c r="GL54" s="27"/>
      <c r="GM54" s="27"/>
      <c r="GN54" s="27"/>
      <c r="GO54" s="27"/>
      <c r="GP54" s="27"/>
      <c r="GQ54" s="27"/>
      <c r="GR54" s="27"/>
      <c r="GS54" s="27"/>
      <c r="GT54" s="27"/>
      <c r="GU54" s="27"/>
      <c r="GV54" s="27"/>
      <c r="GW54" s="27"/>
      <c r="GX54" s="27"/>
      <c r="GY54" s="27"/>
      <c r="GZ54" s="27"/>
      <c r="HA54" s="27"/>
      <c r="HB54" s="27"/>
      <c r="HC54" s="27"/>
      <c r="HD54" s="27"/>
      <c r="HE54" s="27"/>
      <c r="HF54" s="27"/>
      <c r="HG54" s="27"/>
      <c r="HH54" s="27"/>
      <c r="HI54" s="27"/>
      <c r="HJ54" s="27"/>
      <c r="HK54" s="27"/>
      <c r="HL54" s="27"/>
      <c r="HM54" s="27"/>
      <c r="HN54" s="27"/>
      <c r="HO54" s="27"/>
      <c r="HP54" s="27"/>
      <c r="HQ54" s="27"/>
      <c r="HR54" s="27"/>
    </row>
    <row r="55" spans="1:226" ht="13.8" thickBot="1" x14ac:dyDescent="0.3">
      <c r="A55" s="27"/>
      <c r="B55" s="30"/>
      <c r="C55" s="36"/>
      <c r="D55" s="36"/>
      <c r="E55" s="36"/>
      <c r="F55" s="27"/>
      <c r="G55" s="27"/>
      <c r="H55" s="27"/>
      <c r="I55" s="27"/>
      <c r="J55" s="27"/>
      <c r="K55" s="27"/>
      <c r="L55" s="27"/>
      <c r="M55" s="27"/>
      <c r="N55" s="27"/>
      <c r="O55" s="27"/>
      <c r="P55" s="27"/>
      <c r="Q55" s="27"/>
      <c r="R55" s="27"/>
      <c r="S55" s="27"/>
      <c r="T55" s="27"/>
      <c r="U55" s="27"/>
      <c r="V55" s="27"/>
      <c r="W55" s="27"/>
      <c r="X55" s="27"/>
      <c r="Y55" s="27"/>
      <c r="Z55" s="27"/>
      <c r="AA55" s="27"/>
      <c r="AB55" s="27"/>
      <c r="AC55" s="27"/>
      <c r="AD55" s="27"/>
      <c r="AE55" s="27"/>
      <c r="AF55" s="27"/>
      <c r="AG55" s="27"/>
      <c r="AH55" s="27"/>
      <c r="AI55" s="27"/>
      <c r="AJ55" s="27"/>
      <c r="AK55" s="27"/>
      <c r="AL55" s="27"/>
      <c r="AM55" s="27"/>
      <c r="AN55" s="27"/>
      <c r="AO55" s="27"/>
      <c r="AP55" s="27"/>
      <c r="AQ55" s="27"/>
      <c r="AR55" s="27"/>
      <c r="AS55" s="27"/>
      <c r="AT55" s="27"/>
      <c r="AU55" s="27"/>
      <c r="AV55" s="27"/>
      <c r="AW55" s="27"/>
      <c r="AX55" s="27"/>
      <c r="AY55" s="27"/>
      <c r="AZ55" s="27"/>
      <c r="BA55" s="27"/>
      <c r="BB55" s="27"/>
      <c r="BC55" s="27"/>
      <c r="BD55" s="27"/>
      <c r="BE55" s="27"/>
      <c r="BF55" s="27"/>
      <c r="BG55" s="27"/>
      <c r="BH55" s="27"/>
      <c r="BI55" s="27"/>
      <c r="BJ55" s="27"/>
      <c r="BK55" s="27"/>
      <c r="BL55" s="27"/>
      <c r="BM55" s="27"/>
      <c r="BN55" s="27"/>
      <c r="BO55" s="27"/>
      <c r="BP55" s="27"/>
      <c r="BQ55" s="27"/>
      <c r="BR55" s="27"/>
      <c r="BS55" s="27"/>
      <c r="BT55" s="27"/>
      <c r="BU55" s="27"/>
      <c r="BV55" s="27"/>
      <c r="BW55" s="27"/>
      <c r="BX55" s="27"/>
      <c r="BY55" s="27"/>
      <c r="BZ55" s="27"/>
      <c r="CA55" s="27"/>
      <c r="CB55" s="27"/>
      <c r="CC55" s="27"/>
      <c r="CD55" s="27"/>
      <c r="CE55" s="27"/>
      <c r="CF55" s="27"/>
      <c r="CG55" s="27"/>
      <c r="CH55" s="27"/>
      <c r="CI55" s="27"/>
      <c r="CJ55" s="27"/>
      <c r="CK55" s="27"/>
      <c r="CL55" s="27"/>
      <c r="CM55" s="27"/>
      <c r="CN55" s="27"/>
      <c r="CO55" s="27"/>
      <c r="CP55" s="27"/>
      <c r="CQ55" s="27"/>
      <c r="CR55" s="27"/>
      <c r="CS55" s="27"/>
      <c r="CT55" s="27"/>
      <c r="CU55" s="27"/>
      <c r="CV55" s="27"/>
      <c r="CW55" s="27"/>
      <c r="CX55" s="27"/>
      <c r="CY55" s="27"/>
      <c r="CZ55" s="27"/>
      <c r="DA55" s="27"/>
      <c r="DB55" s="27"/>
      <c r="DC55" s="27"/>
      <c r="DD55" s="27"/>
      <c r="DE55" s="27"/>
      <c r="DF55" s="27"/>
      <c r="DG55" s="27"/>
      <c r="DH55" s="27"/>
      <c r="DI55" s="27"/>
      <c r="DJ55" s="27"/>
      <c r="DK55" s="27"/>
      <c r="DL55" s="27"/>
      <c r="DM55" s="27"/>
      <c r="DN55" s="27"/>
      <c r="DO55" s="27"/>
      <c r="DP55" s="27"/>
      <c r="DQ55" s="27"/>
      <c r="DR55" s="27"/>
      <c r="DS55" s="27"/>
      <c r="DT55" s="27"/>
      <c r="DU55" s="27"/>
      <c r="DV55" s="27"/>
      <c r="DW55" s="27"/>
      <c r="DX55" s="27"/>
      <c r="DY55" s="27"/>
      <c r="DZ55" s="27"/>
      <c r="EA55" s="27"/>
      <c r="EB55" s="27"/>
      <c r="EC55" s="27"/>
      <c r="ED55" s="27"/>
      <c r="EE55" s="27"/>
      <c r="EF55" s="27"/>
      <c r="EG55" s="27"/>
      <c r="EH55" s="27"/>
      <c r="EI55" s="27"/>
      <c r="EJ55" s="27"/>
      <c r="EK55" s="27"/>
      <c r="EL55" s="27"/>
      <c r="EM55" s="27"/>
      <c r="EN55" s="27"/>
      <c r="EO55" s="27"/>
      <c r="EP55" s="27"/>
      <c r="EQ55" s="27"/>
      <c r="ER55" s="27"/>
      <c r="ES55" s="27"/>
      <c r="ET55" s="27"/>
      <c r="EU55" s="27"/>
      <c r="EV55" s="27"/>
      <c r="EW55" s="27"/>
      <c r="EX55" s="27"/>
      <c r="EY55" s="27"/>
      <c r="EZ55" s="27"/>
      <c r="FA55" s="27"/>
      <c r="FB55" s="27"/>
      <c r="FC55" s="27"/>
      <c r="FD55" s="27"/>
      <c r="FE55" s="27"/>
      <c r="FF55" s="27"/>
      <c r="FG55" s="27"/>
      <c r="FH55" s="27"/>
      <c r="FI55" s="27"/>
      <c r="FJ55" s="27"/>
      <c r="FK55" s="27"/>
      <c r="FL55" s="27"/>
      <c r="FM55" s="27"/>
      <c r="FN55" s="27"/>
      <c r="FO55" s="27"/>
      <c r="FP55" s="27"/>
      <c r="FQ55" s="27"/>
      <c r="FR55" s="27"/>
      <c r="FS55" s="27"/>
      <c r="FT55" s="27"/>
      <c r="FU55" s="27"/>
      <c r="FV55" s="27"/>
      <c r="FW55" s="27"/>
      <c r="FX55" s="27"/>
      <c r="FY55" s="27"/>
      <c r="FZ55" s="27"/>
      <c r="GA55" s="27"/>
      <c r="GB55" s="27"/>
      <c r="GC55" s="27"/>
      <c r="GD55" s="27"/>
      <c r="GE55" s="27"/>
      <c r="GF55" s="27"/>
      <c r="GG55" s="27"/>
      <c r="GH55" s="27"/>
      <c r="GI55" s="27"/>
      <c r="GJ55" s="27"/>
      <c r="GK55" s="27"/>
      <c r="GL55" s="27"/>
      <c r="GM55" s="27"/>
      <c r="GN55" s="27"/>
      <c r="GO55" s="27"/>
      <c r="GP55" s="27"/>
      <c r="GQ55" s="27"/>
      <c r="GR55" s="27"/>
      <c r="GS55" s="27"/>
      <c r="GT55" s="27"/>
      <c r="GU55" s="27"/>
      <c r="GV55" s="27"/>
      <c r="GW55" s="27"/>
      <c r="GX55" s="27"/>
      <c r="GY55" s="27"/>
      <c r="GZ55" s="27"/>
      <c r="HA55" s="27"/>
      <c r="HB55" s="27"/>
      <c r="HC55" s="27"/>
      <c r="HD55" s="27"/>
      <c r="HE55" s="27"/>
      <c r="HF55" s="27"/>
      <c r="HG55" s="27"/>
      <c r="HH55" s="27"/>
      <c r="HI55" s="27"/>
      <c r="HJ55" s="27"/>
      <c r="HK55" s="27"/>
      <c r="HL55" s="27"/>
      <c r="HM55" s="27"/>
      <c r="HN55" s="27"/>
      <c r="HO55" s="27"/>
      <c r="HP55" s="27"/>
      <c r="HQ55" s="27"/>
      <c r="HR55" s="27"/>
    </row>
    <row r="56" spans="1:226" ht="13.8" thickBot="1" x14ac:dyDescent="0.3">
      <c r="A56" s="2015" t="s">
        <v>495</v>
      </c>
      <c r="B56" s="2016"/>
      <c r="C56" s="2016"/>
      <c r="D56" s="2017"/>
      <c r="E56" s="900">
        <f>C8-E54</f>
        <v>12888645.494631015</v>
      </c>
      <c r="F56" s="105"/>
      <c r="G56" s="27"/>
      <c r="H56" s="27"/>
      <c r="I56" s="27"/>
      <c r="J56" s="27"/>
      <c r="K56" s="27"/>
      <c r="L56" s="27"/>
      <c r="M56" s="27"/>
      <c r="N56" s="27"/>
      <c r="O56" s="27"/>
      <c r="P56" s="27"/>
      <c r="Q56" s="27"/>
      <c r="R56" s="27"/>
      <c r="S56" s="27"/>
      <c r="T56" s="27"/>
      <c r="U56" s="27"/>
      <c r="V56" s="27"/>
      <c r="W56" s="27"/>
      <c r="X56" s="27"/>
      <c r="Y56" s="27"/>
      <c r="Z56" s="27"/>
      <c r="AA56" s="27"/>
      <c r="AB56" s="27"/>
      <c r="AC56" s="27"/>
      <c r="AD56" s="27"/>
      <c r="AE56" s="27"/>
      <c r="AF56" s="27"/>
      <c r="AG56" s="27"/>
      <c r="AH56" s="27"/>
      <c r="AI56" s="27"/>
      <c r="AJ56" s="27"/>
      <c r="AK56" s="27"/>
      <c r="AL56" s="27"/>
      <c r="AM56" s="27"/>
      <c r="AN56" s="27"/>
      <c r="AO56" s="27"/>
      <c r="AP56" s="27"/>
      <c r="AQ56" s="27"/>
      <c r="AR56" s="27"/>
      <c r="AS56" s="27"/>
      <c r="AT56" s="27"/>
      <c r="AU56" s="27"/>
      <c r="AV56" s="27"/>
      <c r="AW56" s="27"/>
      <c r="AX56" s="27"/>
      <c r="AY56" s="27"/>
      <c r="AZ56" s="27"/>
      <c r="BA56" s="27"/>
      <c r="BB56" s="27"/>
      <c r="BC56" s="27"/>
      <c r="BD56" s="27"/>
      <c r="BE56" s="27"/>
      <c r="BF56" s="27"/>
      <c r="BG56" s="27"/>
      <c r="BH56" s="27"/>
      <c r="BI56" s="27"/>
      <c r="BJ56" s="27"/>
      <c r="BK56" s="27"/>
      <c r="BL56" s="27"/>
      <c r="BM56" s="27"/>
      <c r="BN56" s="27"/>
      <c r="BO56" s="27"/>
      <c r="BP56" s="27"/>
      <c r="BQ56" s="27"/>
      <c r="BR56" s="27"/>
      <c r="BS56" s="27"/>
      <c r="BT56" s="27"/>
      <c r="BU56" s="27"/>
      <c r="BV56" s="27"/>
      <c r="BW56" s="27"/>
      <c r="BX56" s="27"/>
      <c r="BY56" s="27"/>
      <c r="BZ56" s="27"/>
      <c r="CA56" s="27"/>
      <c r="CB56" s="27"/>
      <c r="CC56" s="27"/>
      <c r="CD56" s="27"/>
      <c r="CE56" s="27"/>
      <c r="CF56" s="27"/>
      <c r="CG56" s="27"/>
      <c r="CH56" s="27"/>
      <c r="CI56" s="27"/>
      <c r="CJ56" s="27"/>
      <c r="CK56" s="27"/>
      <c r="CL56" s="27"/>
      <c r="CM56" s="27"/>
      <c r="CN56" s="27"/>
      <c r="CO56" s="27"/>
      <c r="CP56" s="27"/>
      <c r="CQ56" s="27"/>
      <c r="CR56" s="27"/>
      <c r="CS56" s="27"/>
      <c r="CT56" s="27"/>
      <c r="CU56" s="27"/>
      <c r="CV56" s="27"/>
      <c r="CW56" s="27"/>
      <c r="CX56" s="27"/>
      <c r="CY56" s="27"/>
      <c r="CZ56" s="27"/>
      <c r="DA56" s="27"/>
      <c r="DB56" s="27"/>
      <c r="DC56" s="27"/>
      <c r="DD56" s="27"/>
      <c r="DE56" s="27"/>
      <c r="DF56" s="27"/>
      <c r="DG56" s="27"/>
      <c r="DH56" s="27"/>
      <c r="DI56" s="27"/>
      <c r="DJ56" s="27"/>
      <c r="DK56" s="27"/>
      <c r="DL56" s="27"/>
      <c r="DM56" s="27"/>
      <c r="DN56" s="27"/>
      <c r="DO56" s="27"/>
      <c r="DP56" s="27"/>
      <c r="DQ56" s="27"/>
      <c r="DR56" s="27"/>
      <c r="DS56" s="27"/>
      <c r="DT56" s="27"/>
      <c r="DU56" s="27"/>
      <c r="DV56" s="27"/>
      <c r="DW56" s="27"/>
      <c r="DX56" s="27"/>
      <c r="DY56" s="27"/>
      <c r="DZ56" s="27"/>
      <c r="EA56" s="27"/>
      <c r="EB56" s="27"/>
      <c r="EC56" s="27"/>
      <c r="ED56" s="27"/>
      <c r="EE56" s="27"/>
      <c r="EF56" s="27"/>
      <c r="EG56" s="27"/>
      <c r="EH56" s="27"/>
      <c r="EI56" s="27"/>
      <c r="EJ56" s="27"/>
      <c r="EK56" s="27"/>
      <c r="EL56" s="27"/>
      <c r="EM56" s="27"/>
      <c r="EN56" s="27"/>
      <c r="EO56" s="27"/>
      <c r="EP56" s="27"/>
      <c r="EQ56" s="27"/>
      <c r="ER56" s="27"/>
      <c r="ES56" s="27"/>
      <c r="ET56" s="27"/>
      <c r="EU56" s="27"/>
      <c r="EV56" s="27"/>
      <c r="EW56" s="27"/>
      <c r="EX56" s="27"/>
      <c r="EY56" s="27"/>
      <c r="EZ56" s="27"/>
      <c r="FA56" s="27"/>
      <c r="FB56" s="27"/>
      <c r="FC56" s="27"/>
      <c r="FD56" s="27"/>
      <c r="FE56" s="27"/>
      <c r="FF56" s="27"/>
      <c r="FG56" s="27"/>
      <c r="FH56" s="27"/>
      <c r="FI56" s="27"/>
      <c r="FJ56" s="27"/>
      <c r="FK56" s="27"/>
      <c r="FL56" s="27"/>
      <c r="FM56" s="27"/>
      <c r="FN56" s="27"/>
      <c r="FO56" s="27"/>
      <c r="FP56" s="27"/>
      <c r="FQ56" s="27"/>
      <c r="FR56" s="27"/>
      <c r="FS56" s="27"/>
      <c r="FT56" s="27"/>
      <c r="FU56" s="27"/>
      <c r="FV56" s="27"/>
      <c r="FW56" s="27"/>
      <c r="FX56" s="27"/>
      <c r="FY56" s="27"/>
      <c r="FZ56" s="27"/>
      <c r="GA56" s="27"/>
      <c r="GB56" s="27"/>
      <c r="GC56" s="27"/>
      <c r="GD56" s="27"/>
      <c r="GE56" s="27"/>
      <c r="GF56" s="27"/>
      <c r="GG56" s="27"/>
      <c r="GH56" s="27"/>
      <c r="GI56" s="27"/>
      <c r="GJ56" s="27"/>
      <c r="GK56" s="27"/>
      <c r="GL56" s="27"/>
      <c r="GM56" s="27"/>
      <c r="GN56" s="27"/>
      <c r="GO56" s="27"/>
      <c r="GP56" s="27"/>
      <c r="GQ56" s="27"/>
      <c r="GR56" s="27"/>
      <c r="GS56" s="27"/>
      <c r="GT56" s="27"/>
      <c r="GU56" s="27"/>
      <c r="GV56" s="27"/>
      <c r="GW56" s="27"/>
      <c r="GX56" s="27"/>
      <c r="GY56" s="27"/>
      <c r="GZ56" s="27"/>
      <c r="HA56" s="27"/>
      <c r="HB56" s="27"/>
      <c r="HC56" s="27"/>
      <c r="HD56" s="27"/>
      <c r="HE56" s="27"/>
      <c r="HF56" s="27"/>
      <c r="HG56" s="27"/>
      <c r="HH56" s="27"/>
      <c r="HI56" s="27"/>
      <c r="HJ56" s="27"/>
      <c r="HK56" s="27"/>
      <c r="HL56" s="27"/>
      <c r="HM56" s="27"/>
      <c r="HN56" s="27"/>
      <c r="HO56" s="27"/>
      <c r="HP56" s="27"/>
      <c r="HQ56" s="27"/>
      <c r="HR56" s="27"/>
    </row>
    <row r="57" spans="1:226" x14ac:dyDescent="0.25">
      <c r="F57" s="85"/>
    </row>
    <row r="59" spans="1:226" x14ac:dyDescent="0.25">
      <c r="C59" s="1029"/>
      <c r="E59" s="143"/>
      <c r="H59" s="682"/>
    </row>
    <row r="60" spans="1:226" x14ac:dyDescent="0.25">
      <c r="B60" s="682"/>
      <c r="C60" s="682"/>
      <c r="D60" s="682"/>
    </row>
    <row r="61" spans="1:226" x14ac:dyDescent="0.25">
      <c r="B61" s="682"/>
      <c r="C61" s="682"/>
      <c r="D61" s="682"/>
    </row>
    <row r="62" spans="1:226" x14ac:dyDescent="0.25">
      <c r="B62" s="682"/>
      <c r="C62" s="682"/>
      <c r="D62" s="682"/>
    </row>
  </sheetData>
  <mergeCells count="6">
    <mergeCell ref="A22:B22"/>
    <mergeCell ref="A40:B40"/>
    <mergeCell ref="A2:B5"/>
    <mergeCell ref="C2:E5"/>
    <mergeCell ref="A56:D56"/>
    <mergeCell ref="A16:B16"/>
  </mergeCells>
  <phoneticPr fontId="29" type="noConversion"/>
  <printOptions horizontalCentered="1"/>
  <pageMargins left="1.1811023622047245" right="0.39370078740157483" top="0.78740157480314965" bottom="0.39370078740157483" header="0.31496062992125984" footer="0.39370078740157483"/>
  <pageSetup paperSize="9" scale="80" firstPageNumber="0" orientation="portrait" r:id="rId1"/>
  <headerFooter alignWithMargins="0"/>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theme="9" tint="0.39997558519241921"/>
  </sheetPr>
  <dimension ref="A2:JE77"/>
  <sheetViews>
    <sheetView view="pageBreakPreview" topLeftCell="P7" zoomScale="80" zoomScaleNormal="100" zoomScaleSheetLayoutView="80" workbookViewId="0">
      <selection activeCell="R25" sqref="R25"/>
    </sheetView>
  </sheetViews>
  <sheetFormatPr baseColWidth="10" defaultColWidth="10.5546875" defaultRowHeight="13.2" x14ac:dyDescent="0.25"/>
  <cols>
    <col min="1" max="1" width="2.6640625" style="2" customWidth="1"/>
    <col min="2" max="2" width="18.44140625" style="2" customWidth="1"/>
    <col min="3" max="3" width="2.5546875" style="2" customWidth="1"/>
    <col min="4" max="4" width="25.21875" style="2" customWidth="1"/>
    <col min="5" max="5" width="15.6640625" style="2" customWidth="1"/>
    <col min="6" max="20" width="15.77734375" style="2" customWidth="1"/>
    <col min="21" max="21" width="13.77734375" style="2" customWidth="1"/>
    <col min="22" max="22" width="10.88671875" style="85" hidden="1" customWidth="1"/>
    <col min="23" max="23" width="14" style="2" hidden="1" customWidth="1"/>
    <col min="24" max="24" width="7.5546875" style="2" hidden="1" customWidth="1"/>
    <col min="25" max="25" width="6.109375" style="2" hidden="1" customWidth="1"/>
    <col min="26" max="26" width="7.88671875" style="2" hidden="1" customWidth="1"/>
    <col min="27" max="27" width="12.33203125" style="2" hidden="1" customWidth="1"/>
    <col min="28" max="28" width="22" style="2" customWidth="1"/>
    <col min="29" max="29" width="13.44140625" style="2" customWidth="1"/>
    <col min="30" max="265" width="10.5546875" style="2" customWidth="1"/>
    <col min="266" max="16384" width="10.5546875" style="2"/>
  </cols>
  <sheetData>
    <row r="2" spans="2:265" x14ac:dyDescent="0.25">
      <c r="B2" s="2020" t="s">
        <v>1396</v>
      </c>
      <c r="C2" s="2020"/>
      <c r="D2" s="2020"/>
      <c r="E2" s="627"/>
      <c r="F2" s="18"/>
      <c r="G2" s="18"/>
      <c r="H2" s="18"/>
      <c r="I2" s="18"/>
      <c r="J2" s="18"/>
      <c r="K2" s="18"/>
      <c r="L2" s="18"/>
      <c r="M2" s="18"/>
      <c r="N2" s="18"/>
      <c r="O2" s="18"/>
      <c r="P2" s="18"/>
      <c r="Q2" s="18"/>
      <c r="R2" s="18"/>
      <c r="S2" s="18"/>
      <c r="T2" s="18"/>
      <c r="U2" s="18"/>
      <c r="V2" s="214"/>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c r="AW2" s="18"/>
      <c r="AX2" s="18"/>
      <c r="AY2" s="18"/>
      <c r="AZ2" s="18"/>
      <c r="BA2" s="18"/>
      <c r="BB2" s="18"/>
      <c r="BC2" s="18"/>
      <c r="BD2" s="18"/>
      <c r="BE2" s="18"/>
      <c r="BF2" s="18"/>
      <c r="BG2" s="18"/>
      <c r="BH2" s="18"/>
      <c r="BI2" s="18"/>
      <c r="BJ2" s="18"/>
      <c r="BK2" s="18"/>
      <c r="BL2" s="18"/>
      <c r="BM2" s="18"/>
      <c r="BN2" s="18"/>
      <c r="BO2" s="18"/>
      <c r="BP2" s="18"/>
      <c r="BQ2" s="18"/>
      <c r="BR2" s="18"/>
      <c r="BS2" s="18"/>
      <c r="BT2" s="18"/>
      <c r="BU2" s="18"/>
      <c r="BV2" s="18"/>
      <c r="BW2" s="18"/>
      <c r="BX2" s="18"/>
      <c r="BY2" s="18"/>
      <c r="BZ2" s="18"/>
      <c r="CA2" s="18"/>
      <c r="CB2" s="18"/>
      <c r="CC2" s="18"/>
      <c r="CD2" s="18"/>
      <c r="CE2" s="18"/>
      <c r="CF2" s="18"/>
      <c r="CG2" s="18"/>
      <c r="CH2" s="18"/>
      <c r="CI2" s="18"/>
      <c r="CJ2" s="18"/>
      <c r="CK2" s="18"/>
      <c r="CL2" s="18"/>
      <c r="CM2" s="18"/>
      <c r="CN2" s="18"/>
      <c r="CO2" s="18"/>
      <c r="CP2" s="18"/>
      <c r="CQ2" s="18"/>
      <c r="CR2" s="18"/>
      <c r="CS2" s="18"/>
      <c r="CT2" s="18"/>
      <c r="CU2" s="18"/>
      <c r="CV2" s="18"/>
      <c r="CW2" s="18"/>
      <c r="CX2" s="18"/>
      <c r="CY2" s="18"/>
      <c r="CZ2" s="18"/>
      <c r="DA2" s="18"/>
      <c r="DB2" s="18"/>
      <c r="DC2" s="18"/>
      <c r="DD2" s="18"/>
      <c r="DE2" s="18"/>
      <c r="DF2" s="18"/>
      <c r="DG2" s="18"/>
      <c r="DH2" s="18"/>
      <c r="DI2" s="18"/>
      <c r="DJ2" s="18"/>
      <c r="DK2" s="18"/>
      <c r="DL2" s="18"/>
      <c r="DM2" s="18"/>
      <c r="DN2" s="18"/>
      <c r="DO2" s="18"/>
      <c r="DP2" s="18"/>
      <c r="DQ2" s="18"/>
      <c r="DR2" s="18"/>
      <c r="DS2" s="18"/>
      <c r="DT2" s="18"/>
      <c r="DU2" s="18"/>
      <c r="DV2" s="18"/>
      <c r="DW2" s="18"/>
      <c r="DX2" s="18"/>
      <c r="DY2" s="18"/>
      <c r="DZ2" s="18"/>
      <c r="EA2" s="18"/>
      <c r="EB2" s="18"/>
      <c r="EC2" s="18"/>
      <c r="ED2" s="18"/>
      <c r="EE2" s="18"/>
      <c r="EF2" s="18"/>
      <c r="EG2" s="18"/>
      <c r="EH2" s="18"/>
      <c r="EI2" s="18"/>
      <c r="EJ2" s="18"/>
      <c r="EK2" s="18"/>
      <c r="EL2" s="18"/>
      <c r="EM2" s="18"/>
      <c r="EN2" s="18"/>
      <c r="EO2" s="18"/>
      <c r="EP2" s="18"/>
      <c r="EQ2" s="18"/>
      <c r="ER2" s="18"/>
      <c r="ES2" s="18"/>
      <c r="ET2" s="18"/>
      <c r="EU2" s="18"/>
      <c r="EV2" s="18"/>
      <c r="EW2" s="18"/>
      <c r="EX2" s="18"/>
      <c r="EY2" s="18"/>
      <c r="EZ2" s="18"/>
      <c r="FA2" s="18"/>
      <c r="FB2" s="18"/>
      <c r="FC2" s="18"/>
      <c r="FD2" s="18"/>
      <c r="FE2" s="18"/>
      <c r="FF2" s="18"/>
      <c r="FG2" s="18"/>
      <c r="FH2" s="18"/>
      <c r="FI2" s="18"/>
      <c r="FJ2" s="18"/>
      <c r="FK2" s="18"/>
      <c r="FL2" s="18"/>
      <c r="FM2" s="18"/>
      <c r="FN2" s="18"/>
      <c r="FO2" s="18"/>
      <c r="FP2" s="18"/>
      <c r="FQ2" s="18"/>
      <c r="FR2" s="18"/>
      <c r="FS2" s="18"/>
      <c r="FT2" s="18"/>
      <c r="FU2" s="18"/>
      <c r="FV2" s="18"/>
      <c r="FW2" s="18"/>
      <c r="FX2" s="18"/>
      <c r="FY2" s="18"/>
      <c r="FZ2" s="18"/>
      <c r="GA2" s="18"/>
      <c r="GB2" s="18"/>
      <c r="GC2" s="18"/>
      <c r="GD2" s="18"/>
      <c r="GE2" s="18"/>
      <c r="GF2" s="18"/>
      <c r="GG2" s="18"/>
      <c r="GH2" s="18"/>
      <c r="GI2" s="18"/>
      <c r="GJ2" s="18"/>
      <c r="GK2" s="18"/>
      <c r="GL2" s="18"/>
      <c r="GM2" s="18"/>
      <c r="GN2" s="18"/>
      <c r="GO2" s="18"/>
      <c r="GP2" s="18"/>
      <c r="GQ2" s="18"/>
      <c r="GR2" s="18"/>
      <c r="GS2" s="18"/>
      <c r="GT2" s="18"/>
      <c r="GU2" s="18"/>
      <c r="GV2" s="18"/>
      <c r="GW2" s="18"/>
      <c r="GX2" s="18"/>
      <c r="GY2" s="18"/>
      <c r="GZ2" s="18"/>
      <c r="HA2" s="18"/>
      <c r="HB2" s="18"/>
      <c r="HC2" s="18"/>
      <c r="HD2" s="18"/>
      <c r="HE2" s="18"/>
      <c r="HF2" s="18"/>
      <c r="HG2" s="18"/>
      <c r="HH2" s="18"/>
      <c r="HI2" s="18"/>
      <c r="HJ2" s="18"/>
      <c r="HK2" s="18"/>
      <c r="HL2" s="18"/>
      <c r="HM2" s="18"/>
      <c r="HN2" s="18"/>
      <c r="HO2" s="18"/>
      <c r="HP2" s="18"/>
      <c r="HQ2" s="18"/>
      <c r="HR2" s="18"/>
      <c r="HS2" s="18"/>
      <c r="HT2" s="18"/>
      <c r="HU2" s="18"/>
      <c r="HV2" s="18"/>
      <c r="HW2" s="18"/>
      <c r="HX2" s="18"/>
      <c r="HY2" s="18"/>
      <c r="HZ2" s="18"/>
      <c r="IA2" s="18"/>
      <c r="IB2" s="18"/>
      <c r="IC2" s="18"/>
      <c r="ID2" s="18"/>
      <c r="IE2" s="18"/>
      <c r="IF2" s="18"/>
      <c r="IG2" s="18"/>
      <c r="IH2" s="18"/>
      <c r="II2" s="18"/>
      <c r="IJ2" s="18"/>
      <c r="IK2" s="18"/>
      <c r="IL2" s="18"/>
      <c r="IM2" s="18"/>
      <c r="IN2" s="18"/>
      <c r="IO2" s="18"/>
      <c r="IP2" s="18"/>
      <c r="IQ2" s="18"/>
      <c r="IR2" s="18"/>
      <c r="IS2" s="18"/>
      <c r="IT2" s="18"/>
      <c r="IU2" s="18"/>
      <c r="IV2" s="18"/>
      <c r="IW2" s="18"/>
      <c r="IX2" s="18"/>
      <c r="IY2" s="18"/>
      <c r="IZ2" s="18"/>
      <c r="JA2" s="18"/>
      <c r="JB2" s="18"/>
      <c r="JC2" s="18"/>
      <c r="JD2" s="18"/>
      <c r="JE2" s="18"/>
    </row>
    <row r="3" spans="2:265" x14ac:dyDescent="0.25">
      <c r="B3" s="675" t="s">
        <v>1375</v>
      </c>
      <c r="C3" s="675"/>
      <c r="D3" s="675"/>
      <c r="E3" s="675"/>
      <c r="F3" s="18"/>
      <c r="G3" s="18"/>
      <c r="H3" s="18"/>
      <c r="I3" s="18"/>
      <c r="J3" s="18"/>
      <c r="K3" s="18"/>
      <c r="L3" s="18"/>
      <c r="M3" s="18"/>
      <c r="N3" s="18"/>
      <c r="O3" s="18"/>
      <c r="P3" s="18"/>
      <c r="Q3" s="18"/>
      <c r="R3" s="18"/>
      <c r="S3" s="18"/>
      <c r="T3" s="18"/>
      <c r="U3" s="18"/>
      <c r="V3" s="214"/>
      <c r="W3" s="18"/>
      <c r="X3" s="18"/>
      <c r="Y3" s="18"/>
      <c r="Z3" s="18"/>
      <c r="AA3" s="18"/>
      <c r="AB3" s="18"/>
      <c r="AC3" s="18"/>
      <c r="AD3" s="18"/>
      <c r="AE3" s="18"/>
      <c r="AF3" s="18"/>
      <c r="AG3" s="18"/>
      <c r="AH3" s="18"/>
      <c r="AI3" s="18"/>
      <c r="AJ3" s="18"/>
      <c r="AK3" s="18"/>
      <c r="AL3" s="18"/>
      <c r="AM3" s="18"/>
      <c r="AN3" s="18"/>
      <c r="AO3" s="18"/>
      <c r="AP3" s="18"/>
      <c r="AQ3" s="18"/>
      <c r="AR3" s="18"/>
      <c r="AS3" s="18"/>
      <c r="AT3" s="18"/>
      <c r="AU3" s="18"/>
      <c r="AV3" s="18"/>
      <c r="AW3" s="18"/>
      <c r="AX3" s="18"/>
      <c r="AY3" s="18"/>
      <c r="AZ3" s="18"/>
      <c r="BA3" s="18"/>
      <c r="BB3" s="18"/>
      <c r="BC3" s="18"/>
      <c r="BD3" s="18"/>
      <c r="BE3" s="18"/>
      <c r="BF3" s="18"/>
      <c r="BG3" s="18"/>
      <c r="BH3" s="18"/>
      <c r="BI3" s="18"/>
      <c r="BJ3" s="18"/>
      <c r="BK3" s="18"/>
      <c r="BL3" s="18"/>
      <c r="BM3" s="18"/>
      <c r="BN3" s="18"/>
      <c r="BO3" s="18"/>
      <c r="BP3" s="18"/>
      <c r="BQ3" s="18"/>
      <c r="BR3" s="18"/>
      <c r="BS3" s="18"/>
      <c r="BT3" s="18"/>
      <c r="BU3" s="18"/>
      <c r="BV3" s="18"/>
      <c r="BW3" s="18"/>
      <c r="BX3" s="18"/>
      <c r="BY3" s="18"/>
      <c r="BZ3" s="18"/>
      <c r="CA3" s="18"/>
      <c r="CB3" s="18"/>
      <c r="CC3" s="18"/>
      <c r="CD3" s="18"/>
      <c r="CE3" s="18"/>
      <c r="CF3" s="18"/>
      <c r="CG3" s="18"/>
      <c r="CH3" s="18"/>
      <c r="CI3" s="18"/>
      <c r="CJ3" s="18"/>
      <c r="CK3" s="18"/>
      <c r="CL3" s="18"/>
      <c r="CM3" s="18"/>
      <c r="CN3" s="18"/>
      <c r="CO3" s="18"/>
      <c r="CP3" s="18"/>
      <c r="CQ3" s="18"/>
      <c r="CR3" s="18"/>
      <c r="CS3" s="18"/>
      <c r="CT3" s="18"/>
      <c r="CU3" s="18"/>
      <c r="CV3" s="18"/>
      <c r="CW3" s="18"/>
      <c r="CX3" s="18"/>
      <c r="CY3" s="18"/>
      <c r="CZ3" s="18"/>
      <c r="DA3" s="18"/>
      <c r="DB3" s="18"/>
      <c r="DC3" s="18"/>
      <c r="DD3" s="18"/>
      <c r="DE3" s="18"/>
      <c r="DF3" s="18"/>
      <c r="DG3" s="18"/>
      <c r="DH3" s="18"/>
      <c r="DI3" s="18"/>
      <c r="DJ3" s="18"/>
      <c r="DK3" s="18"/>
      <c r="DL3" s="18"/>
      <c r="DM3" s="18"/>
      <c r="DN3" s="18"/>
      <c r="DO3" s="18"/>
      <c r="DP3" s="18"/>
      <c r="DQ3" s="18"/>
      <c r="DR3" s="18"/>
      <c r="DS3" s="18"/>
      <c r="DT3" s="18"/>
      <c r="DU3" s="18"/>
      <c r="DV3" s="18"/>
      <c r="DW3" s="18"/>
      <c r="DX3" s="18"/>
      <c r="DY3" s="18"/>
      <c r="DZ3" s="18"/>
      <c r="EA3" s="18"/>
      <c r="EB3" s="18"/>
      <c r="EC3" s="18"/>
      <c r="ED3" s="18"/>
      <c r="EE3" s="18"/>
      <c r="EF3" s="18"/>
      <c r="EG3" s="18"/>
      <c r="EH3" s="18"/>
      <c r="EI3" s="18"/>
      <c r="EJ3" s="18"/>
      <c r="EK3" s="18"/>
      <c r="EL3" s="18"/>
      <c r="EM3" s="18"/>
      <c r="EN3" s="18"/>
      <c r="EO3" s="18"/>
      <c r="EP3" s="18"/>
      <c r="EQ3" s="18"/>
      <c r="ER3" s="18"/>
      <c r="ES3" s="18"/>
      <c r="ET3" s="18"/>
      <c r="EU3" s="18"/>
      <c r="EV3" s="18"/>
      <c r="EW3" s="18"/>
      <c r="EX3" s="18"/>
      <c r="EY3" s="18"/>
      <c r="EZ3" s="18"/>
      <c r="FA3" s="18"/>
      <c r="FB3" s="18"/>
      <c r="FC3" s="18"/>
      <c r="FD3" s="18"/>
      <c r="FE3" s="18"/>
      <c r="FF3" s="18"/>
      <c r="FG3" s="18"/>
      <c r="FH3" s="18"/>
      <c r="FI3" s="18"/>
      <c r="FJ3" s="18"/>
      <c r="FK3" s="18"/>
      <c r="FL3" s="18"/>
      <c r="FM3" s="18"/>
      <c r="FN3" s="18"/>
      <c r="FO3" s="18"/>
      <c r="FP3" s="18"/>
      <c r="FQ3" s="18"/>
      <c r="FR3" s="18"/>
      <c r="FS3" s="18"/>
      <c r="FT3" s="18"/>
      <c r="FU3" s="18"/>
      <c r="FV3" s="18"/>
      <c r="FW3" s="18"/>
      <c r="FX3" s="18"/>
      <c r="FY3" s="18"/>
      <c r="FZ3" s="18"/>
      <c r="GA3" s="18"/>
      <c r="GB3" s="18"/>
      <c r="GC3" s="18"/>
      <c r="GD3" s="18"/>
      <c r="GE3" s="18"/>
      <c r="GF3" s="18"/>
      <c r="GG3" s="18"/>
      <c r="GH3" s="18"/>
      <c r="GI3" s="18"/>
      <c r="GJ3" s="18"/>
      <c r="GK3" s="18"/>
      <c r="GL3" s="18"/>
      <c r="GM3" s="18"/>
      <c r="GN3" s="18"/>
      <c r="GO3" s="18"/>
      <c r="GP3" s="18"/>
      <c r="GQ3" s="18"/>
      <c r="GR3" s="18"/>
      <c r="GS3" s="18"/>
      <c r="GT3" s="18"/>
      <c r="GU3" s="18"/>
      <c r="GV3" s="18"/>
      <c r="GW3" s="18"/>
      <c r="GX3" s="18"/>
      <c r="GY3" s="18"/>
      <c r="GZ3" s="18"/>
      <c r="HA3" s="18"/>
      <c r="HB3" s="18"/>
      <c r="HC3" s="18"/>
      <c r="HD3" s="18"/>
      <c r="HE3" s="18"/>
      <c r="HF3" s="18"/>
      <c r="HG3" s="18"/>
      <c r="HH3" s="18"/>
      <c r="HI3" s="18"/>
      <c r="HJ3" s="18"/>
      <c r="HK3" s="18"/>
      <c r="HL3" s="18"/>
      <c r="HM3" s="18"/>
      <c r="HN3" s="18"/>
      <c r="HO3" s="18"/>
      <c r="HP3" s="18"/>
      <c r="HQ3" s="18"/>
      <c r="HR3" s="18"/>
      <c r="HS3" s="18"/>
      <c r="HT3" s="18"/>
      <c r="HU3" s="18"/>
      <c r="HV3" s="18"/>
      <c r="HW3" s="18"/>
      <c r="HX3" s="18"/>
      <c r="HY3" s="18"/>
      <c r="HZ3" s="18"/>
      <c r="IA3" s="18"/>
      <c r="IB3" s="18"/>
      <c r="IC3" s="18"/>
      <c r="ID3" s="18"/>
      <c r="IE3" s="18"/>
      <c r="IF3" s="18"/>
      <c r="IG3" s="18"/>
      <c r="IH3" s="18"/>
      <c r="II3" s="18"/>
      <c r="IJ3" s="18"/>
      <c r="IK3" s="18"/>
      <c r="IL3" s="18"/>
      <c r="IM3" s="18"/>
      <c r="IN3" s="18"/>
      <c r="IO3" s="18"/>
      <c r="IP3" s="18"/>
      <c r="IQ3" s="18"/>
      <c r="IR3" s="18"/>
      <c r="IS3" s="18"/>
      <c r="IT3" s="18"/>
      <c r="IU3" s="18"/>
      <c r="IV3" s="18"/>
      <c r="IW3" s="18"/>
      <c r="IX3" s="18"/>
      <c r="IY3" s="18"/>
      <c r="IZ3" s="18"/>
      <c r="JA3" s="18"/>
      <c r="JB3" s="18"/>
      <c r="JC3" s="18"/>
      <c r="JD3" s="18"/>
      <c r="JE3" s="18"/>
    </row>
    <row r="4" spans="2:265" x14ac:dyDescent="0.25">
      <c r="B4" s="2021"/>
      <c r="C4" s="2021"/>
      <c r="D4" s="2021"/>
      <c r="E4" s="403"/>
      <c r="F4" s="18"/>
      <c r="G4" s="18"/>
      <c r="H4" s="18"/>
      <c r="I4" s="18"/>
      <c r="J4" s="18"/>
      <c r="K4" s="18"/>
      <c r="L4" s="18"/>
      <c r="M4" s="18"/>
      <c r="N4" s="18"/>
      <c r="O4" s="18"/>
      <c r="P4" s="18"/>
      <c r="Q4" s="18"/>
      <c r="R4" s="18"/>
      <c r="S4" s="18"/>
      <c r="T4" s="18"/>
      <c r="U4" s="18"/>
      <c r="V4" s="214"/>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8"/>
      <c r="CM4" s="18"/>
      <c r="CN4" s="18"/>
      <c r="CO4" s="18"/>
      <c r="CP4" s="18"/>
      <c r="CQ4" s="18"/>
      <c r="CR4" s="18"/>
      <c r="CS4" s="18"/>
      <c r="CT4" s="18"/>
      <c r="CU4" s="18"/>
      <c r="CV4" s="18"/>
      <c r="CW4" s="18"/>
      <c r="CX4" s="18"/>
      <c r="CY4" s="18"/>
      <c r="CZ4" s="18"/>
      <c r="DA4" s="18"/>
      <c r="DB4" s="18"/>
      <c r="DC4" s="18"/>
      <c r="DD4" s="18"/>
      <c r="DE4" s="18"/>
      <c r="DF4" s="18"/>
      <c r="DG4" s="18"/>
      <c r="DH4" s="18"/>
      <c r="DI4" s="18"/>
      <c r="DJ4" s="18"/>
      <c r="DK4" s="18"/>
      <c r="DL4" s="18"/>
      <c r="DM4" s="18"/>
      <c r="DN4" s="18"/>
      <c r="DO4" s="18"/>
      <c r="DP4" s="18"/>
      <c r="DQ4" s="18"/>
      <c r="DR4" s="18"/>
      <c r="DS4" s="18"/>
      <c r="DT4" s="18"/>
      <c r="DU4" s="18"/>
      <c r="DV4" s="18"/>
      <c r="DW4" s="18"/>
      <c r="DX4" s="18"/>
      <c r="DY4" s="18"/>
      <c r="DZ4" s="18"/>
      <c r="EA4" s="18"/>
      <c r="EB4" s="18"/>
      <c r="EC4" s="18"/>
      <c r="ED4" s="18"/>
      <c r="EE4" s="18"/>
      <c r="EF4" s="18"/>
      <c r="EG4" s="18"/>
      <c r="EH4" s="18"/>
      <c r="EI4" s="18"/>
      <c r="EJ4" s="18"/>
      <c r="EK4" s="18"/>
      <c r="EL4" s="18"/>
      <c r="EM4" s="18"/>
      <c r="EN4" s="18"/>
      <c r="EO4" s="18"/>
      <c r="EP4" s="18"/>
      <c r="EQ4" s="18"/>
      <c r="ER4" s="18"/>
      <c r="ES4" s="18"/>
      <c r="ET4" s="18"/>
      <c r="EU4" s="18"/>
      <c r="EV4" s="18"/>
      <c r="EW4" s="18"/>
      <c r="EX4" s="18"/>
      <c r="EY4" s="18"/>
      <c r="EZ4" s="18"/>
      <c r="FA4" s="18"/>
      <c r="FB4" s="18"/>
      <c r="FC4" s="18"/>
      <c r="FD4" s="18"/>
      <c r="FE4" s="18"/>
      <c r="FF4" s="18"/>
      <c r="FG4" s="18"/>
      <c r="FH4" s="18"/>
      <c r="FI4" s="18"/>
      <c r="FJ4" s="18"/>
      <c r="FK4" s="18"/>
      <c r="FL4" s="18"/>
      <c r="FM4" s="18"/>
      <c r="FN4" s="18"/>
      <c r="FO4" s="18"/>
      <c r="FP4" s="18"/>
      <c r="FQ4" s="18"/>
      <c r="FR4" s="18"/>
      <c r="FS4" s="18"/>
      <c r="FT4" s="18"/>
      <c r="FU4" s="18"/>
      <c r="FV4" s="18"/>
      <c r="FW4" s="18"/>
      <c r="FX4" s="18"/>
      <c r="FY4" s="18"/>
      <c r="FZ4" s="18"/>
      <c r="GA4" s="18"/>
      <c r="GB4" s="18"/>
      <c r="GC4" s="18"/>
      <c r="GD4" s="18"/>
      <c r="GE4" s="18"/>
      <c r="GF4" s="18"/>
      <c r="GG4" s="18"/>
      <c r="GH4" s="18"/>
      <c r="GI4" s="18"/>
      <c r="GJ4" s="18"/>
      <c r="GK4" s="18"/>
      <c r="GL4" s="18"/>
      <c r="GM4" s="18"/>
      <c r="GN4" s="18"/>
      <c r="GO4" s="18"/>
      <c r="GP4" s="18"/>
      <c r="GQ4" s="18"/>
      <c r="GR4" s="18"/>
      <c r="GS4" s="18"/>
      <c r="GT4" s="18"/>
      <c r="GU4" s="18"/>
      <c r="GV4" s="18"/>
      <c r="GW4" s="18"/>
      <c r="GX4" s="18"/>
      <c r="GY4" s="18"/>
      <c r="GZ4" s="18"/>
      <c r="HA4" s="18"/>
      <c r="HB4" s="18"/>
      <c r="HC4" s="18"/>
      <c r="HD4" s="18"/>
      <c r="HE4" s="18"/>
      <c r="HF4" s="18"/>
      <c r="HG4" s="18"/>
      <c r="HH4" s="18"/>
      <c r="HI4" s="18"/>
      <c r="HJ4" s="18"/>
      <c r="HK4" s="18"/>
      <c r="HL4" s="18"/>
      <c r="HM4" s="18"/>
      <c r="HN4" s="18"/>
      <c r="HO4" s="18"/>
      <c r="HP4" s="18"/>
      <c r="HQ4" s="18"/>
      <c r="HR4" s="18"/>
      <c r="HS4" s="18"/>
      <c r="HT4" s="18"/>
      <c r="HU4" s="18"/>
      <c r="HV4" s="18"/>
      <c r="HW4" s="18"/>
      <c r="HX4" s="18"/>
      <c r="HY4" s="18"/>
      <c r="HZ4" s="18"/>
      <c r="IA4" s="18"/>
      <c r="IB4" s="18"/>
      <c r="IC4" s="18"/>
      <c r="ID4" s="18"/>
      <c r="IE4" s="18"/>
      <c r="IF4" s="18"/>
      <c r="IG4" s="18"/>
      <c r="IH4" s="18"/>
      <c r="II4" s="18"/>
      <c r="IJ4" s="18"/>
      <c r="IK4" s="18"/>
      <c r="IL4" s="18"/>
      <c r="IM4" s="18"/>
      <c r="IN4" s="18"/>
      <c r="IO4" s="18"/>
      <c r="IP4" s="18"/>
      <c r="IQ4" s="18"/>
      <c r="IR4" s="18"/>
      <c r="IS4" s="18"/>
      <c r="IT4" s="18"/>
      <c r="IU4" s="18"/>
      <c r="IV4" s="18"/>
      <c r="IW4" s="18"/>
      <c r="IX4" s="18"/>
      <c r="IY4" s="18"/>
      <c r="IZ4" s="18"/>
      <c r="JA4" s="18"/>
      <c r="JB4" s="18"/>
      <c r="JC4" s="18"/>
      <c r="JD4" s="18"/>
      <c r="JE4" s="18"/>
    </row>
    <row r="5" spans="2:265" ht="20.25" customHeight="1" x14ac:dyDescent="0.25">
      <c r="B5" s="2023" t="s">
        <v>126</v>
      </c>
      <c r="C5" s="2023"/>
      <c r="D5" s="2023"/>
      <c r="E5" s="2023"/>
      <c r="F5" s="2023"/>
      <c r="G5" s="2023"/>
      <c r="H5" s="2023"/>
      <c r="I5" s="2023"/>
      <c r="J5" s="2023"/>
      <c r="K5" s="2023"/>
      <c r="L5" s="2023"/>
      <c r="M5" s="2023"/>
      <c r="N5" s="2023"/>
      <c r="O5" s="2023"/>
      <c r="P5" s="2023"/>
      <c r="Q5" s="2023"/>
      <c r="R5" s="2023"/>
      <c r="S5" s="2023"/>
      <c r="T5" s="2023"/>
      <c r="U5" s="2023"/>
      <c r="V5" s="2023"/>
      <c r="W5" s="2023"/>
      <c r="X5" s="2023"/>
      <c r="Y5" s="2023"/>
      <c r="Z5" s="958"/>
      <c r="AA5" s="958"/>
      <c r="AB5" s="18"/>
      <c r="AC5" s="18"/>
      <c r="AD5" s="18"/>
      <c r="AE5" s="18"/>
      <c r="AF5" s="18"/>
      <c r="AG5" s="18"/>
      <c r="AH5" s="18"/>
      <c r="AI5" s="18"/>
      <c r="AJ5" s="18"/>
      <c r="AK5" s="18"/>
      <c r="AL5" s="18"/>
      <c r="AM5" s="18"/>
      <c r="AN5" s="18"/>
      <c r="AO5" s="18"/>
      <c r="AP5" s="18"/>
      <c r="AQ5" s="18"/>
      <c r="AR5" s="18"/>
      <c r="AS5" s="18"/>
      <c r="AT5" s="18"/>
      <c r="AU5" s="18"/>
      <c r="AV5" s="18"/>
      <c r="AW5" s="18"/>
      <c r="AX5" s="18"/>
      <c r="AY5" s="18"/>
      <c r="AZ5" s="18"/>
      <c r="BA5" s="18"/>
      <c r="BB5" s="18"/>
      <c r="BC5" s="18"/>
      <c r="BD5" s="18"/>
      <c r="BE5" s="18"/>
      <c r="BF5" s="18"/>
      <c r="BG5" s="18"/>
      <c r="BH5" s="18"/>
      <c r="BI5" s="18"/>
      <c r="BJ5" s="18"/>
      <c r="BK5" s="18"/>
      <c r="BL5" s="18"/>
      <c r="BM5" s="18"/>
      <c r="BN5" s="18"/>
      <c r="BO5" s="18"/>
      <c r="BP5" s="18"/>
      <c r="BQ5" s="18"/>
      <c r="BR5" s="18"/>
      <c r="BS5" s="18"/>
      <c r="BT5" s="18"/>
      <c r="BU5" s="18"/>
      <c r="BV5" s="18"/>
      <c r="BW5" s="18"/>
      <c r="BX5" s="18"/>
      <c r="BY5" s="18"/>
      <c r="BZ5" s="18"/>
      <c r="CA5" s="18"/>
      <c r="CB5" s="18"/>
      <c r="CC5" s="18"/>
      <c r="CD5" s="18"/>
      <c r="CE5" s="18"/>
      <c r="CF5" s="18"/>
      <c r="CG5" s="18"/>
      <c r="CH5" s="18"/>
      <c r="CI5" s="18"/>
      <c r="CJ5" s="18"/>
      <c r="CK5" s="18"/>
      <c r="CL5" s="18"/>
      <c r="CM5" s="18"/>
      <c r="CN5" s="18"/>
      <c r="CO5" s="18"/>
      <c r="CP5" s="18"/>
      <c r="CQ5" s="18"/>
      <c r="CR5" s="18"/>
      <c r="CS5" s="18"/>
      <c r="CT5" s="18"/>
      <c r="CU5" s="18"/>
      <c r="CV5" s="18"/>
      <c r="CW5" s="18"/>
      <c r="CX5" s="18"/>
      <c r="CY5" s="18"/>
      <c r="CZ5" s="18"/>
      <c r="DA5" s="18"/>
      <c r="DB5" s="18"/>
      <c r="DC5" s="18"/>
      <c r="DD5" s="18"/>
      <c r="DE5" s="18"/>
      <c r="DF5" s="18"/>
      <c r="DG5" s="18"/>
      <c r="DH5" s="18"/>
      <c r="DI5" s="18"/>
      <c r="DJ5" s="18"/>
      <c r="DK5" s="18"/>
      <c r="DL5" s="18"/>
      <c r="DM5" s="18"/>
      <c r="DN5" s="18"/>
      <c r="DO5" s="18"/>
      <c r="DP5" s="18"/>
      <c r="DQ5" s="18"/>
      <c r="DR5" s="18"/>
      <c r="DS5" s="18"/>
      <c r="DT5" s="18"/>
      <c r="DU5" s="18"/>
      <c r="DV5" s="18"/>
      <c r="DW5" s="18"/>
      <c r="DX5" s="18"/>
      <c r="DY5" s="18"/>
      <c r="DZ5" s="18"/>
      <c r="EA5" s="18"/>
      <c r="EB5" s="18"/>
      <c r="EC5" s="18"/>
      <c r="ED5" s="18"/>
      <c r="EE5" s="18"/>
      <c r="EF5" s="18"/>
      <c r="EG5" s="18"/>
      <c r="EH5" s="18"/>
      <c r="EI5" s="18"/>
      <c r="EJ5" s="18"/>
      <c r="EK5" s="18"/>
      <c r="EL5" s="18"/>
      <c r="EM5" s="18"/>
      <c r="EN5" s="18"/>
      <c r="EO5" s="18"/>
      <c r="EP5" s="18"/>
      <c r="EQ5" s="18"/>
      <c r="ER5" s="18"/>
      <c r="ES5" s="18"/>
      <c r="ET5" s="18"/>
      <c r="EU5" s="18"/>
      <c r="EV5" s="18"/>
      <c r="EW5" s="18"/>
      <c r="EX5" s="18"/>
      <c r="EY5" s="18"/>
      <c r="EZ5" s="18"/>
      <c r="FA5" s="18"/>
      <c r="FB5" s="18"/>
      <c r="FC5" s="18"/>
      <c r="FD5" s="18"/>
      <c r="FE5" s="18"/>
      <c r="FF5" s="18"/>
      <c r="FG5" s="18"/>
      <c r="FH5" s="18"/>
      <c r="FI5" s="18"/>
      <c r="FJ5" s="18"/>
      <c r="FK5" s="18"/>
      <c r="FL5" s="18"/>
      <c r="FM5" s="18"/>
      <c r="FN5" s="18"/>
      <c r="FO5" s="18"/>
      <c r="FP5" s="18"/>
      <c r="FQ5" s="18"/>
      <c r="FR5" s="18"/>
      <c r="FS5" s="18"/>
      <c r="FT5" s="18"/>
      <c r="FU5" s="18"/>
      <c r="FV5" s="18"/>
      <c r="FW5" s="18"/>
      <c r="FX5" s="18"/>
      <c r="FY5" s="18"/>
      <c r="FZ5" s="18"/>
      <c r="GA5" s="18"/>
      <c r="GB5" s="18"/>
      <c r="GC5" s="18"/>
      <c r="GD5" s="18"/>
      <c r="GE5" s="18"/>
      <c r="GF5" s="18"/>
      <c r="GG5" s="18"/>
      <c r="GH5" s="18"/>
      <c r="GI5" s="18"/>
      <c r="GJ5" s="18"/>
      <c r="GK5" s="18"/>
      <c r="GL5" s="18"/>
      <c r="GM5" s="18"/>
      <c r="GN5" s="18"/>
      <c r="GO5" s="18"/>
      <c r="GP5" s="18"/>
      <c r="GQ5" s="18"/>
      <c r="GR5" s="18"/>
      <c r="GS5" s="18"/>
      <c r="GT5" s="18"/>
      <c r="GU5" s="18"/>
      <c r="GV5" s="18"/>
      <c r="GW5" s="18"/>
      <c r="GX5" s="18"/>
      <c r="GY5" s="18"/>
      <c r="GZ5" s="18"/>
      <c r="HA5" s="18"/>
      <c r="HB5" s="18"/>
      <c r="HC5" s="18"/>
      <c r="HD5" s="18"/>
      <c r="HE5" s="18"/>
      <c r="HF5" s="18"/>
      <c r="HG5" s="18"/>
      <c r="HH5" s="18"/>
      <c r="HI5" s="18"/>
      <c r="HJ5" s="18"/>
      <c r="HK5" s="18"/>
      <c r="HL5" s="18"/>
      <c r="HM5" s="18"/>
      <c r="HN5" s="18"/>
      <c r="HO5" s="18"/>
      <c r="HP5" s="18"/>
      <c r="HQ5" s="18"/>
      <c r="HR5" s="18"/>
      <c r="HS5" s="18"/>
      <c r="HT5" s="18"/>
      <c r="HU5" s="18"/>
      <c r="HV5" s="18"/>
      <c r="HW5" s="18"/>
      <c r="HX5" s="18"/>
      <c r="HY5" s="18"/>
      <c r="HZ5" s="18"/>
      <c r="IA5" s="18"/>
      <c r="IB5" s="18"/>
      <c r="IC5" s="18"/>
      <c r="ID5" s="18"/>
      <c r="IE5" s="18"/>
      <c r="IF5" s="18"/>
      <c r="IG5" s="18"/>
      <c r="IH5" s="18"/>
      <c r="II5" s="18"/>
      <c r="IJ5" s="18"/>
      <c r="IK5" s="18"/>
      <c r="IL5" s="18"/>
      <c r="IM5" s="18"/>
      <c r="IN5" s="18"/>
      <c r="IO5" s="18"/>
      <c r="IP5" s="18"/>
      <c r="IQ5" s="18"/>
      <c r="IR5" s="18"/>
      <c r="IS5" s="18"/>
      <c r="IT5" s="18"/>
      <c r="IU5" s="18"/>
      <c r="IV5" s="18"/>
      <c r="IW5" s="18"/>
      <c r="IX5" s="18"/>
      <c r="IY5" s="18"/>
      <c r="IZ5" s="18"/>
      <c r="JA5" s="18"/>
      <c r="JB5" s="18"/>
      <c r="JC5" s="18"/>
      <c r="JD5" s="18"/>
      <c r="JE5" s="18"/>
    </row>
    <row r="6" spans="2:265" ht="18" customHeight="1" x14ac:dyDescent="0.25">
      <c r="B6" s="2024" t="s">
        <v>127</v>
      </c>
      <c r="C6" s="2024"/>
      <c r="D6" s="2024"/>
      <c r="E6" s="2024"/>
      <c r="F6" s="2024"/>
      <c r="G6" s="2024"/>
      <c r="H6" s="2024"/>
      <c r="I6" s="2024"/>
      <c r="J6" s="2024"/>
      <c r="K6" s="2024"/>
      <c r="L6" s="2024"/>
      <c r="M6" s="2024"/>
      <c r="N6" s="2024"/>
      <c r="O6" s="2024"/>
      <c r="P6" s="2024"/>
      <c r="Q6" s="2024"/>
      <c r="R6" s="2024"/>
      <c r="S6" s="2024"/>
      <c r="T6" s="2024"/>
      <c r="U6" s="2024"/>
      <c r="V6" s="2024"/>
      <c r="W6" s="2024"/>
      <c r="X6" s="2024"/>
      <c r="Y6" s="2024"/>
      <c r="Z6" s="959"/>
      <c r="AA6" s="959"/>
      <c r="AB6" s="18"/>
      <c r="AC6" s="18"/>
      <c r="AD6" s="18"/>
      <c r="AE6" s="18"/>
      <c r="AF6" s="18"/>
      <c r="AG6" s="18"/>
      <c r="AH6" s="18"/>
      <c r="AI6" s="18"/>
      <c r="AJ6" s="18"/>
      <c r="AK6" s="18"/>
      <c r="AL6" s="18"/>
      <c r="AM6" s="18"/>
      <c r="AN6" s="18"/>
      <c r="AO6" s="18"/>
      <c r="AP6" s="18"/>
      <c r="AQ6" s="18"/>
      <c r="AR6" s="18"/>
      <c r="AS6" s="18"/>
      <c r="AT6" s="18"/>
      <c r="AU6" s="18"/>
      <c r="AV6" s="18"/>
      <c r="AW6" s="18"/>
      <c r="AX6" s="18"/>
      <c r="AY6" s="18"/>
      <c r="AZ6" s="18"/>
      <c r="BA6" s="18"/>
      <c r="BB6" s="18"/>
      <c r="BC6" s="18"/>
      <c r="BD6" s="18"/>
      <c r="BE6" s="18"/>
      <c r="BF6" s="18"/>
      <c r="BG6" s="18"/>
      <c r="BH6" s="18"/>
      <c r="BI6" s="18"/>
      <c r="BJ6" s="18"/>
      <c r="BK6" s="18"/>
      <c r="BL6" s="18"/>
      <c r="BM6" s="18"/>
      <c r="BN6" s="18"/>
      <c r="BO6" s="18"/>
      <c r="BP6" s="18"/>
      <c r="BQ6" s="18"/>
      <c r="BR6" s="18"/>
      <c r="BS6" s="18"/>
      <c r="BT6" s="18"/>
      <c r="BU6" s="18"/>
      <c r="BV6" s="18"/>
      <c r="BW6" s="18"/>
      <c r="BX6" s="18"/>
      <c r="BY6" s="18"/>
      <c r="BZ6" s="18"/>
      <c r="CA6" s="18"/>
      <c r="CB6" s="18"/>
      <c r="CC6" s="18"/>
      <c r="CD6" s="18"/>
      <c r="CE6" s="18"/>
      <c r="CF6" s="18"/>
      <c r="CG6" s="18"/>
      <c r="CH6" s="18"/>
      <c r="CI6" s="18"/>
      <c r="CJ6" s="18"/>
      <c r="CK6" s="18"/>
      <c r="CL6" s="18"/>
      <c r="CM6" s="18"/>
      <c r="CN6" s="18"/>
      <c r="CO6" s="18"/>
      <c r="CP6" s="18"/>
      <c r="CQ6" s="18"/>
      <c r="CR6" s="18"/>
      <c r="CS6" s="18"/>
      <c r="CT6" s="18"/>
      <c r="CU6" s="18"/>
      <c r="CV6" s="18"/>
      <c r="CW6" s="18"/>
      <c r="CX6" s="18"/>
      <c r="CY6" s="18"/>
      <c r="CZ6" s="18"/>
      <c r="DA6" s="18"/>
      <c r="DB6" s="18"/>
      <c r="DC6" s="18"/>
      <c r="DD6" s="18"/>
      <c r="DE6" s="18"/>
      <c r="DF6" s="18"/>
      <c r="DG6" s="18"/>
      <c r="DH6" s="18"/>
      <c r="DI6" s="18"/>
      <c r="DJ6" s="18"/>
      <c r="DK6" s="18"/>
      <c r="DL6" s="18"/>
      <c r="DM6" s="18"/>
      <c r="DN6" s="18"/>
      <c r="DO6" s="18"/>
      <c r="DP6" s="18"/>
      <c r="DQ6" s="18"/>
      <c r="DR6" s="18"/>
      <c r="DS6" s="18"/>
      <c r="DT6" s="18"/>
      <c r="DU6" s="18"/>
      <c r="DV6" s="18"/>
      <c r="DW6" s="18"/>
      <c r="DX6" s="18"/>
      <c r="DY6" s="18"/>
      <c r="DZ6" s="18"/>
      <c r="EA6" s="18"/>
      <c r="EB6" s="18"/>
      <c r="EC6" s="18"/>
      <c r="ED6" s="18"/>
      <c r="EE6" s="18"/>
      <c r="EF6" s="18"/>
      <c r="EG6" s="18"/>
      <c r="EH6" s="18"/>
      <c r="EI6" s="18"/>
      <c r="EJ6" s="18"/>
      <c r="EK6" s="18"/>
      <c r="EL6" s="18"/>
      <c r="EM6" s="18"/>
      <c r="EN6" s="18"/>
      <c r="EO6" s="18"/>
      <c r="EP6" s="18"/>
      <c r="EQ6" s="18"/>
      <c r="ER6" s="18"/>
      <c r="ES6" s="18"/>
      <c r="ET6" s="18"/>
      <c r="EU6" s="18"/>
      <c r="EV6" s="18"/>
      <c r="EW6" s="18"/>
      <c r="EX6" s="18"/>
      <c r="EY6" s="18"/>
      <c r="EZ6" s="18"/>
      <c r="FA6" s="18"/>
      <c r="FB6" s="18"/>
      <c r="FC6" s="18"/>
      <c r="FD6" s="18"/>
      <c r="FE6" s="18"/>
      <c r="FF6" s="18"/>
      <c r="FG6" s="18"/>
      <c r="FH6" s="18"/>
      <c r="FI6" s="18"/>
      <c r="FJ6" s="18"/>
      <c r="FK6" s="18"/>
      <c r="FL6" s="18"/>
      <c r="FM6" s="18"/>
      <c r="FN6" s="18"/>
      <c r="FO6" s="18"/>
      <c r="FP6" s="18"/>
      <c r="FQ6" s="18"/>
      <c r="FR6" s="18"/>
      <c r="FS6" s="18"/>
      <c r="FT6" s="18"/>
      <c r="FU6" s="18"/>
      <c r="FV6" s="18"/>
      <c r="FW6" s="18"/>
      <c r="FX6" s="18"/>
      <c r="FY6" s="18"/>
      <c r="FZ6" s="18"/>
      <c r="GA6" s="18"/>
      <c r="GB6" s="18"/>
      <c r="GC6" s="18"/>
      <c r="GD6" s="18"/>
      <c r="GE6" s="18"/>
      <c r="GF6" s="18"/>
      <c r="GG6" s="18"/>
      <c r="GH6" s="18"/>
      <c r="GI6" s="18"/>
      <c r="GJ6" s="18"/>
      <c r="GK6" s="18"/>
      <c r="GL6" s="18"/>
      <c r="GM6" s="18"/>
      <c r="GN6" s="18"/>
      <c r="GO6" s="18"/>
      <c r="GP6" s="18"/>
      <c r="GQ6" s="18"/>
      <c r="GR6" s="18"/>
      <c r="GS6" s="18"/>
      <c r="GT6" s="18"/>
      <c r="GU6" s="18"/>
      <c r="GV6" s="18"/>
      <c r="GW6" s="18"/>
      <c r="GX6" s="18"/>
      <c r="GY6" s="18"/>
      <c r="GZ6" s="18"/>
      <c r="HA6" s="18"/>
      <c r="HB6" s="18"/>
      <c r="HC6" s="18"/>
      <c r="HD6" s="18"/>
      <c r="HE6" s="18"/>
      <c r="HF6" s="18"/>
      <c r="HG6" s="18"/>
      <c r="HH6" s="18"/>
      <c r="HI6" s="18"/>
      <c r="HJ6" s="18"/>
      <c r="HK6" s="18"/>
      <c r="HL6" s="18"/>
      <c r="HM6" s="18"/>
      <c r="HN6" s="18"/>
      <c r="HO6" s="18"/>
      <c r="HP6" s="18"/>
      <c r="HQ6" s="18"/>
      <c r="HR6" s="18"/>
      <c r="HS6" s="18"/>
      <c r="HT6" s="18"/>
      <c r="HU6" s="18"/>
      <c r="HV6" s="18"/>
      <c r="HW6" s="18"/>
      <c r="HX6" s="18"/>
      <c r="HY6" s="18"/>
      <c r="HZ6" s="18"/>
      <c r="IA6" s="18"/>
      <c r="IB6" s="18"/>
      <c r="IC6" s="18"/>
      <c r="ID6" s="18"/>
      <c r="IE6" s="18"/>
      <c r="IF6" s="18"/>
      <c r="IG6" s="18"/>
      <c r="IH6" s="18"/>
      <c r="II6" s="18"/>
      <c r="IJ6" s="18"/>
      <c r="IK6" s="18"/>
      <c r="IL6" s="18"/>
      <c r="IM6" s="18"/>
      <c r="IN6" s="18"/>
      <c r="IO6" s="18"/>
      <c r="IP6" s="18"/>
      <c r="IQ6" s="18"/>
      <c r="IR6" s="18"/>
      <c r="IS6" s="18"/>
      <c r="IT6" s="18"/>
      <c r="IU6" s="18"/>
      <c r="IV6" s="18"/>
      <c r="IW6" s="18"/>
      <c r="IX6" s="18"/>
      <c r="IY6" s="18"/>
      <c r="IZ6" s="18"/>
      <c r="JA6" s="18"/>
      <c r="JB6" s="18"/>
      <c r="JC6" s="18"/>
      <c r="JD6" s="18"/>
      <c r="JE6" s="18"/>
    </row>
    <row r="7" spans="2:265" ht="17.399999999999999" x14ac:dyDescent="0.3">
      <c r="B7" s="482"/>
      <c r="C7" s="18"/>
      <c r="D7" s="18"/>
      <c r="E7" s="18"/>
      <c r="F7" s="18"/>
      <c r="G7" s="18"/>
      <c r="H7" s="18"/>
      <c r="I7" s="18"/>
      <c r="J7" s="18"/>
      <c r="K7" s="18"/>
      <c r="L7" s="18"/>
      <c r="M7" s="18"/>
      <c r="N7" s="18"/>
      <c r="O7" s="18"/>
      <c r="P7" s="18"/>
      <c r="Q7" s="18"/>
      <c r="R7" s="18"/>
      <c r="S7" s="18"/>
      <c r="T7" s="18"/>
      <c r="U7" s="18"/>
      <c r="V7" s="214"/>
      <c r="W7" s="18"/>
      <c r="X7" s="18"/>
      <c r="Y7" s="18"/>
      <c r="Z7" s="18"/>
      <c r="AA7" s="18"/>
      <c r="AB7" s="18"/>
      <c r="AC7" s="18"/>
      <c r="AD7" s="18"/>
      <c r="AE7" s="18"/>
      <c r="AF7" s="18"/>
      <c r="AG7" s="18"/>
      <c r="AH7" s="18"/>
      <c r="AI7" s="18"/>
      <c r="AJ7" s="18"/>
      <c r="AK7" s="18"/>
      <c r="AL7" s="18"/>
      <c r="AM7" s="18"/>
      <c r="AN7" s="18"/>
      <c r="AO7" s="18"/>
      <c r="AP7" s="18"/>
      <c r="AQ7" s="18"/>
      <c r="AR7" s="18"/>
      <c r="AS7" s="18"/>
      <c r="AT7" s="18"/>
      <c r="AU7" s="18"/>
      <c r="AV7" s="18"/>
      <c r="AW7" s="18"/>
      <c r="AX7" s="18"/>
      <c r="AY7" s="18"/>
      <c r="AZ7" s="18"/>
      <c r="BA7" s="18"/>
      <c r="BB7" s="18"/>
      <c r="BC7" s="18"/>
      <c r="BD7" s="18"/>
      <c r="BE7" s="18"/>
      <c r="BF7" s="18"/>
      <c r="BG7" s="18"/>
      <c r="BH7" s="18"/>
      <c r="BI7" s="18"/>
      <c r="BJ7" s="18"/>
      <c r="BK7" s="18"/>
      <c r="BL7" s="18"/>
      <c r="BM7" s="18"/>
      <c r="BN7" s="18"/>
      <c r="BO7" s="18"/>
      <c r="BP7" s="18"/>
      <c r="BQ7" s="18"/>
      <c r="BR7" s="18"/>
      <c r="BS7" s="18"/>
      <c r="BT7" s="18"/>
      <c r="BU7" s="18"/>
      <c r="BV7" s="18"/>
      <c r="BW7" s="18"/>
      <c r="BX7" s="18"/>
      <c r="BY7" s="18"/>
      <c r="BZ7" s="18"/>
      <c r="CA7" s="18"/>
      <c r="CB7" s="18"/>
      <c r="CC7" s="18"/>
      <c r="CD7" s="18"/>
      <c r="CE7" s="18"/>
      <c r="CF7" s="18"/>
      <c r="CG7" s="18"/>
      <c r="CH7" s="18"/>
      <c r="CI7" s="18"/>
      <c r="CJ7" s="18"/>
      <c r="CK7" s="18"/>
      <c r="CL7" s="18"/>
      <c r="CM7" s="18"/>
      <c r="CN7" s="18"/>
      <c r="CO7" s="18"/>
      <c r="CP7" s="18"/>
      <c r="CQ7" s="18"/>
      <c r="CR7" s="18"/>
      <c r="CS7" s="18"/>
      <c r="CT7" s="18"/>
      <c r="CU7" s="18"/>
      <c r="CV7" s="18"/>
      <c r="CW7" s="18"/>
      <c r="CX7" s="18"/>
      <c r="CY7" s="18"/>
      <c r="CZ7" s="18"/>
      <c r="DA7" s="18"/>
      <c r="DB7" s="18"/>
      <c r="DC7" s="18"/>
      <c r="DD7" s="18"/>
      <c r="DE7" s="18"/>
      <c r="DF7" s="18"/>
      <c r="DG7" s="18"/>
      <c r="DH7" s="18"/>
      <c r="DI7" s="18"/>
      <c r="DJ7" s="18"/>
      <c r="DK7" s="18"/>
      <c r="DL7" s="18"/>
      <c r="DM7" s="18"/>
      <c r="DN7" s="18"/>
      <c r="DO7" s="18"/>
      <c r="DP7" s="18"/>
      <c r="DQ7" s="18"/>
      <c r="DR7" s="18"/>
      <c r="DS7" s="18"/>
      <c r="DT7" s="18"/>
      <c r="DU7" s="18"/>
      <c r="DV7" s="18"/>
      <c r="DW7" s="18"/>
      <c r="DX7" s="18"/>
      <c r="DY7" s="18"/>
      <c r="DZ7" s="18"/>
      <c r="EA7" s="18"/>
      <c r="EB7" s="18"/>
      <c r="EC7" s="18"/>
      <c r="ED7" s="18"/>
      <c r="EE7" s="18"/>
      <c r="EF7" s="18"/>
      <c r="EG7" s="18"/>
      <c r="EH7" s="18"/>
      <c r="EI7" s="18"/>
      <c r="EJ7" s="18"/>
      <c r="EK7" s="18"/>
      <c r="EL7" s="18"/>
      <c r="EM7" s="18"/>
      <c r="EN7" s="18"/>
      <c r="EO7" s="18"/>
      <c r="EP7" s="18"/>
      <c r="EQ7" s="18"/>
      <c r="ER7" s="18"/>
      <c r="ES7" s="18"/>
      <c r="ET7" s="18"/>
      <c r="EU7" s="18"/>
      <c r="EV7" s="18"/>
      <c r="EW7" s="18"/>
      <c r="EX7" s="18"/>
      <c r="EY7" s="18"/>
      <c r="EZ7" s="18"/>
      <c r="FA7" s="18"/>
      <c r="FB7" s="18"/>
      <c r="FC7" s="18"/>
      <c r="FD7" s="18"/>
      <c r="FE7" s="18"/>
      <c r="FF7" s="18"/>
      <c r="FG7" s="18"/>
      <c r="FH7" s="18"/>
      <c r="FI7" s="18"/>
      <c r="FJ7" s="18"/>
      <c r="FK7" s="18"/>
      <c r="FL7" s="18"/>
      <c r="FM7" s="18"/>
      <c r="FN7" s="18"/>
      <c r="FO7" s="18"/>
      <c r="FP7" s="18"/>
      <c r="FQ7" s="18"/>
      <c r="FR7" s="18"/>
      <c r="FS7" s="18"/>
      <c r="FT7" s="18"/>
      <c r="FU7" s="18"/>
      <c r="FV7" s="18"/>
      <c r="FW7" s="18"/>
      <c r="FX7" s="18"/>
      <c r="FY7" s="18"/>
      <c r="FZ7" s="18"/>
      <c r="GA7" s="18"/>
      <c r="GB7" s="18"/>
      <c r="GC7" s="18"/>
      <c r="GD7" s="18"/>
      <c r="GE7" s="18"/>
      <c r="GF7" s="18"/>
      <c r="GG7" s="18"/>
      <c r="GH7" s="18"/>
      <c r="GI7" s="18"/>
      <c r="GJ7" s="18"/>
      <c r="GK7" s="18"/>
      <c r="GL7" s="18"/>
      <c r="GM7" s="18"/>
      <c r="GN7" s="18"/>
      <c r="GO7" s="18"/>
      <c r="GP7" s="18"/>
      <c r="GQ7" s="18"/>
      <c r="GR7" s="18"/>
      <c r="GS7" s="18"/>
      <c r="GT7" s="18"/>
      <c r="GU7" s="18"/>
      <c r="GV7" s="18"/>
      <c r="GW7" s="18"/>
      <c r="GX7" s="18"/>
      <c r="GY7" s="18"/>
      <c r="GZ7" s="18"/>
      <c r="HA7" s="18"/>
      <c r="HB7" s="18"/>
      <c r="HC7" s="18"/>
      <c r="HD7" s="18"/>
      <c r="HE7" s="18"/>
      <c r="HF7" s="18"/>
      <c r="HG7" s="18"/>
      <c r="HH7" s="18"/>
      <c r="HI7" s="18"/>
      <c r="HJ7" s="18"/>
      <c r="HK7" s="18"/>
      <c r="HL7" s="18"/>
      <c r="HM7" s="18"/>
      <c r="HN7" s="18"/>
      <c r="HO7" s="18"/>
      <c r="HP7" s="18"/>
      <c r="HQ7" s="18"/>
      <c r="HR7" s="18"/>
      <c r="HS7" s="18"/>
      <c r="HT7" s="18"/>
      <c r="HU7" s="18"/>
      <c r="HV7" s="18"/>
      <c r="HW7" s="18"/>
      <c r="HX7" s="18"/>
      <c r="HY7" s="18"/>
      <c r="HZ7" s="18"/>
      <c r="IA7" s="18"/>
      <c r="IB7" s="18"/>
      <c r="IC7" s="18"/>
      <c r="ID7" s="18"/>
      <c r="IE7" s="18"/>
      <c r="IF7" s="18"/>
      <c r="IG7" s="18"/>
      <c r="IH7" s="18"/>
      <c r="II7" s="18"/>
      <c r="IJ7" s="18"/>
      <c r="IK7" s="18"/>
      <c r="IL7" s="18"/>
      <c r="IM7" s="18"/>
      <c r="IN7" s="18"/>
      <c r="IO7" s="18"/>
      <c r="IP7" s="18"/>
      <c r="IQ7" s="18"/>
      <c r="IR7" s="18"/>
      <c r="IS7" s="18"/>
      <c r="IT7" s="18"/>
      <c r="IU7" s="18"/>
      <c r="IV7" s="18"/>
      <c r="IW7" s="18"/>
      <c r="IX7" s="18"/>
      <c r="IY7" s="18"/>
      <c r="IZ7" s="18"/>
      <c r="JA7" s="18"/>
      <c r="JB7" s="18"/>
      <c r="JC7" s="18"/>
      <c r="JD7" s="18"/>
      <c r="JE7" s="18"/>
    </row>
    <row r="8" spans="2:265" x14ac:dyDescent="0.25">
      <c r="B8" s="19" t="s">
        <v>1204</v>
      </c>
      <c r="C8" s="377" t="s">
        <v>7</v>
      </c>
      <c r="D8" s="2025" t="str">
        <f>CARAT_!F47</f>
        <v>ESPECIFICO Nº SP-2022-012</v>
      </c>
      <c r="E8" s="2025"/>
      <c r="F8" s="2025"/>
      <c r="G8" s="2025"/>
      <c r="I8" s="2022" t="s">
        <v>288</v>
      </c>
      <c r="J8" s="2022"/>
      <c r="K8" s="1579">
        <f>Hoja1!C11</f>
        <v>365</v>
      </c>
      <c r="L8" s="1575" t="s">
        <v>96</v>
      </c>
      <c r="N8" s="19"/>
      <c r="O8" s="19"/>
      <c r="P8" s="19"/>
      <c r="Q8" s="19"/>
      <c r="R8" s="19"/>
      <c r="S8" s="19"/>
      <c r="T8" s="19"/>
      <c r="U8" s="19"/>
      <c r="V8" s="215"/>
      <c r="W8" s="19"/>
      <c r="X8" s="19"/>
      <c r="Y8" s="19"/>
      <c r="Z8" s="19"/>
      <c r="AA8" s="19"/>
      <c r="AB8" s="19"/>
      <c r="AC8" s="19"/>
      <c r="AD8" s="19"/>
      <c r="AE8" s="19"/>
      <c r="AF8" s="19"/>
      <c r="AG8" s="19"/>
      <c r="AH8" s="19"/>
      <c r="AI8" s="19"/>
      <c r="AJ8" s="19"/>
      <c r="AK8" s="19"/>
      <c r="AL8" s="19"/>
      <c r="AM8" s="19"/>
      <c r="AN8" s="19"/>
      <c r="AO8" s="19"/>
      <c r="AP8" s="19"/>
      <c r="AQ8" s="19"/>
      <c r="AR8" s="19"/>
      <c r="AS8" s="19"/>
      <c r="AT8" s="19"/>
      <c r="AU8" s="19"/>
      <c r="AV8" s="19"/>
      <c r="AW8" s="19"/>
      <c r="AX8" s="19"/>
      <c r="AY8" s="19"/>
      <c r="AZ8" s="19"/>
      <c r="BA8" s="19"/>
      <c r="BB8" s="19"/>
      <c r="BC8" s="19"/>
      <c r="BD8" s="19"/>
      <c r="BE8" s="19"/>
      <c r="BF8" s="19"/>
      <c r="BG8" s="19"/>
      <c r="BH8" s="19"/>
      <c r="BI8" s="19"/>
      <c r="BJ8" s="19"/>
      <c r="BK8" s="19"/>
      <c r="BL8" s="19"/>
      <c r="BM8" s="19"/>
      <c r="BN8" s="19"/>
      <c r="BO8" s="19"/>
      <c r="BP8" s="19"/>
      <c r="BQ8" s="19"/>
      <c r="BR8" s="19"/>
      <c r="BS8" s="19"/>
      <c r="BT8" s="19"/>
      <c r="BU8" s="19"/>
      <c r="BV8" s="19"/>
      <c r="BW8" s="19"/>
      <c r="BX8" s="19"/>
      <c r="BY8" s="19"/>
      <c r="BZ8" s="19"/>
      <c r="CA8" s="19"/>
      <c r="CB8" s="19"/>
      <c r="CC8" s="19"/>
      <c r="CD8" s="19"/>
      <c r="CE8" s="19"/>
      <c r="CF8" s="19"/>
      <c r="CG8" s="19"/>
      <c r="CH8" s="19"/>
      <c r="CI8" s="19"/>
      <c r="CJ8" s="19"/>
      <c r="CK8" s="19"/>
      <c r="CL8" s="19"/>
      <c r="CM8" s="19"/>
      <c r="CN8" s="19"/>
      <c r="CO8" s="19"/>
      <c r="CP8" s="19"/>
      <c r="CQ8" s="19"/>
      <c r="CR8" s="19"/>
      <c r="CS8" s="19"/>
      <c r="CT8" s="19"/>
      <c r="CU8" s="19"/>
      <c r="CV8" s="19"/>
      <c r="CW8" s="19"/>
      <c r="CX8" s="19"/>
      <c r="CY8" s="19"/>
      <c r="CZ8" s="19"/>
      <c r="DA8" s="19"/>
      <c r="DB8" s="19"/>
      <c r="DC8" s="19"/>
      <c r="DD8" s="19"/>
      <c r="DE8" s="19"/>
      <c r="DF8" s="19"/>
      <c r="DG8" s="19"/>
      <c r="DH8" s="19"/>
      <c r="DI8" s="19"/>
      <c r="DJ8" s="19"/>
      <c r="DK8" s="19"/>
      <c r="DL8" s="19"/>
      <c r="DM8" s="19"/>
      <c r="DN8" s="19"/>
      <c r="DO8" s="19"/>
      <c r="DP8" s="19"/>
      <c r="DQ8" s="19"/>
      <c r="DR8" s="19"/>
      <c r="DS8" s="19"/>
      <c r="DT8" s="19"/>
      <c r="DU8" s="19"/>
      <c r="DV8" s="19"/>
      <c r="DW8" s="19"/>
      <c r="DX8" s="19"/>
      <c r="DY8" s="19"/>
      <c r="DZ8" s="19"/>
      <c r="EA8" s="19"/>
      <c r="EB8" s="19"/>
      <c r="EC8" s="19"/>
      <c r="ED8" s="19"/>
      <c r="EE8" s="19"/>
      <c r="EF8" s="19"/>
      <c r="EG8" s="19"/>
      <c r="EH8" s="19"/>
      <c r="EI8" s="19"/>
      <c r="EJ8" s="19"/>
      <c r="EK8" s="19"/>
      <c r="EL8" s="19"/>
      <c r="EM8" s="19"/>
      <c r="EN8" s="19"/>
      <c r="EO8" s="19"/>
      <c r="EP8" s="19"/>
      <c r="EQ8" s="19"/>
      <c r="ER8" s="19"/>
      <c r="ES8" s="19"/>
      <c r="ET8" s="19"/>
      <c r="EU8" s="19"/>
      <c r="EV8" s="19"/>
      <c r="EW8" s="19"/>
      <c r="EX8" s="19"/>
      <c r="EY8" s="19"/>
      <c r="EZ8" s="19"/>
      <c r="FA8" s="19"/>
      <c r="FB8" s="19"/>
      <c r="FC8" s="19"/>
      <c r="FD8" s="19"/>
      <c r="FE8" s="19"/>
      <c r="FF8" s="19"/>
      <c r="FG8" s="19"/>
      <c r="FH8" s="19"/>
      <c r="FI8" s="19"/>
      <c r="FJ8" s="19"/>
      <c r="FK8" s="19"/>
      <c r="FL8" s="19"/>
      <c r="FM8" s="19"/>
      <c r="FN8" s="19"/>
      <c r="FO8" s="19"/>
      <c r="FP8" s="19"/>
      <c r="FQ8" s="19"/>
      <c r="FR8" s="19"/>
      <c r="FS8" s="19"/>
      <c r="FT8" s="19"/>
      <c r="FU8" s="19"/>
      <c r="FV8" s="19"/>
      <c r="FW8" s="19"/>
      <c r="FX8" s="19"/>
      <c r="FY8" s="19"/>
      <c r="FZ8" s="19"/>
      <c r="GA8" s="19"/>
      <c r="GB8" s="19"/>
      <c r="GC8" s="19"/>
      <c r="GD8" s="19"/>
      <c r="GE8" s="19"/>
      <c r="GF8" s="19"/>
      <c r="GG8" s="19"/>
      <c r="GH8" s="19"/>
      <c r="GI8" s="19"/>
      <c r="GJ8" s="19"/>
      <c r="GK8" s="19"/>
      <c r="GL8" s="19"/>
      <c r="GM8" s="19"/>
      <c r="GN8" s="19"/>
      <c r="GO8" s="19"/>
      <c r="GP8" s="19"/>
      <c r="GQ8" s="19"/>
      <c r="GR8" s="19"/>
      <c r="GS8" s="19"/>
      <c r="GT8" s="19"/>
      <c r="GU8" s="19"/>
      <c r="GV8" s="19"/>
      <c r="GW8" s="19"/>
      <c r="GX8" s="19"/>
      <c r="GY8" s="19"/>
      <c r="GZ8" s="19"/>
      <c r="HA8" s="19"/>
      <c r="HB8" s="19"/>
      <c r="HC8" s="19"/>
      <c r="HD8" s="19"/>
      <c r="HE8" s="19"/>
      <c r="HF8" s="19"/>
      <c r="HG8" s="19"/>
      <c r="HH8" s="19"/>
      <c r="HI8" s="19"/>
      <c r="HJ8" s="19"/>
      <c r="HK8" s="19"/>
      <c r="HL8" s="19"/>
      <c r="HM8" s="19"/>
      <c r="HN8" s="19"/>
      <c r="HO8" s="19"/>
      <c r="HP8" s="19"/>
      <c r="HQ8" s="19"/>
      <c r="HR8" s="19"/>
      <c r="HS8" s="19"/>
      <c r="HT8" s="19"/>
      <c r="HU8" s="19"/>
      <c r="HV8" s="19"/>
      <c r="HW8" s="19"/>
      <c r="HX8" s="19"/>
      <c r="HY8" s="19"/>
      <c r="HZ8" s="19"/>
      <c r="IA8" s="19"/>
      <c r="IB8" s="19"/>
      <c r="IC8" s="19"/>
      <c r="ID8" s="19"/>
      <c r="IE8" s="19"/>
      <c r="IF8" s="19"/>
      <c r="IG8" s="19"/>
      <c r="IH8" s="19"/>
      <c r="II8" s="19"/>
      <c r="IJ8" s="19"/>
      <c r="IK8" s="19"/>
      <c r="IL8" s="19"/>
      <c r="IM8" s="19"/>
      <c r="IN8" s="19"/>
      <c r="IO8" s="19"/>
      <c r="IP8" s="19"/>
      <c r="IQ8" s="19"/>
      <c r="IR8" s="19"/>
      <c r="IS8" s="19"/>
      <c r="IT8" s="19"/>
      <c r="IU8" s="19"/>
      <c r="IV8" s="19"/>
      <c r="IW8" s="19"/>
      <c r="IX8" s="19"/>
      <c r="IY8" s="19"/>
      <c r="IZ8" s="19"/>
      <c r="JA8" s="19"/>
      <c r="JB8" s="19"/>
      <c r="JC8" s="19"/>
      <c r="JD8" s="19"/>
      <c r="JE8" s="19"/>
    </row>
    <row r="9" spans="2:265" ht="12.75" customHeight="1" x14ac:dyDescent="0.25">
      <c r="B9" s="19" t="s">
        <v>263</v>
      </c>
      <c r="C9" s="377" t="s">
        <v>7</v>
      </c>
      <c r="D9" s="2026" t="s">
        <v>1376</v>
      </c>
      <c r="E9" s="2026"/>
      <c r="F9" s="2026"/>
      <c r="G9" s="2026"/>
      <c r="H9" s="2026"/>
      <c r="I9" s="2022" t="s">
        <v>1712</v>
      </c>
      <c r="J9" s="2022"/>
      <c r="K9" s="1580">
        <v>69</v>
      </c>
      <c r="L9" s="1576"/>
      <c r="M9" s="19"/>
      <c r="N9" s="19"/>
      <c r="O9" s="19"/>
      <c r="P9" s="19"/>
      <c r="Q9" s="19"/>
      <c r="R9" s="19"/>
      <c r="S9" s="19"/>
      <c r="T9" s="19"/>
      <c r="U9" s="19"/>
      <c r="V9" s="215"/>
      <c r="W9" s="19"/>
      <c r="X9" s="19"/>
      <c r="Y9" s="19"/>
      <c r="Z9" s="19"/>
      <c r="AA9" s="19"/>
      <c r="AB9" s="19"/>
      <c r="AC9" s="19"/>
      <c r="AD9" s="19"/>
      <c r="AE9" s="19"/>
      <c r="AF9" s="19"/>
      <c r="AG9" s="19"/>
      <c r="AH9" s="19"/>
      <c r="AI9" s="19"/>
      <c r="AJ9" s="19"/>
      <c r="AK9" s="19"/>
      <c r="AL9" s="19"/>
      <c r="AM9" s="19"/>
      <c r="AN9" s="19"/>
      <c r="AO9" s="19"/>
      <c r="AP9" s="19"/>
      <c r="AQ9" s="19"/>
      <c r="AR9" s="19"/>
      <c r="AS9" s="19"/>
      <c r="AT9" s="19"/>
      <c r="AU9" s="19"/>
      <c r="AV9" s="19"/>
      <c r="AW9" s="19"/>
      <c r="AX9" s="19"/>
      <c r="AY9" s="19"/>
      <c r="AZ9" s="19"/>
      <c r="BA9" s="19"/>
      <c r="BB9" s="19"/>
      <c r="BC9" s="19"/>
      <c r="BD9" s="19"/>
      <c r="BE9" s="19"/>
      <c r="BF9" s="19"/>
      <c r="BG9" s="19"/>
      <c r="BH9" s="19"/>
      <c r="BI9" s="19"/>
      <c r="BJ9" s="19"/>
      <c r="BK9" s="19"/>
      <c r="BL9" s="19"/>
      <c r="BM9" s="19"/>
      <c r="BN9" s="19"/>
      <c r="BO9" s="19"/>
      <c r="BP9" s="19"/>
      <c r="BQ9" s="19"/>
      <c r="BR9" s="19"/>
      <c r="BS9" s="19"/>
      <c r="BT9" s="19"/>
      <c r="BU9" s="19"/>
      <c r="BV9" s="19"/>
      <c r="BW9" s="19"/>
      <c r="BX9" s="19"/>
      <c r="BY9" s="19"/>
      <c r="BZ9" s="19"/>
      <c r="CA9" s="19"/>
      <c r="CB9" s="19"/>
      <c r="CC9" s="19"/>
      <c r="CD9" s="19"/>
      <c r="CE9" s="19"/>
      <c r="CF9" s="19"/>
      <c r="CG9" s="19"/>
      <c r="CH9" s="19"/>
      <c r="CI9" s="19"/>
      <c r="CJ9" s="19"/>
      <c r="CK9" s="19"/>
      <c r="CL9" s="19"/>
      <c r="CM9" s="19"/>
      <c r="CN9" s="19"/>
      <c r="CO9" s="19"/>
      <c r="CP9" s="19"/>
      <c r="CQ9" s="19"/>
      <c r="CR9" s="19"/>
      <c r="CS9" s="19"/>
      <c r="CT9" s="19"/>
      <c r="CU9" s="19"/>
      <c r="CV9" s="19"/>
      <c r="CW9" s="19"/>
      <c r="CX9" s="19"/>
      <c r="CY9" s="19"/>
      <c r="CZ9" s="19"/>
      <c r="DA9" s="19"/>
      <c r="DB9" s="19"/>
      <c r="DC9" s="19"/>
      <c r="DD9" s="19"/>
      <c r="DE9" s="19"/>
      <c r="DF9" s="19"/>
      <c r="DG9" s="19"/>
      <c r="DH9" s="19"/>
      <c r="DI9" s="19"/>
      <c r="DJ9" s="19"/>
      <c r="DK9" s="19"/>
      <c r="DL9" s="19"/>
      <c r="DM9" s="19"/>
      <c r="DN9" s="19"/>
      <c r="DO9" s="19"/>
      <c r="DP9" s="19"/>
      <c r="DQ9" s="19"/>
      <c r="DR9" s="19"/>
      <c r="DS9" s="19"/>
      <c r="DT9" s="19"/>
      <c r="DU9" s="19"/>
      <c r="DV9" s="19"/>
      <c r="DW9" s="19"/>
      <c r="DX9" s="19"/>
      <c r="DY9" s="19"/>
      <c r="DZ9" s="19"/>
      <c r="EA9" s="19"/>
      <c r="EB9" s="19"/>
      <c r="EC9" s="19"/>
      <c r="ED9" s="19"/>
      <c r="EE9" s="19"/>
      <c r="EF9" s="19"/>
      <c r="EG9" s="19"/>
      <c r="EH9" s="19"/>
      <c r="EI9" s="19"/>
      <c r="EJ9" s="19"/>
      <c r="EK9" s="19"/>
      <c r="EL9" s="19"/>
      <c r="EM9" s="19"/>
      <c r="EN9" s="19"/>
      <c r="EO9" s="19"/>
      <c r="EP9" s="19"/>
      <c r="EQ9" s="19"/>
      <c r="ER9" s="19"/>
      <c r="ES9" s="19"/>
      <c r="ET9" s="19"/>
      <c r="EU9" s="19"/>
      <c r="EV9" s="19"/>
      <c r="EW9" s="19"/>
      <c r="EX9" s="19"/>
      <c r="EY9" s="19"/>
      <c r="EZ9" s="19"/>
      <c r="FA9" s="19"/>
      <c r="FB9" s="19"/>
      <c r="FC9" s="19"/>
      <c r="FD9" s="19"/>
      <c r="FE9" s="19"/>
      <c r="FF9" s="19"/>
      <c r="FG9" s="19"/>
      <c r="FH9" s="19"/>
      <c r="FI9" s="19"/>
      <c r="FJ9" s="19"/>
      <c r="FK9" s="19"/>
      <c r="FL9" s="19"/>
      <c r="FM9" s="19"/>
      <c r="FN9" s="19"/>
      <c r="FO9" s="19"/>
      <c r="FP9" s="19"/>
      <c r="FQ9" s="19"/>
      <c r="FR9" s="19"/>
      <c r="FS9" s="19"/>
      <c r="FT9" s="19"/>
      <c r="FU9" s="19"/>
      <c r="FV9" s="19"/>
      <c r="FW9" s="19"/>
      <c r="FX9" s="19"/>
      <c r="FY9" s="19"/>
      <c r="FZ9" s="19"/>
      <c r="GA9" s="19"/>
      <c r="GB9" s="19"/>
      <c r="GC9" s="19"/>
      <c r="GD9" s="19"/>
      <c r="GE9" s="19"/>
      <c r="GF9" s="19"/>
      <c r="GG9" s="19"/>
      <c r="GH9" s="19"/>
      <c r="GI9" s="19"/>
      <c r="GJ9" s="19"/>
      <c r="GK9" s="19"/>
      <c r="GL9" s="19"/>
      <c r="GM9" s="19"/>
      <c r="GN9" s="19"/>
      <c r="GO9" s="19"/>
      <c r="GP9" s="19"/>
      <c r="GQ9" s="19"/>
      <c r="GR9" s="19"/>
      <c r="GS9" s="19"/>
      <c r="GT9" s="19"/>
      <c r="GU9" s="19"/>
      <c r="GV9" s="19"/>
      <c r="GW9" s="19"/>
      <c r="GX9" s="19"/>
      <c r="GY9" s="19"/>
      <c r="GZ9" s="19"/>
      <c r="HA9" s="19"/>
      <c r="HB9" s="19"/>
      <c r="HC9" s="19"/>
      <c r="HD9" s="19"/>
      <c r="HE9" s="19"/>
      <c r="HF9" s="19"/>
      <c r="HG9" s="19"/>
      <c r="HH9" s="19"/>
      <c r="HI9" s="19"/>
      <c r="HJ9" s="19"/>
      <c r="HK9" s="19"/>
      <c r="HL9" s="19"/>
      <c r="HM9" s="19"/>
      <c r="HN9" s="19"/>
      <c r="HO9" s="19"/>
      <c r="HP9" s="19"/>
      <c r="HQ9" s="19"/>
      <c r="HR9" s="19"/>
      <c r="HS9" s="19"/>
      <c r="HT9" s="19"/>
      <c r="HU9" s="19"/>
      <c r="HV9" s="19"/>
      <c r="HW9" s="19"/>
      <c r="HX9" s="19"/>
      <c r="HY9" s="19"/>
      <c r="HZ9" s="19"/>
      <c r="IA9" s="19"/>
      <c r="IB9" s="19"/>
      <c r="IC9" s="19"/>
      <c r="ID9" s="19"/>
      <c r="IE9" s="19"/>
      <c r="IF9" s="19"/>
      <c r="IG9" s="19"/>
      <c r="IH9" s="19"/>
      <c r="II9" s="19"/>
      <c r="IJ9" s="19"/>
      <c r="IK9" s="19"/>
      <c r="IL9" s="19"/>
      <c r="IM9" s="19"/>
      <c r="IN9" s="19"/>
      <c r="IO9" s="19"/>
      <c r="IP9" s="19"/>
      <c r="IQ9" s="19"/>
      <c r="IR9" s="19"/>
      <c r="IS9" s="19"/>
      <c r="IT9" s="19"/>
      <c r="IU9" s="19"/>
      <c r="IV9" s="19"/>
      <c r="IW9" s="19"/>
      <c r="IX9" s="19"/>
      <c r="IY9" s="19"/>
      <c r="IZ9" s="19"/>
      <c r="JA9" s="19"/>
      <c r="JB9" s="19"/>
      <c r="JC9" s="19"/>
      <c r="JD9" s="19"/>
      <c r="JE9" s="19"/>
    </row>
    <row r="10" spans="2:265" ht="12.75" customHeight="1" x14ac:dyDescent="0.25">
      <c r="B10" s="19"/>
      <c r="C10" s="377"/>
      <c r="D10" s="2026"/>
      <c r="E10" s="2026"/>
      <c r="F10" s="2026"/>
      <c r="G10" s="2026"/>
      <c r="H10" s="2026"/>
      <c r="I10" s="2022" t="s">
        <v>1796</v>
      </c>
      <c r="J10" s="2022"/>
      <c r="K10" s="1580">
        <v>30</v>
      </c>
      <c r="L10" s="1576"/>
      <c r="M10" s="19"/>
      <c r="N10" s="19"/>
      <c r="O10" s="19"/>
      <c r="P10" s="19"/>
      <c r="Q10" s="19"/>
      <c r="R10" s="19"/>
      <c r="S10" s="19"/>
      <c r="T10" s="19"/>
      <c r="U10" s="19"/>
      <c r="V10" s="215"/>
      <c r="W10" s="19"/>
      <c r="X10" s="19"/>
      <c r="Y10" s="19"/>
      <c r="Z10" s="19"/>
      <c r="AA10" s="19"/>
      <c r="AB10" s="19"/>
      <c r="AC10" s="19"/>
      <c r="AD10" s="19"/>
      <c r="AE10" s="19"/>
      <c r="AF10" s="19"/>
      <c r="AG10" s="19"/>
      <c r="AH10" s="19"/>
      <c r="AI10" s="19"/>
      <c r="AJ10" s="19"/>
      <c r="AK10" s="19"/>
      <c r="AL10" s="19"/>
      <c r="AM10" s="19"/>
      <c r="AN10" s="19"/>
      <c r="AO10" s="19"/>
      <c r="AP10" s="19"/>
      <c r="AQ10" s="19"/>
      <c r="AR10" s="19"/>
      <c r="AS10" s="19"/>
      <c r="AT10" s="19"/>
      <c r="AU10" s="19"/>
      <c r="AV10" s="19"/>
      <c r="AW10" s="19"/>
      <c r="AX10" s="19"/>
      <c r="AY10" s="19"/>
      <c r="AZ10" s="19"/>
      <c r="BA10" s="19"/>
      <c r="BB10" s="19"/>
      <c r="BC10" s="19"/>
      <c r="BD10" s="19"/>
      <c r="BE10" s="19"/>
      <c r="BF10" s="19"/>
      <c r="BG10" s="19"/>
      <c r="BH10" s="19"/>
      <c r="BI10" s="19"/>
      <c r="BJ10" s="19"/>
      <c r="BK10" s="19"/>
      <c r="BL10" s="19"/>
      <c r="BM10" s="19"/>
      <c r="BN10" s="19"/>
      <c r="BO10" s="19"/>
      <c r="BP10" s="19"/>
      <c r="BQ10" s="19"/>
      <c r="BR10" s="19"/>
      <c r="BS10" s="19"/>
      <c r="BT10" s="19"/>
      <c r="BU10" s="19"/>
      <c r="BV10" s="19"/>
      <c r="BW10" s="19"/>
      <c r="BX10" s="19"/>
      <c r="BY10" s="19"/>
      <c r="BZ10" s="19"/>
      <c r="CA10" s="19"/>
      <c r="CB10" s="19"/>
      <c r="CC10" s="19"/>
      <c r="CD10" s="19"/>
      <c r="CE10" s="19"/>
      <c r="CF10" s="19"/>
      <c r="CG10" s="19"/>
      <c r="CH10" s="19"/>
      <c r="CI10" s="19"/>
      <c r="CJ10" s="19"/>
      <c r="CK10" s="19"/>
      <c r="CL10" s="19"/>
      <c r="CM10" s="19"/>
      <c r="CN10" s="19"/>
      <c r="CO10" s="19"/>
      <c r="CP10" s="19"/>
      <c r="CQ10" s="19"/>
      <c r="CR10" s="19"/>
      <c r="CS10" s="19"/>
      <c r="CT10" s="19"/>
      <c r="CU10" s="19"/>
      <c r="CV10" s="19"/>
      <c r="CW10" s="19"/>
      <c r="CX10" s="19"/>
      <c r="CY10" s="19"/>
      <c r="CZ10" s="19"/>
      <c r="DA10" s="19"/>
      <c r="DB10" s="19"/>
      <c r="DC10" s="19"/>
      <c r="DD10" s="19"/>
      <c r="DE10" s="19"/>
      <c r="DF10" s="19"/>
      <c r="DG10" s="19"/>
      <c r="DH10" s="19"/>
      <c r="DI10" s="19"/>
      <c r="DJ10" s="19"/>
      <c r="DK10" s="19"/>
      <c r="DL10" s="19"/>
      <c r="DM10" s="19"/>
      <c r="DN10" s="19"/>
      <c r="DO10" s="19"/>
      <c r="DP10" s="19"/>
      <c r="DQ10" s="19"/>
      <c r="DR10" s="19"/>
      <c r="DS10" s="19"/>
      <c r="DT10" s="19"/>
      <c r="DU10" s="19"/>
      <c r="DV10" s="19"/>
      <c r="DW10" s="19"/>
      <c r="DX10" s="19"/>
      <c r="DY10" s="19"/>
      <c r="DZ10" s="19"/>
      <c r="EA10" s="19"/>
      <c r="EB10" s="19"/>
      <c r="EC10" s="19"/>
      <c r="ED10" s="19"/>
      <c r="EE10" s="19"/>
      <c r="EF10" s="19"/>
      <c r="EG10" s="19"/>
      <c r="EH10" s="19"/>
      <c r="EI10" s="19"/>
      <c r="EJ10" s="19"/>
      <c r="EK10" s="19"/>
      <c r="EL10" s="19"/>
      <c r="EM10" s="19"/>
      <c r="EN10" s="19"/>
      <c r="EO10" s="19"/>
      <c r="EP10" s="19"/>
      <c r="EQ10" s="19"/>
      <c r="ER10" s="19"/>
      <c r="ES10" s="19"/>
      <c r="ET10" s="19"/>
      <c r="EU10" s="19"/>
      <c r="EV10" s="19"/>
      <c r="EW10" s="19"/>
      <c r="EX10" s="19"/>
      <c r="EY10" s="19"/>
      <c r="EZ10" s="19"/>
      <c r="FA10" s="19"/>
      <c r="FB10" s="19"/>
      <c r="FC10" s="19"/>
      <c r="FD10" s="19"/>
      <c r="FE10" s="19"/>
      <c r="FF10" s="19"/>
      <c r="FG10" s="19"/>
      <c r="FH10" s="19"/>
      <c r="FI10" s="19"/>
      <c r="FJ10" s="19"/>
      <c r="FK10" s="19"/>
      <c r="FL10" s="19"/>
      <c r="FM10" s="19"/>
      <c r="FN10" s="19"/>
      <c r="FO10" s="19"/>
      <c r="FP10" s="19"/>
      <c r="FQ10" s="19"/>
      <c r="FR10" s="19"/>
      <c r="FS10" s="19"/>
      <c r="FT10" s="19"/>
      <c r="FU10" s="19"/>
      <c r="FV10" s="19"/>
      <c r="FW10" s="19"/>
      <c r="FX10" s="19"/>
      <c r="FY10" s="19"/>
      <c r="FZ10" s="19"/>
      <c r="GA10" s="19"/>
      <c r="GB10" s="19"/>
      <c r="GC10" s="19"/>
      <c r="GD10" s="19"/>
      <c r="GE10" s="19"/>
      <c r="GF10" s="19"/>
      <c r="GG10" s="19"/>
      <c r="GH10" s="19"/>
      <c r="GI10" s="19"/>
      <c r="GJ10" s="19"/>
      <c r="GK10" s="19"/>
      <c r="GL10" s="19"/>
      <c r="GM10" s="19"/>
      <c r="GN10" s="19"/>
      <c r="GO10" s="19"/>
      <c r="GP10" s="19"/>
      <c r="GQ10" s="19"/>
      <c r="GR10" s="19"/>
      <c r="GS10" s="19"/>
      <c r="GT10" s="19"/>
      <c r="GU10" s="19"/>
      <c r="GV10" s="19"/>
      <c r="GW10" s="19"/>
      <c r="GX10" s="19"/>
      <c r="GY10" s="19"/>
      <c r="GZ10" s="19"/>
      <c r="HA10" s="19"/>
      <c r="HB10" s="19"/>
      <c r="HC10" s="19"/>
      <c r="HD10" s="19"/>
      <c r="HE10" s="19"/>
      <c r="HF10" s="19"/>
      <c r="HG10" s="19"/>
      <c r="HH10" s="19"/>
      <c r="HI10" s="19"/>
      <c r="HJ10" s="19"/>
      <c r="HK10" s="19"/>
      <c r="HL10" s="19"/>
      <c r="HM10" s="19"/>
      <c r="HN10" s="19"/>
      <c r="HO10" s="19"/>
      <c r="HP10" s="19"/>
      <c r="HQ10" s="19"/>
      <c r="HR10" s="19"/>
      <c r="HS10" s="19"/>
      <c r="HT10" s="19"/>
      <c r="HU10" s="19"/>
      <c r="HV10" s="19"/>
      <c r="HW10" s="19"/>
      <c r="HX10" s="19"/>
      <c r="HY10" s="19"/>
      <c r="HZ10" s="19"/>
      <c r="IA10" s="19"/>
      <c r="IB10" s="19"/>
      <c r="IC10" s="19"/>
      <c r="ID10" s="19"/>
      <c r="IE10" s="19"/>
      <c r="IF10" s="19"/>
      <c r="IG10" s="19"/>
      <c r="IH10" s="19"/>
      <c r="II10" s="19"/>
      <c r="IJ10" s="19"/>
      <c r="IK10" s="19"/>
      <c r="IL10" s="19"/>
      <c r="IM10" s="19"/>
      <c r="IN10" s="19"/>
      <c r="IO10" s="19"/>
      <c r="IP10" s="19"/>
      <c r="IQ10" s="19"/>
      <c r="IR10" s="19"/>
      <c r="IS10" s="19"/>
      <c r="IT10" s="19"/>
      <c r="IU10" s="19"/>
      <c r="IV10" s="19"/>
      <c r="IW10" s="19"/>
      <c r="IX10" s="19"/>
      <c r="IY10" s="19"/>
      <c r="IZ10" s="19"/>
      <c r="JA10" s="19"/>
      <c r="JB10" s="19"/>
      <c r="JC10" s="19"/>
      <c r="JD10" s="19"/>
      <c r="JE10" s="19"/>
    </row>
    <row r="11" spans="2:265" x14ac:dyDescent="0.25">
      <c r="C11" s="377"/>
      <c r="D11" s="2026"/>
      <c r="E11" s="2026"/>
      <c r="F11" s="2026"/>
      <c r="G11" s="2026"/>
      <c r="H11" s="2026"/>
      <c r="I11" s="2022" t="s">
        <v>289</v>
      </c>
      <c r="J11" s="2022"/>
      <c r="K11" s="1580">
        <f>K9+K8+K10</f>
        <v>464</v>
      </c>
      <c r="L11" s="1575" t="s">
        <v>96</v>
      </c>
      <c r="M11" s="19"/>
      <c r="N11" s="19"/>
      <c r="O11" s="19"/>
      <c r="P11" s="19"/>
      <c r="Q11" s="19"/>
      <c r="R11" s="19"/>
      <c r="S11" s="19"/>
      <c r="T11" s="19"/>
      <c r="U11" s="19"/>
      <c r="V11" s="215"/>
      <c r="W11" s="19"/>
      <c r="X11" s="19"/>
      <c r="Y11" s="19"/>
      <c r="Z11" s="19"/>
      <c r="AA11" s="19"/>
      <c r="AB11" s="19"/>
      <c r="AC11" s="19"/>
      <c r="AD11" s="19"/>
      <c r="AE11" s="19"/>
      <c r="AF11" s="19"/>
      <c r="AG11" s="19"/>
      <c r="AH11" s="19"/>
      <c r="AI11" s="19"/>
      <c r="AJ11" s="19"/>
      <c r="AK11" s="19"/>
      <c r="AL11" s="19"/>
      <c r="AM11" s="19"/>
      <c r="AN11" s="19"/>
      <c r="AO11" s="19"/>
      <c r="AP11" s="19"/>
      <c r="AQ11" s="19"/>
      <c r="AR11" s="19"/>
      <c r="AS11" s="19"/>
      <c r="AT11" s="19"/>
      <c r="AU11" s="19"/>
      <c r="AV11" s="19"/>
      <c r="AW11" s="19"/>
      <c r="AX11" s="19"/>
      <c r="AY11" s="19"/>
      <c r="AZ11" s="19"/>
      <c r="BA11" s="19"/>
      <c r="BB11" s="19"/>
      <c r="BC11" s="19"/>
      <c r="BD11" s="19"/>
      <c r="BE11" s="19"/>
      <c r="BF11" s="19"/>
      <c r="BG11" s="19"/>
      <c r="BH11" s="19"/>
      <c r="BI11" s="19"/>
      <c r="BJ11" s="19"/>
      <c r="BK11" s="19"/>
      <c r="BL11" s="19"/>
      <c r="BM11" s="19"/>
      <c r="BN11" s="19"/>
      <c r="BO11" s="19"/>
      <c r="BP11" s="19"/>
      <c r="BQ11" s="19"/>
      <c r="BR11" s="19"/>
      <c r="BS11" s="19"/>
      <c r="BT11" s="19"/>
      <c r="BU11" s="19"/>
      <c r="BV11" s="19"/>
      <c r="BW11" s="19"/>
      <c r="BX11" s="19"/>
      <c r="BY11" s="19"/>
      <c r="BZ11" s="19"/>
      <c r="CA11" s="19"/>
      <c r="CB11" s="19"/>
      <c r="CC11" s="19"/>
      <c r="CD11" s="19"/>
      <c r="CE11" s="19"/>
      <c r="CF11" s="19"/>
      <c r="CG11" s="19"/>
      <c r="CH11" s="19"/>
      <c r="CI11" s="19"/>
      <c r="CJ11" s="19"/>
      <c r="CK11" s="19"/>
      <c r="CL11" s="19"/>
      <c r="CM11" s="19"/>
      <c r="CN11" s="19"/>
      <c r="CO11" s="19"/>
      <c r="CP11" s="19"/>
      <c r="CQ11" s="19"/>
      <c r="CR11" s="19"/>
      <c r="CS11" s="19"/>
      <c r="CT11" s="19"/>
      <c r="CU11" s="19"/>
      <c r="CV11" s="19"/>
      <c r="CW11" s="19"/>
      <c r="CX11" s="19"/>
      <c r="CY11" s="19"/>
      <c r="CZ11" s="19"/>
      <c r="DA11" s="19"/>
      <c r="DB11" s="19"/>
      <c r="DC11" s="19"/>
      <c r="DD11" s="19"/>
      <c r="DE11" s="19"/>
      <c r="DF11" s="19"/>
      <c r="DG11" s="19"/>
      <c r="DH11" s="19"/>
      <c r="DI11" s="19"/>
      <c r="DJ11" s="19"/>
      <c r="DK11" s="19"/>
      <c r="DL11" s="19"/>
      <c r="DM11" s="19"/>
      <c r="DN11" s="19"/>
      <c r="DO11" s="19"/>
      <c r="DP11" s="19"/>
      <c r="DQ11" s="19"/>
      <c r="DR11" s="19"/>
      <c r="DS11" s="19"/>
      <c r="DT11" s="19"/>
      <c r="DU11" s="19"/>
      <c r="DV11" s="19"/>
      <c r="DW11" s="19"/>
      <c r="DX11" s="19"/>
      <c r="DY11" s="19"/>
      <c r="DZ11" s="19"/>
      <c r="EA11" s="19"/>
      <c r="EB11" s="19"/>
      <c r="EC11" s="19"/>
      <c r="ED11" s="19"/>
      <c r="EE11" s="19"/>
      <c r="EF11" s="19"/>
      <c r="EG11" s="19"/>
      <c r="EH11" s="19"/>
      <c r="EI11" s="19"/>
      <c r="EJ11" s="19"/>
      <c r="EK11" s="19"/>
      <c r="EL11" s="19"/>
      <c r="EM11" s="19"/>
      <c r="EN11" s="19"/>
      <c r="EO11" s="19"/>
      <c r="EP11" s="19"/>
      <c r="EQ11" s="19"/>
      <c r="ER11" s="19"/>
      <c r="ES11" s="19"/>
      <c r="ET11" s="19"/>
      <c r="EU11" s="19"/>
      <c r="EV11" s="19"/>
      <c r="EW11" s="19"/>
      <c r="EX11" s="19"/>
      <c r="EY11" s="19"/>
      <c r="EZ11" s="19"/>
      <c r="FA11" s="19"/>
      <c r="FB11" s="19"/>
      <c r="FC11" s="19"/>
      <c r="FD11" s="19"/>
      <c r="FE11" s="19"/>
      <c r="FF11" s="19"/>
      <c r="FG11" s="19"/>
      <c r="FH11" s="19"/>
      <c r="FI11" s="19"/>
      <c r="FJ11" s="19"/>
      <c r="FK11" s="19"/>
      <c r="FL11" s="19"/>
      <c r="FM11" s="19"/>
      <c r="FN11" s="19"/>
      <c r="FO11" s="19"/>
      <c r="FP11" s="19"/>
      <c r="FQ11" s="19"/>
      <c r="FR11" s="19"/>
      <c r="FS11" s="19"/>
      <c r="FT11" s="19"/>
      <c r="FU11" s="19"/>
      <c r="FV11" s="19"/>
      <c r="FW11" s="19"/>
      <c r="FX11" s="19"/>
      <c r="FY11" s="19"/>
      <c r="FZ11" s="19"/>
      <c r="GA11" s="19"/>
      <c r="GB11" s="19"/>
      <c r="GC11" s="19"/>
      <c r="GD11" s="19"/>
      <c r="GE11" s="19"/>
      <c r="GF11" s="19"/>
      <c r="GG11" s="19"/>
      <c r="GH11" s="19"/>
      <c r="GI11" s="19"/>
      <c r="GJ11" s="19"/>
      <c r="GK11" s="19"/>
      <c r="GL11" s="19"/>
      <c r="GM11" s="19"/>
      <c r="GN11" s="19"/>
      <c r="GO11" s="19"/>
      <c r="GP11" s="19"/>
      <c r="GQ11" s="19"/>
      <c r="GR11" s="19"/>
      <c r="GS11" s="19"/>
      <c r="GT11" s="19"/>
      <c r="GU11" s="19"/>
      <c r="GV11" s="19"/>
      <c r="GW11" s="19"/>
      <c r="GX11" s="19"/>
      <c r="GY11" s="19"/>
      <c r="GZ11" s="19"/>
      <c r="HA11" s="19"/>
      <c r="HB11" s="19"/>
      <c r="HC11" s="19"/>
      <c r="HD11" s="19"/>
      <c r="HE11" s="19"/>
      <c r="HF11" s="19"/>
      <c r="HG11" s="19"/>
      <c r="HH11" s="19"/>
      <c r="HI11" s="19"/>
      <c r="HJ11" s="19"/>
      <c r="HK11" s="19"/>
      <c r="HL11" s="19"/>
      <c r="HM11" s="19"/>
      <c r="HN11" s="19"/>
      <c r="HO11" s="19"/>
      <c r="HP11" s="19"/>
      <c r="HQ11" s="19"/>
      <c r="HR11" s="19"/>
      <c r="HS11" s="19"/>
      <c r="HT11" s="19"/>
      <c r="HU11" s="19"/>
      <c r="HV11" s="19"/>
      <c r="HW11" s="19"/>
      <c r="HX11" s="19"/>
      <c r="HY11" s="19"/>
      <c r="HZ11" s="19"/>
      <c r="IA11" s="19"/>
      <c r="IB11" s="19"/>
      <c r="IC11" s="19"/>
      <c r="ID11" s="19"/>
      <c r="IE11" s="19"/>
      <c r="IF11" s="19"/>
      <c r="IG11" s="19"/>
      <c r="IH11" s="19"/>
      <c r="II11" s="19"/>
      <c r="IJ11" s="19"/>
      <c r="IK11" s="19"/>
      <c r="IL11" s="19"/>
      <c r="IM11" s="19"/>
      <c r="IN11" s="19"/>
      <c r="IO11" s="19"/>
      <c r="IP11" s="19"/>
      <c r="IQ11" s="19"/>
      <c r="IR11" s="19"/>
      <c r="IS11" s="19"/>
      <c r="IT11" s="19"/>
      <c r="IU11" s="19"/>
      <c r="IV11" s="19"/>
      <c r="IW11" s="19"/>
      <c r="IX11" s="19"/>
      <c r="IY11" s="19"/>
      <c r="IZ11" s="19"/>
      <c r="JA11" s="19"/>
      <c r="JB11" s="19"/>
      <c r="JC11" s="19"/>
      <c r="JD11" s="19"/>
      <c r="JE11" s="19"/>
    </row>
    <row r="12" spans="2:265" ht="12" customHeight="1" x14ac:dyDescent="0.25">
      <c r="C12" s="377"/>
      <c r="D12" s="2026"/>
      <c r="E12" s="2026"/>
      <c r="F12" s="2026"/>
      <c r="G12" s="2026"/>
      <c r="H12" s="2026"/>
      <c r="I12" s="2022" t="s">
        <v>290</v>
      </c>
      <c r="J12" s="2022"/>
      <c r="K12" s="1581">
        <f>Hoja1!C12</f>
        <v>44671</v>
      </c>
      <c r="L12" s="1577"/>
      <c r="M12" s="19"/>
      <c r="N12" s="19"/>
      <c r="O12" s="19"/>
      <c r="P12" s="19"/>
      <c r="Q12" s="19"/>
      <c r="R12" s="19"/>
      <c r="S12" s="19"/>
      <c r="T12" s="19"/>
      <c r="U12" s="19"/>
      <c r="V12" s="215"/>
      <c r="W12" s="19"/>
      <c r="X12" s="19"/>
      <c r="Y12" s="19"/>
      <c r="Z12" s="19"/>
      <c r="AA12" s="19"/>
      <c r="AB12" s="19"/>
      <c r="AC12" s="19"/>
      <c r="AD12" s="19"/>
      <c r="AE12" s="19"/>
      <c r="AF12" s="19"/>
      <c r="AG12" s="19"/>
      <c r="AH12" s="19"/>
      <c r="AI12" s="19"/>
      <c r="AJ12" s="19"/>
      <c r="AK12" s="19"/>
      <c r="AL12" s="19"/>
      <c r="AM12" s="19"/>
      <c r="AN12" s="19"/>
      <c r="AO12" s="19"/>
      <c r="AP12" s="19"/>
      <c r="AQ12" s="19"/>
      <c r="AR12" s="19"/>
      <c r="AS12" s="19"/>
      <c r="AT12" s="19"/>
      <c r="AU12" s="19"/>
      <c r="AV12" s="19"/>
      <c r="AW12" s="19"/>
      <c r="AX12" s="19"/>
      <c r="AY12" s="19"/>
      <c r="AZ12" s="19"/>
      <c r="BA12" s="19"/>
      <c r="BB12" s="19"/>
      <c r="BC12" s="19"/>
      <c r="BD12" s="19"/>
      <c r="BE12" s="19"/>
      <c r="BF12" s="19"/>
      <c r="BG12" s="19"/>
      <c r="BH12" s="19"/>
      <c r="BI12" s="19"/>
      <c r="BJ12" s="19"/>
      <c r="BK12" s="19"/>
      <c r="BL12" s="19"/>
      <c r="BM12" s="19"/>
      <c r="BN12" s="19"/>
      <c r="BO12" s="19"/>
      <c r="BP12" s="19"/>
      <c r="BQ12" s="19"/>
      <c r="BR12" s="19"/>
      <c r="BS12" s="19"/>
      <c r="BT12" s="19"/>
      <c r="BU12" s="19"/>
      <c r="BV12" s="19"/>
      <c r="BW12" s="19"/>
      <c r="BX12" s="19"/>
      <c r="BY12" s="19"/>
      <c r="BZ12" s="19"/>
      <c r="CA12" s="19"/>
      <c r="CB12" s="19"/>
      <c r="CC12" s="19"/>
      <c r="CD12" s="19"/>
      <c r="CE12" s="19"/>
      <c r="CF12" s="19"/>
      <c r="CG12" s="19"/>
      <c r="CH12" s="19"/>
      <c r="CI12" s="19"/>
      <c r="CJ12" s="19"/>
      <c r="CK12" s="19"/>
      <c r="CL12" s="19"/>
      <c r="CM12" s="19"/>
      <c r="CN12" s="19"/>
      <c r="CO12" s="19"/>
      <c r="CP12" s="19"/>
      <c r="CQ12" s="19"/>
      <c r="CR12" s="19"/>
      <c r="CS12" s="19"/>
      <c r="CT12" s="19"/>
      <c r="CU12" s="19"/>
      <c r="CV12" s="19"/>
      <c r="CW12" s="19"/>
      <c r="CX12" s="19"/>
      <c r="CY12" s="19"/>
      <c r="CZ12" s="19"/>
      <c r="DA12" s="19"/>
      <c r="DB12" s="19"/>
      <c r="DC12" s="19"/>
      <c r="DD12" s="19"/>
      <c r="DE12" s="19"/>
      <c r="DF12" s="19"/>
      <c r="DG12" s="19"/>
      <c r="DH12" s="19"/>
      <c r="DI12" s="19"/>
      <c r="DJ12" s="19"/>
      <c r="DK12" s="19"/>
      <c r="DL12" s="19"/>
      <c r="DM12" s="19"/>
      <c r="DN12" s="19"/>
      <c r="DO12" s="19"/>
      <c r="DP12" s="19"/>
      <c r="DQ12" s="19"/>
      <c r="DR12" s="19"/>
      <c r="DS12" s="19"/>
      <c r="DT12" s="19"/>
      <c r="DU12" s="19"/>
      <c r="DV12" s="19"/>
      <c r="DW12" s="19"/>
      <c r="DX12" s="19"/>
      <c r="DY12" s="19"/>
      <c r="DZ12" s="19"/>
      <c r="EA12" s="19"/>
      <c r="EB12" s="19"/>
      <c r="EC12" s="19"/>
      <c r="ED12" s="19"/>
      <c r="EE12" s="19"/>
      <c r="EF12" s="19"/>
      <c r="EG12" s="19"/>
      <c r="EH12" s="19"/>
      <c r="EI12" s="19"/>
      <c r="EJ12" s="19"/>
      <c r="EK12" s="19"/>
      <c r="EL12" s="19"/>
      <c r="EM12" s="19"/>
      <c r="EN12" s="19"/>
      <c r="EO12" s="19"/>
      <c r="EP12" s="19"/>
      <c r="EQ12" s="19"/>
      <c r="ER12" s="19"/>
      <c r="ES12" s="19"/>
      <c r="ET12" s="19"/>
      <c r="EU12" s="19"/>
      <c r="EV12" s="19"/>
      <c r="EW12" s="19"/>
      <c r="EX12" s="19"/>
      <c r="EY12" s="19"/>
      <c r="EZ12" s="19"/>
      <c r="FA12" s="19"/>
      <c r="FB12" s="19"/>
      <c r="FC12" s="19"/>
      <c r="FD12" s="19"/>
      <c r="FE12" s="19"/>
      <c r="FF12" s="19"/>
      <c r="FG12" s="19"/>
      <c r="FH12" s="19"/>
      <c r="FI12" s="19"/>
      <c r="FJ12" s="19"/>
      <c r="FK12" s="19"/>
      <c r="FL12" s="19"/>
      <c r="FM12" s="19"/>
      <c r="FN12" s="19"/>
      <c r="FO12" s="19"/>
      <c r="FP12" s="19"/>
      <c r="FQ12" s="19"/>
      <c r="FR12" s="19"/>
      <c r="FS12" s="19"/>
      <c r="FT12" s="19"/>
      <c r="FU12" s="19"/>
      <c r="FV12" s="19"/>
      <c r="FW12" s="19"/>
      <c r="FX12" s="19"/>
      <c r="FY12" s="19"/>
      <c r="FZ12" s="19"/>
      <c r="GA12" s="19"/>
      <c r="GB12" s="19"/>
      <c r="GC12" s="19"/>
      <c r="GD12" s="19"/>
      <c r="GE12" s="19"/>
      <c r="GF12" s="19"/>
      <c r="GG12" s="19"/>
      <c r="GH12" s="19"/>
      <c r="GI12" s="19"/>
      <c r="GJ12" s="19"/>
      <c r="GK12" s="19"/>
      <c r="GL12" s="19"/>
      <c r="GM12" s="19"/>
      <c r="GN12" s="19"/>
      <c r="GO12" s="19"/>
      <c r="GP12" s="19"/>
      <c r="GQ12" s="19"/>
      <c r="GR12" s="19"/>
      <c r="GS12" s="19"/>
      <c r="GT12" s="19"/>
      <c r="GU12" s="19"/>
      <c r="GV12" s="19"/>
      <c r="GW12" s="19"/>
      <c r="GX12" s="19"/>
      <c r="GY12" s="19"/>
      <c r="GZ12" s="19"/>
      <c r="HA12" s="19"/>
      <c r="HB12" s="19"/>
      <c r="HC12" s="19"/>
      <c r="HD12" s="19"/>
      <c r="HE12" s="19"/>
      <c r="HF12" s="19"/>
      <c r="HG12" s="19"/>
      <c r="HH12" s="19"/>
      <c r="HI12" s="19"/>
      <c r="HJ12" s="19"/>
      <c r="HK12" s="19"/>
      <c r="HL12" s="19"/>
      <c r="HM12" s="19"/>
      <c r="HN12" s="19"/>
      <c r="HO12" s="19"/>
      <c r="HP12" s="19"/>
      <c r="HQ12" s="19"/>
      <c r="HR12" s="19"/>
      <c r="HS12" s="19"/>
      <c r="HT12" s="19"/>
      <c r="HU12" s="19"/>
      <c r="HV12" s="19"/>
      <c r="HW12" s="19"/>
      <c r="HX12" s="19"/>
      <c r="HY12" s="19"/>
      <c r="HZ12" s="19"/>
      <c r="IA12" s="19"/>
      <c r="IB12" s="19"/>
      <c r="IC12" s="19"/>
      <c r="ID12" s="19"/>
      <c r="IE12" s="19"/>
      <c r="IF12" s="19"/>
      <c r="IG12" s="19"/>
      <c r="IH12" s="19"/>
      <c r="II12" s="19"/>
      <c r="IJ12" s="19"/>
      <c r="IK12" s="19"/>
      <c r="IL12" s="19"/>
      <c r="IM12" s="19"/>
      <c r="IN12" s="19"/>
      <c r="IO12" s="19"/>
      <c r="IP12" s="19"/>
      <c r="IQ12" s="19"/>
      <c r="IR12" s="19"/>
      <c r="IS12" s="19"/>
      <c r="IT12" s="19"/>
      <c r="IU12" s="19"/>
      <c r="IV12" s="19"/>
      <c r="IW12" s="19"/>
      <c r="IX12" s="19"/>
      <c r="IY12" s="19"/>
      <c r="IZ12" s="19"/>
      <c r="JA12" s="19"/>
      <c r="JB12" s="19"/>
      <c r="JC12" s="19"/>
      <c r="JD12" s="19"/>
      <c r="JE12" s="19"/>
    </row>
    <row r="13" spans="2:265" ht="15" customHeight="1" x14ac:dyDescent="0.25">
      <c r="B13" s="19" t="s">
        <v>264</v>
      </c>
      <c r="C13" s="377" t="s">
        <v>7</v>
      </c>
      <c r="D13" s="2026" t="s">
        <v>1377</v>
      </c>
      <c r="E13" s="2026"/>
      <c r="F13" s="101"/>
      <c r="G13" s="101"/>
      <c r="H13" s="101"/>
      <c r="I13" s="2022" t="s">
        <v>292</v>
      </c>
      <c r="J13" s="2022"/>
      <c r="K13" s="1582">
        <f>K11+K12-1</f>
        <v>45134</v>
      </c>
      <c r="L13" s="1577"/>
      <c r="M13" s="19"/>
      <c r="N13" s="19"/>
      <c r="O13" s="19"/>
      <c r="P13" s="19"/>
      <c r="Q13" s="19"/>
      <c r="R13" s="19"/>
      <c r="S13" s="19"/>
      <c r="T13" s="19"/>
      <c r="U13" s="19"/>
      <c r="V13" s="215"/>
      <c r="W13" s="19"/>
      <c r="X13" s="19"/>
      <c r="Y13" s="19"/>
      <c r="Z13" s="19"/>
      <c r="AA13" s="19"/>
      <c r="AB13" s="19"/>
      <c r="AC13" s="19"/>
      <c r="AD13" s="19"/>
      <c r="AE13" s="19"/>
      <c r="AF13" s="19"/>
      <c r="AG13" s="19"/>
      <c r="AH13" s="19"/>
      <c r="AI13" s="19"/>
      <c r="AJ13" s="19"/>
      <c r="AK13" s="19"/>
      <c r="AL13" s="19"/>
      <c r="AM13" s="19"/>
      <c r="AN13" s="19"/>
      <c r="AO13" s="19"/>
      <c r="AP13" s="19"/>
      <c r="AQ13" s="19"/>
      <c r="AR13" s="19"/>
      <c r="AS13" s="19"/>
      <c r="AT13" s="19"/>
      <c r="AU13" s="19"/>
      <c r="AV13" s="19"/>
      <c r="AW13" s="19"/>
      <c r="AX13" s="19"/>
      <c r="AY13" s="19"/>
      <c r="AZ13" s="19"/>
      <c r="BA13" s="19"/>
      <c r="BB13" s="19"/>
      <c r="BC13" s="19"/>
      <c r="BD13" s="19"/>
      <c r="BE13" s="19"/>
      <c r="BF13" s="19"/>
      <c r="BG13" s="19"/>
      <c r="BH13" s="19"/>
      <c r="BI13" s="19"/>
      <c r="BJ13" s="19"/>
      <c r="BK13" s="19"/>
      <c r="BL13" s="19"/>
      <c r="BM13" s="19"/>
      <c r="BN13" s="19"/>
      <c r="BO13" s="19"/>
      <c r="BP13" s="19"/>
      <c r="BQ13" s="19"/>
      <c r="BR13" s="19"/>
      <c r="BS13" s="19"/>
      <c r="BT13" s="19"/>
      <c r="BU13" s="19"/>
      <c r="BV13" s="19"/>
      <c r="BW13" s="19"/>
      <c r="BX13" s="19"/>
      <c r="BY13" s="19"/>
      <c r="BZ13" s="19"/>
      <c r="CA13" s="19"/>
      <c r="CB13" s="19"/>
      <c r="CC13" s="19"/>
      <c r="CD13" s="19"/>
      <c r="CE13" s="19"/>
      <c r="CF13" s="19"/>
      <c r="CG13" s="19"/>
      <c r="CH13" s="19"/>
      <c r="CI13" s="19"/>
      <c r="CJ13" s="19"/>
      <c r="CK13" s="19"/>
      <c r="CL13" s="19"/>
      <c r="CM13" s="19"/>
      <c r="CN13" s="19"/>
      <c r="CO13" s="19"/>
      <c r="CP13" s="19"/>
      <c r="CQ13" s="19"/>
      <c r="CR13" s="19"/>
      <c r="CS13" s="19"/>
      <c r="CT13" s="19"/>
      <c r="CU13" s="19"/>
      <c r="CV13" s="19"/>
      <c r="CW13" s="19"/>
      <c r="CX13" s="19"/>
      <c r="CY13" s="19"/>
      <c r="CZ13" s="19"/>
      <c r="DA13" s="19"/>
      <c r="DB13" s="19"/>
      <c r="DC13" s="19"/>
      <c r="DD13" s="19"/>
      <c r="DE13" s="19"/>
      <c r="DF13" s="19"/>
      <c r="DG13" s="19"/>
      <c r="DH13" s="19"/>
      <c r="DI13" s="19"/>
      <c r="DJ13" s="19"/>
      <c r="DK13" s="19"/>
      <c r="DL13" s="19"/>
      <c r="DM13" s="19"/>
      <c r="DN13" s="19"/>
      <c r="DO13" s="19"/>
      <c r="DP13" s="19"/>
      <c r="DQ13" s="19"/>
      <c r="DR13" s="19"/>
      <c r="DS13" s="19"/>
      <c r="DT13" s="19"/>
      <c r="DU13" s="19"/>
      <c r="DV13" s="19"/>
      <c r="DW13" s="19"/>
      <c r="DX13" s="19"/>
      <c r="DY13" s="19"/>
      <c r="DZ13" s="19"/>
      <c r="EA13" s="19"/>
      <c r="EB13" s="19"/>
      <c r="EC13" s="19"/>
      <c r="ED13" s="19"/>
      <c r="EE13" s="19"/>
      <c r="EF13" s="19"/>
      <c r="EG13" s="19"/>
      <c r="EH13" s="19"/>
      <c r="EI13" s="19"/>
      <c r="EJ13" s="19"/>
      <c r="EK13" s="19"/>
      <c r="EL13" s="19"/>
      <c r="EM13" s="19"/>
      <c r="EN13" s="19"/>
      <c r="EO13" s="19"/>
      <c r="EP13" s="19"/>
      <c r="EQ13" s="19"/>
      <c r="ER13" s="19"/>
      <c r="ES13" s="19"/>
      <c r="ET13" s="19"/>
      <c r="EU13" s="19"/>
      <c r="EV13" s="19"/>
      <c r="EW13" s="19"/>
      <c r="EX13" s="19"/>
      <c r="EY13" s="19"/>
      <c r="EZ13" s="19"/>
      <c r="FA13" s="19"/>
      <c r="FB13" s="19"/>
      <c r="FC13" s="19"/>
      <c r="FD13" s="19"/>
      <c r="FE13" s="19"/>
      <c r="FF13" s="19"/>
      <c r="FG13" s="19"/>
      <c r="FH13" s="19"/>
      <c r="FI13" s="19"/>
      <c r="FJ13" s="19"/>
      <c r="FK13" s="19"/>
      <c r="FL13" s="19"/>
      <c r="FM13" s="19"/>
      <c r="FN13" s="19"/>
      <c r="FO13" s="19"/>
      <c r="FP13" s="19"/>
      <c r="FQ13" s="19"/>
      <c r="FR13" s="19"/>
      <c r="FS13" s="19"/>
      <c r="FT13" s="19"/>
      <c r="FU13" s="19"/>
      <c r="FV13" s="19"/>
      <c r="FW13" s="19"/>
      <c r="FX13" s="19"/>
      <c r="FY13" s="19"/>
      <c r="FZ13" s="19"/>
      <c r="GA13" s="19"/>
      <c r="GB13" s="19"/>
      <c r="GC13" s="19"/>
      <c r="GD13" s="19"/>
      <c r="GE13" s="19"/>
      <c r="GF13" s="19"/>
      <c r="GG13" s="19"/>
      <c r="GH13" s="19"/>
      <c r="GI13" s="19"/>
      <c r="GJ13" s="19"/>
      <c r="GK13" s="19"/>
      <c r="GL13" s="19"/>
      <c r="GM13" s="19"/>
      <c r="GN13" s="19"/>
      <c r="GO13" s="19"/>
      <c r="GP13" s="19"/>
      <c r="GQ13" s="19"/>
      <c r="GR13" s="19"/>
      <c r="GS13" s="19"/>
      <c r="GT13" s="19"/>
      <c r="GU13" s="19"/>
      <c r="GV13" s="19"/>
      <c r="GW13" s="19"/>
      <c r="GX13" s="19"/>
      <c r="GY13" s="19"/>
      <c r="GZ13" s="19"/>
      <c r="HA13" s="19"/>
      <c r="HB13" s="19"/>
      <c r="HC13" s="19"/>
      <c r="HD13" s="19"/>
      <c r="HE13" s="19"/>
      <c r="HF13" s="19"/>
      <c r="HG13" s="19"/>
      <c r="HH13" s="19"/>
      <c r="HI13" s="19"/>
      <c r="HJ13" s="19"/>
      <c r="HK13" s="19"/>
      <c r="HL13" s="19"/>
      <c r="HM13" s="19"/>
      <c r="HN13" s="19"/>
      <c r="HO13" s="19"/>
      <c r="HP13" s="19"/>
      <c r="HQ13" s="19"/>
      <c r="HR13" s="19"/>
      <c r="HS13" s="19"/>
      <c r="HT13" s="19"/>
      <c r="HU13" s="19"/>
      <c r="HV13" s="19"/>
      <c r="HW13" s="19"/>
      <c r="HX13" s="19"/>
      <c r="HY13" s="19"/>
      <c r="HZ13" s="19"/>
      <c r="IA13" s="19"/>
      <c r="IB13" s="19"/>
      <c r="IC13" s="19"/>
      <c r="ID13" s="19"/>
      <c r="IE13" s="19"/>
      <c r="IF13" s="19"/>
      <c r="IG13" s="19"/>
      <c r="IH13" s="19"/>
      <c r="II13" s="19"/>
      <c r="IJ13" s="19"/>
      <c r="IK13" s="19"/>
      <c r="IL13" s="19"/>
      <c r="IM13" s="19"/>
      <c r="IN13" s="19"/>
      <c r="IO13" s="19"/>
      <c r="IP13" s="19"/>
      <c r="IQ13" s="19"/>
      <c r="IR13" s="19"/>
      <c r="IS13" s="19"/>
      <c r="IT13" s="19"/>
      <c r="IU13" s="19"/>
      <c r="IV13" s="19"/>
      <c r="IW13" s="19"/>
      <c r="IX13" s="19"/>
      <c r="IY13" s="19"/>
      <c r="IZ13" s="19"/>
      <c r="JA13" s="19"/>
      <c r="JB13" s="19"/>
      <c r="JC13" s="19"/>
      <c r="JD13" s="19"/>
      <c r="JE13" s="19"/>
    </row>
    <row r="14" spans="2:265" x14ac:dyDescent="0.25">
      <c r="B14" s="19" t="s">
        <v>1488</v>
      </c>
      <c r="C14" s="377" t="s">
        <v>7</v>
      </c>
      <c r="D14" s="1583" t="str">
        <f>Hoja1!C7</f>
        <v>SIMA PERU S.A.</v>
      </c>
      <c r="E14" s="19"/>
      <c r="I14" s="2022" t="s">
        <v>291</v>
      </c>
      <c r="J14" s="2022"/>
      <c r="K14" s="1581">
        <f>K13</f>
        <v>45134</v>
      </c>
      <c r="L14" s="1577"/>
      <c r="M14" s="19"/>
      <c r="N14" s="19"/>
      <c r="O14" s="19"/>
      <c r="P14" s="19"/>
      <c r="Q14" s="19"/>
      <c r="R14" s="19"/>
      <c r="S14" s="19"/>
      <c r="T14" s="19"/>
      <c r="U14" s="19"/>
      <c r="V14" s="215"/>
      <c r="W14" s="19"/>
      <c r="X14" s="19"/>
      <c r="Y14" s="19"/>
      <c r="Z14" s="19"/>
      <c r="AA14" s="19"/>
      <c r="AB14" s="19"/>
      <c r="AC14" s="19"/>
      <c r="AD14" s="19"/>
      <c r="AE14" s="19"/>
      <c r="AF14" s="19"/>
      <c r="AG14" s="19"/>
      <c r="AH14" s="19"/>
      <c r="AI14" s="19"/>
      <c r="AJ14" s="19"/>
      <c r="AK14" s="19"/>
      <c r="AL14" s="19"/>
      <c r="AM14" s="19"/>
      <c r="AN14" s="19"/>
      <c r="AO14" s="19"/>
      <c r="AP14" s="19"/>
      <c r="AQ14" s="19"/>
      <c r="AR14" s="19"/>
      <c r="AS14" s="19"/>
      <c r="AT14" s="19"/>
      <c r="AU14" s="19"/>
      <c r="AV14" s="19"/>
      <c r="AW14" s="19"/>
      <c r="AX14" s="19"/>
      <c r="AY14" s="19"/>
      <c r="AZ14" s="19"/>
      <c r="BA14" s="19"/>
      <c r="BB14" s="19"/>
      <c r="BC14" s="19"/>
      <c r="BD14" s="19"/>
      <c r="BE14" s="19"/>
      <c r="BF14" s="19"/>
      <c r="BG14" s="19"/>
      <c r="BH14" s="19"/>
      <c r="BI14" s="19"/>
      <c r="BJ14" s="19"/>
      <c r="BK14" s="19"/>
      <c r="BL14" s="19"/>
      <c r="BM14" s="19"/>
      <c r="BN14" s="19"/>
      <c r="BO14" s="19"/>
      <c r="BP14" s="19"/>
      <c r="BQ14" s="19"/>
      <c r="BR14" s="19"/>
      <c r="BS14" s="19"/>
      <c r="BT14" s="19"/>
      <c r="BU14" s="19"/>
      <c r="BV14" s="19"/>
      <c r="BW14" s="19"/>
      <c r="BX14" s="19"/>
      <c r="BY14" s="19"/>
      <c r="BZ14" s="19"/>
      <c r="CA14" s="19"/>
      <c r="CB14" s="19"/>
      <c r="CC14" s="19"/>
      <c r="CD14" s="19"/>
      <c r="CE14" s="19"/>
      <c r="CF14" s="19"/>
      <c r="CG14" s="19"/>
      <c r="CH14" s="19"/>
      <c r="CI14" s="19"/>
      <c r="CJ14" s="19"/>
      <c r="CK14" s="19"/>
      <c r="CL14" s="19"/>
      <c r="CM14" s="19"/>
      <c r="CN14" s="19"/>
      <c r="CO14" s="19"/>
      <c r="CP14" s="19"/>
      <c r="CQ14" s="19"/>
      <c r="CR14" s="19"/>
      <c r="CS14" s="19"/>
      <c r="CT14" s="19"/>
      <c r="CU14" s="19"/>
      <c r="CV14" s="19"/>
      <c r="CW14" s="19"/>
      <c r="CX14" s="19"/>
      <c r="CY14" s="19"/>
      <c r="CZ14" s="19"/>
      <c r="DA14" s="19"/>
      <c r="DB14" s="19"/>
      <c r="DC14" s="19"/>
      <c r="DD14" s="19"/>
      <c r="DE14" s="19"/>
      <c r="DF14" s="19"/>
      <c r="DG14" s="19"/>
      <c r="DH14" s="19"/>
      <c r="DI14" s="19"/>
      <c r="DJ14" s="19"/>
      <c r="DK14" s="19"/>
      <c r="DL14" s="19"/>
      <c r="DM14" s="19"/>
      <c r="DN14" s="19"/>
      <c r="DO14" s="19"/>
      <c r="DP14" s="19"/>
      <c r="DQ14" s="19"/>
      <c r="DR14" s="19"/>
      <c r="DS14" s="19"/>
      <c r="DT14" s="19"/>
      <c r="DU14" s="19"/>
      <c r="DV14" s="19"/>
      <c r="DW14" s="19"/>
      <c r="DX14" s="19"/>
      <c r="DY14" s="19"/>
      <c r="DZ14" s="19"/>
      <c r="EA14" s="19"/>
      <c r="EB14" s="19"/>
      <c r="EC14" s="19"/>
      <c r="ED14" s="19"/>
      <c r="EE14" s="19"/>
      <c r="EF14" s="19"/>
      <c r="EG14" s="19"/>
      <c r="EH14" s="19"/>
      <c r="EI14" s="19"/>
      <c r="EJ14" s="19"/>
      <c r="EK14" s="19"/>
      <c r="EL14" s="19"/>
      <c r="EM14" s="19"/>
      <c r="EN14" s="19"/>
      <c r="EO14" s="19"/>
      <c r="EP14" s="19"/>
      <c r="EQ14" s="19"/>
      <c r="ER14" s="19"/>
      <c r="ES14" s="19"/>
      <c r="ET14" s="19"/>
      <c r="EU14" s="19"/>
      <c r="EV14" s="19"/>
      <c r="EW14" s="19"/>
      <c r="EX14" s="19"/>
      <c r="EY14" s="19"/>
      <c r="EZ14" s="19"/>
      <c r="FA14" s="19"/>
      <c r="FB14" s="19"/>
      <c r="FC14" s="19"/>
      <c r="FD14" s="19"/>
      <c r="FE14" s="19"/>
      <c r="FF14" s="19"/>
      <c r="FG14" s="19"/>
      <c r="FH14" s="19"/>
      <c r="FI14" s="19"/>
      <c r="FJ14" s="19"/>
      <c r="FK14" s="19"/>
      <c r="FL14" s="19"/>
      <c r="FM14" s="19"/>
      <c r="FN14" s="19"/>
      <c r="FO14" s="19"/>
      <c r="FP14" s="19"/>
      <c r="FQ14" s="19"/>
      <c r="FR14" s="19"/>
      <c r="FS14" s="19"/>
      <c r="FT14" s="19"/>
      <c r="FU14" s="19"/>
      <c r="FV14" s="19"/>
      <c r="FW14" s="19"/>
      <c r="FX14" s="19"/>
      <c r="FY14" s="19"/>
      <c r="FZ14" s="19"/>
      <c r="GA14" s="19"/>
      <c r="GB14" s="19"/>
      <c r="GC14" s="19"/>
      <c r="GD14" s="19"/>
      <c r="GE14" s="19"/>
      <c r="GF14" s="19"/>
      <c r="GG14" s="19"/>
      <c r="GH14" s="19"/>
      <c r="GI14" s="19"/>
      <c r="GJ14" s="19"/>
      <c r="GK14" s="19"/>
      <c r="GL14" s="19"/>
      <c r="GM14" s="19"/>
      <c r="GN14" s="19"/>
      <c r="GO14" s="19"/>
      <c r="GP14" s="19"/>
      <c r="GQ14" s="19"/>
      <c r="GR14" s="19"/>
      <c r="GS14" s="19"/>
      <c r="GT14" s="19"/>
      <c r="GU14" s="19"/>
      <c r="GV14" s="19"/>
      <c r="GW14" s="19"/>
      <c r="GX14" s="19"/>
      <c r="GY14" s="19"/>
      <c r="GZ14" s="19"/>
      <c r="HA14" s="19"/>
      <c r="HB14" s="19"/>
      <c r="HC14" s="19"/>
      <c r="HD14" s="19"/>
      <c r="HE14" s="19"/>
      <c r="HF14" s="19"/>
      <c r="HG14" s="19"/>
      <c r="HH14" s="19"/>
      <c r="HI14" s="19"/>
      <c r="HJ14" s="19"/>
      <c r="HK14" s="19"/>
      <c r="HL14" s="19"/>
      <c r="HM14" s="19"/>
      <c r="HN14" s="19"/>
      <c r="HO14" s="19"/>
      <c r="HP14" s="19"/>
      <c r="HQ14" s="19"/>
      <c r="HR14" s="19"/>
      <c r="HS14" s="19"/>
      <c r="HT14" s="19"/>
      <c r="HU14" s="19"/>
      <c r="HV14" s="19"/>
      <c r="HW14" s="19"/>
      <c r="HX14" s="19"/>
      <c r="HY14" s="19"/>
      <c r="HZ14" s="19"/>
      <c r="IA14" s="19"/>
      <c r="IB14" s="19"/>
      <c r="IC14" s="19"/>
      <c r="ID14" s="19"/>
      <c r="IE14" s="19"/>
      <c r="IF14" s="19"/>
      <c r="IG14" s="19"/>
      <c r="IH14" s="19"/>
      <c r="II14" s="19"/>
      <c r="IJ14" s="19"/>
      <c r="IK14" s="19"/>
      <c r="IL14" s="19"/>
      <c r="IM14" s="19"/>
      <c r="IN14" s="19"/>
      <c r="IO14" s="19"/>
      <c r="IP14" s="19"/>
      <c r="IQ14" s="19"/>
      <c r="IR14" s="19"/>
      <c r="IS14" s="19"/>
      <c r="IT14" s="19"/>
      <c r="IU14" s="19"/>
      <c r="IV14" s="19"/>
      <c r="IW14" s="19"/>
      <c r="IX14" s="19"/>
      <c r="IY14" s="19"/>
      <c r="IZ14" s="19"/>
      <c r="JA14" s="19"/>
      <c r="JB14" s="19"/>
      <c r="JC14" s="19"/>
      <c r="JD14" s="19"/>
      <c r="JE14" s="19"/>
    </row>
    <row r="15" spans="2:265" x14ac:dyDescent="0.25">
      <c r="B15" s="19" t="s">
        <v>265</v>
      </c>
      <c r="C15" s="377" t="s">
        <v>7</v>
      </c>
      <c r="D15" s="1583" t="s">
        <v>1461</v>
      </c>
      <c r="E15" s="19"/>
      <c r="I15" s="2029" t="s">
        <v>287</v>
      </c>
      <c r="J15" s="2029"/>
      <c r="K15" s="1580">
        <v>1</v>
      </c>
      <c r="L15" s="1578"/>
      <c r="M15" s="20"/>
      <c r="N15" s="20"/>
      <c r="O15" s="20"/>
      <c r="P15" s="20"/>
      <c r="Q15" s="20"/>
      <c r="R15" s="20"/>
      <c r="S15" s="20"/>
      <c r="T15" s="20"/>
      <c r="U15" s="20"/>
      <c r="V15" s="216"/>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c r="IZ15" s="20"/>
      <c r="JA15" s="20"/>
      <c r="JB15" s="20"/>
      <c r="JC15" s="20"/>
      <c r="JD15" s="20"/>
      <c r="JE15" s="20"/>
    </row>
    <row r="16" spans="2:265" ht="13.8" thickBot="1" x14ac:dyDescent="0.3">
      <c r="B16" s="20"/>
      <c r="C16" s="20"/>
      <c r="D16" s="20"/>
      <c r="E16" s="20"/>
      <c r="F16" s="420"/>
      <c r="G16" s="356"/>
      <c r="H16" s="356"/>
      <c r="I16" s="356"/>
      <c r="J16" s="20"/>
      <c r="K16" s="20"/>
      <c r="L16" s="20"/>
      <c r="M16" s="20"/>
      <c r="N16" s="20"/>
      <c r="O16" s="20"/>
      <c r="P16" s="20"/>
      <c r="Q16" s="20"/>
      <c r="R16" s="20"/>
      <c r="S16" s="20"/>
      <c r="T16" s="20"/>
      <c r="U16" s="20"/>
      <c r="V16" s="216"/>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c r="IZ16" s="20"/>
      <c r="JA16" s="20"/>
      <c r="JB16" s="20"/>
      <c r="JC16" s="20"/>
      <c r="JD16" s="20"/>
      <c r="JE16" s="20"/>
    </row>
    <row r="17" spans="1:265" s="18" customFormat="1" x14ac:dyDescent="0.25">
      <c r="A17" s="2027" t="s">
        <v>8</v>
      </c>
      <c r="B17" s="2030" t="s">
        <v>128</v>
      </c>
      <c r="C17" s="2031"/>
      <c r="D17" s="2032"/>
      <c r="E17" s="2036" t="s">
        <v>129</v>
      </c>
      <c r="F17" s="2038" t="s">
        <v>130</v>
      </c>
      <c r="G17" s="2038" t="s">
        <v>131</v>
      </c>
      <c r="V17" s="214"/>
    </row>
    <row r="18" spans="1:265" ht="19.5" customHeight="1" thickBot="1" x14ac:dyDescent="0.3">
      <c r="A18" s="2028"/>
      <c r="B18" s="2033"/>
      <c r="C18" s="2034"/>
      <c r="D18" s="2035"/>
      <c r="E18" s="2037"/>
      <c r="F18" s="2039"/>
      <c r="G18" s="2039"/>
      <c r="H18" s="415"/>
      <c r="I18" s="415"/>
      <c r="J18" s="21"/>
      <c r="K18" s="21"/>
      <c r="L18" s="21"/>
      <c r="M18" s="21"/>
      <c r="N18" s="21"/>
      <c r="O18" s="21"/>
      <c r="P18" s="21"/>
      <c r="Q18" s="21"/>
      <c r="R18" s="21"/>
      <c r="S18" s="21"/>
      <c r="T18" s="21"/>
      <c r="U18" s="21"/>
      <c r="V18" s="217"/>
      <c r="W18" s="21"/>
      <c r="X18" s="21"/>
      <c r="Y18" s="21"/>
      <c r="Z18" s="21"/>
      <c r="AA18" s="21"/>
      <c r="AB18" s="21"/>
      <c r="AC18" s="21"/>
      <c r="AD18" s="21"/>
      <c r="AE18" s="21"/>
      <c r="AF18" s="21"/>
      <c r="AG18" s="21"/>
      <c r="AH18" s="21"/>
      <c r="AI18" s="21"/>
      <c r="AJ18" s="21"/>
      <c r="AK18" s="21"/>
      <c r="AL18" s="21"/>
      <c r="AM18" s="21"/>
      <c r="AN18" s="21"/>
      <c r="AO18" s="21"/>
      <c r="AP18" s="21"/>
      <c r="AQ18" s="21"/>
      <c r="AR18" s="21"/>
      <c r="AS18" s="21"/>
      <c r="AT18" s="21"/>
      <c r="AU18" s="21"/>
      <c r="AV18" s="21"/>
      <c r="AW18" s="21"/>
      <c r="AX18" s="21"/>
      <c r="AY18" s="21"/>
      <c r="AZ18" s="21"/>
      <c r="BA18" s="21"/>
      <c r="BB18" s="21"/>
      <c r="BC18" s="21"/>
      <c r="BD18" s="21"/>
      <c r="BE18" s="21"/>
      <c r="BF18" s="21"/>
      <c r="BG18" s="21"/>
      <c r="BH18" s="21"/>
      <c r="BI18" s="21"/>
      <c r="BJ18" s="21"/>
      <c r="BK18" s="21"/>
      <c r="BL18" s="21"/>
      <c r="BM18" s="21"/>
      <c r="BN18" s="21"/>
      <c r="BO18" s="21"/>
      <c r="BP18" s="21"/>
      <c r="BQ18" s="21"/>
      <c r="BR18" s="21"/>
      <c r="BS18" s="21"/>
      <c r="BT18" s="21"/>
      <c r="BU18" s="21"/>
      <c r="BV18" s="21"/>
      <c r="BW18" s="21"/>
      <c r="BX18" s="21"/>
      <c r="BY18" s="21"/>
      <c r="BZ18" s="21"/>
      <c r="CA18" s="21"/>
      <c r="CB18" s="21"/>
      <c r="CC18" s="21"/>
      <c r="CD18" s="21"/>
      <c r="CE18" s="21"/>
      <c r="CF18" s="21"/>
      <c r="CG18" s="21"/>
      <c r="CH18" s="21"/>
      <c r="CI18" s="21"/>
      <c r="CJ18" s="21"/>
      <c r="CK18" s="21"/>
      <c r="CL18" s="21"/>
      <c r="CM18" s="21"/>
      <c r="CN18" s="21"/>
      <c r="CO18" s="21"/>
      <c r="CP18" s="21"/>
      <c r="CQ18" s="21"/>
      <c r="CR18" s="21"/>
      <c r="CS18" s="21"/>
      <c r="CT18" s="21"/>
      <c r="CU18" s="21"/>
      <c r="CV18" s="21"/>
      <c r="CW18" s="21"/>
      <c r="CX18" s="21"/>
      <c r="CY18" s="21"/>
      <c r="CZ18" s="21"/>
      <c r="DA18" s="21"/>
      <c r="DB18" s="21"/>
      <c r="DC18" s="21"/>
      <c r="DD18" s="21"/>
      <c r="DE18" s="21"/>
      <c r="DF18" s="21"/>
      <c r="DG18" s="21"/>
      <c r="DH18" s="21"/>
      <c r="DI18" s="21"/>
      <c r="DJ18" s="21"/>
      <c r="DK18" s="21"/>
      <c r="DL18" s="21"/>
      <c r="DM18" s="21"/>
      <c r="DN18" s="21"/>
      <c r="DO18" s="21"/>
      <c r="DP18" s="21"/>
      <c r="DQ18" s="21"/>
      <c r="DR18" s="21"/>
      <c r="DS18" s="21"/>
      <c r="DT18" s="21"/>
      <c r="DU18" s="21"/>
      <c r="DV18" s="21"/>
      <c r="DW18" s="21"/>
      <c r="DX18" s="21"/>
      <c r="DY18" s="21"/>
      <c r="DZ18" s="21"/>
      <c r="EA18" s="21"/>
      <c r="EB18" s="21"/>
      <c r="EC18" s="21"/>
      <c r="ED18" s="21"/>
      <c r="EE18" s="21"/>
      <c r="EF18" s="21"/>
      <c r="EG18" s="21"/>
      <c r="EH18" s="21"/>
      <c r="EI18" s="21"/>
      <c r="EJ18" s="21"/>
      <c r="EK18" s="21"/>
      <c r="EL18" s="21"/>
      <c r="EM18" s="21"/>
      <c r="EN18" s="21"/>
      <c r="EO18" s="21"/>
      <c r="EP18" s="21"/>
      <c r="EQ18" s="21"/>
      <c r="ER18" s="21"/>
      <c r="ES18" s="21"/>
      <c r="ET18" s="21"/>
      <c r="EU18" s="21"/>
      <c r="EV18" s="21"/>
      <c r="EW18" s="21"/>
      <c r="EX18" s="21"/>
      <c r="EY18" s="21"/>
      <c r="EZ18" s="21"/>
      <c r="FA18" s="21"/>
      <c r="FB18" s="21"/>
      <c r="FC18" s="21"/>
      <c r="FD18" s="21"/>
      <c r="FE18" s="21"/>
      <c r="FF18" s="21"/>
      <c r="FG18" s="21"/>
      <c r="FH18" s="21"/>
      <c r="FI18" s="21"/>
      <c r="FJ18" s="21"/>
      <c r="FK18" s="21"/>
      <c r="FL18" s="21"/>
      <c r="FM18" s="21"/>
      <c r="FN18" s="21"/>
      <c r="FO18" s="21"/>
      <c r="FP18" s="21"/>
      <c r="FQ18" s="21"/>
      <c r="FR18" s="21"/>
      <c r="FS18" s="21"/>
      <c r="FT18" s="21"/>
      <c r="FU18" s="21"/>
      <c r="FV18" s="21"/>
      <c r="FW18" s="21"/>
      <c r="FX18" s="21"/>
      <c r="FY18" s="21"/>
      <c r="FZ18" s="21"/>
      <c r="GA18" s="21"/>
      <c r="GB18" s="21"/>
      <c r="GC18" s="21"/>
      <c r="GD18" s="21"/>
      <c r="GE18" s="21"/>
      <c r="GF18" s="21"/>
      <c r="GG18" s="21"/>
      <c r="GH18" s="21"/>
      <c r="GI18" s="21"/>
      <c r="GJ18" s="21"/>
      <c r="GK18" s="21"/>
      <c r="GL18" s="21"/>
      <c r="GM18" s="21"/>
      <c r="GN18" s="21"/>
      <c r="GO18" s="21"/>
      <c r="GP18" s="21"/>
      <c r="GQ18" s="21"/>
      <c r="GR18" s="21"/>
      <c r="GS18" s="21"/>
      <c r="GT18" s="21"/>
      <c r="GU18" s="21"/>
      <c r="GV18" s="21"/>
      <c r="GW18" s="21"/>
      <c r="GX18" s="21"/>
      <c r="GY18" s="21"/>
      <c r="GZ18" s="21"/>
      <c r="HA18" s="21"/>
      <c r="HB18" s="21"/>
      <c r="HC18" s="21"/>
      <c r="HD18" s="21"/>
      <c r="HE18" s="21"/>
      <c r="HF18" s="21"/>
      <c r="HG18" s="21"/>
      <c r="HH18" s="21"/>
      <c r="HI18" s="21"/>
      <c r="HJ18" s="21"/>
      <c r="HK18" s="21"/>
      <c r="HL18" s="21"/>
      <c r="HM18" s="21"/>
      <c r="HN18" s="21"/>
      <c r="HO18" s="21"/>
      <c r="HP18" s="21"/>
      <c r="HQ18" s="21"/>
      <c r="HR18" s="21"/>
      <c r="HS18" s="21"/>
      <c r="HT18" s="21"/>
      <c r="HU18" s="21"/>
      <c r="HV18" s="21"/>
      <c r="HW18" s="21"/>
      <c r="HX18" s="21"/>
      <c r="HY18" s="21"/>
      <c r="HZ18" s="21"/>
      <c r="IA18" s="21"/>
      <c r="IB18" s="21"/>
      <c r="IC18" s="21"/>
      <c r="ID18" s="21"/>
      <c r="IE18" s="21"/>
      <c r="IF18" s="21"/>
      <c r="IG18" s="21"/>
      <c r="IH18" s="21"/>
      <c r="II18" s="21"/>
      <c r="IJ18" s="21"/>
      <c r="IK18" s="21"/>
      <c r="IL18" s="21"/>
      <c r="IM18" s="21"/>
      <c r="IN18" s="21"/>
      <c r="IO18" s="21"/>
      <c r="IP18" s="21"/>
      <c r="IQ18" s="21"/>
      <c r="IR18" s="21"/>
      <c r="IS18" s="21"/>
      <c r="IT18" s="21"/>
      <c r="IU18" s="21"/>
      <c r="IV18" s="21"/>
      <c r="IW18" s="21"/>
      <c r="IX18" s="21"/>
      <c r="IY18" s="21"/>
      <c r="IZ18" s="21"/>
      <c r="JA18" s="21"/>
      <c r="JB18" s="21"/>
      <c r="JC18" s="21"/>
      <c r="JD18" s="21"/>
      <c r="JE18" s="21"/>
    </row>
    <row r="19" spans="1:265" x14ac:dyDescent="0.25">
      <c r="A19" s="2043" t="s">
        <v>480</v>
      </c>
      <c r="B19" s="732" t="s">
        <v>1210</v>
      </c>
      <c r="C19" s="733"/>
      <c r="D19" s="734"/>
      <c r="E19" s="825">
        <f>+F19/K15</f>
        <v>17878272.109999999</v>
      </c>
      <c r="F19" s="826">
        <f>'PUENTE CCANCHI'!F129</f>
        <v>17878272.109999999</v>
      </c>
      <c r="G19" s="827">
        <f>'PUENTE CCANCHI'!F127</f>
        <v>15151078.059999999</v>
      </c>
      <c r="H19" s="416"/>
      <c r="I19" s="416"/>
      <c r="J19" s="156"/>
      <c r="K19" s="156"/>
      <c r="L19" s="156"/>
      <c r="M19" s="156"/>
      <c r="N19" s="156"/>
      <c r="O19" s="156"/>
      <c r="P19" s="156"/>
      <c r="Q19" s="156"/>
      <c r="R19" s="156"/>
      <c r="S19" s="156"/>
      <c r="T19" s="156"/>
      <c r="U19" s="156"/>
      <c r="V19" s="218"/>
      <c r="W19" s="156"/>
      <c r="X19" s="21"/>
      <c r="Y19" s="21"/>
      <c r="Z19" s="21"/>
      <c r="AA19" s="21"/>
      <c r="AB19" s="21"/>
      <c r="AC19" s="21"/>
      <c r="AD19" s="21"/>
      <c r="AE19" s="21"/>
      <c r="AF19" s="21"/>
      <c r="AG19" s="21"/>
      <c r="AH19" s="21"/>
      <c r="AI19" s="21"/>
      <c r="AJ19" s="21"/>
      <c r="AK19" s="21"/>
      <c r="AL19" s="21"/>
      <c r="AM19" s="21"/>
      <c r="AN19" s="21"/>
      <c r="AO19" s="21"/>
      <c r="AP19" s="21"/>
      <c r="AQ19" s="21"/>
      <c r="AR19" s="21"/>
      <c r="AS19" s="21"/>
      <c r="AT19" s="21"/>
      <c r="AU19" s="21"/>
      <c r="AV19" s="21"/>
      <c r="AW19" s="21"/>
      <c r="AX19" s="21"/>
      <c r="AY19" s="21"/>
      <c r="AZ19" s="21"/>
      <c r="BA19" s="21"/>
      <c r="BB19" s="21"/>
      <c r="BC19" s="21"/>
      <c r="BD19" s="21"/>
      <c r="BE19" s="21"/>
      <c r="BF19" s="21"/>
      <c r="BG19" s="21"/>
      <c r="BH19" s="21"/>
      <c r="BI19" s="21"/>
      <c r="BJ19" s="21"/>
      <c r="BK19" s="21"/>
      <c r="BL19" s="21"/>
      <c r="BM19" s="21"/>
      <c r="BN19" s="21"/>
      <c r="BO19" s="21"/>
      <c r="BP19" s="21"/>
      <c r="BQ19" s="21"/>
      <c r="BR19" s="21"/>
      <c r="BS19" s="21"/>
      <c r="BT19" s="21"/>
      <c r="BU19" s="21"/>
      <c r="BV19" s="21"/>
      <c r="BW19" s="21"/>
      <c r="BX19" s="21"/>
      <c r="BY19" s="21"/>
      <c r="BZ19" s="21"/>
      <c r="CA19" s="21"/>
      <c r="CB19" s="21"/>
      <c r="CC19" s="21"/>
      <c r="CD19" s="21"/>
      <c r="CE19" s="21"/>
      <c r="CF19" s="21"/>
      <c r="CG19" s="21"/>
      <c r="CH19" s="21"/>
      <c r="CI19" s="21"/>
      <c r="CJ19" s="21"/>
      <c r="CK19" s="21"/>
      <c r="CL19" s="21"/>
      <c r="CM19" s="21"/>
      <c r="CN19" s="21"/>
      <c r="CO19" s="21"/>
      <c r="CP19" s="21"/>
      <c r="CQ19" s="21"/>
      <c r="CR19" s="21"/>
      <c r="CS19" s="21"/>
      <c r="CT19" s="21"/>
      <c r="CU19" s="21"/>
      <c r="CV19" s="21"/>
      <c r="CW19" s="21"/>
      <c r="CX19" s="21"/>
      <c r="CY19" s="21"/>
      <c r="CZ19" s="21"/>
      <c r="DA19" s="21"/>
      <c r="DB19" s="21"/>
      <c r="DC19" s="21"/>
      <c r="DD19" s="21"/>
      <c r="DE19" s="21"/>
      <c r="DF19" s="21"/>
      <c r="DG19" s="21"/>
      <c r="DH19" s="21"/>
      <c r="DI19" s="21"/>
      <c r="DJ19" s="21"/>
      <c r="DK19" s="21"/>
      <c r="DL19" s="21"/>
      <c r="DM19" s="21"/>
      <c r="DN19" s="21"/>
      <c r="DO19" s="21"/>
      <c r="DP19" s="21"/>
      <c r="DQ19" s="21"/>
      <c r="DR19" s="21"/>
      <c r="DS19" s="21"/>
      <c r="DT19" s="21"/>
      <c r="DU19" s="21"/>
      <c r="DV19" s="21"/>
      <c r="DW19" s="21"/>
      <c r="DX19" s="21"/>
      <c r="DY19" s="21"/>
      <c r="DZ19" s="21"/>
      <c r="EA19" s="21"/>
      <c r="EB19" s="21"/>
      <c r="EC19" s="21"/>
      <c r="ED19" s="21"/>
      <c r="EE19" s="21"/>
      <c r="EF19" s="21"/>
      <c r="EG19" s="21"/>
      <c r="EH19" s="21"/>
      <c r="EI19" s="21"/>
      <c r="EJ19" s="21"/>
      <c r="EK19" s="21"/>
      <c r="EL19" s="21"/>
      <c r="EM19" s="21"/>
      <c r="EN19" s="21"/>
      <c r="EO19" s="21"/>
      <c r="EP19" s="21"/>
      <c r="EQ19" s="21"/>
      <c r="ER19" s="21"/>
      <c r="ES19" s="21"/>
      <c r="ET19" s="21"/>
      <c r="EU19" s="21"/>
      <c r="EV19" s="21"/>
      <c r="EW19" s="21"/>
      <c r="EX19" s="21"/>
      <c r="EY19" s="21"/>
      <c r="EZ19" s="21"/>
      <c r="FA19" s="21"/>
      <c r="FB19" s="21"/>
      <c r="FC19" s="21"/>
      <c r="FD19" s="21"/>
      <c r="FE19" s="21"/>
      <c r="FF19" s="21"/>
      <c r="FG19" s="21"/>
      <c r="FH19" s="21"/>
      <c r="FI19" s="21"/>
      <c r="FJ19" s="21"/>
      <c r="FK19" s="21"/>
      <c r="FL19" s="21"/>
      <c r="FM19" s="21"/>
      <c r="FN19" s="21"/>
      <c r="FO19" s="21"/>
      <c r="FP19" s="21"/>
      <c r="FQ19" s="21"/>
      <c r="FR19" s="21"/>
      <c r="FS19" s="21"/>
      <c r="FT19" s="21"/>
      <c r="FU19" s="21"/>
      <c r="FV19" s="21"/>
      <c r="FW19" s="21"/>
      <c r="FX19" s="21"/>
      <c r="FY19" s="21"/>
      <c r="FZ19" s="21"/>
      <c r="GA19" s="21"/>
      <c r="GB19" s="21"/>
      <c r="GC19" s="21"/>
      <c r="GD19" s="21"/>
      <c r="GE19" s="21"/>
      <c r="GF19" s="21"/>
      <c r="GG19" s="21"/>
      <c r="GH19" s="21"/>
      <c r="GI19" s="21"/>
      <c r="GJ19" s="21"/>
      <c r="GK19" s="21"/>
      <c r="GL19" s="21"/>
      <c r="GM19" s="21"/>
      <c r="GN19" s="21"/>
      <c r="GO19" s="21"/>
      <c r="GP19" s="21"/>
      <c r="GQ19" s="21"/>
      <c r="GR19" s="21"/>
      <c r="GS19" s="21"/>
      <c r="GT19" s="21"/>
      <c r="GU19" s="21"/>
      <c r="GV19" s="21"/>
      <c r="GW19" s="21"/>
      <c r="GX19" s="21"/>
      <c r="GY19" s="21"/>
      <c r="GZ19" s="21"/>
      <c r="HA19" s="21"/>
      <c r="HB19" s="21"/>
      <c r="HC19" s="21"/>
      <c r="HD19" s="21"/>
      <c r="HE19" s="21"/>
      <c r="HF19" s="21"/>
      <c r="HG19" s="21"/>
      <c r="HH19" s="21"/>
      <c r="HI19" s="21"/>
      <c r="HJ19" s="21"/>
      <c r="HK19" s="21"/>
      <c r="HL19" s="21"/>
      <c r="HM19" s="21"/>
      <c r="HN19" s="21"/>
      <c r="HO19" s="21"/>
      <c r="HP19" s="21"/>
      <c r="HQ19" s="21"/>
      <c r="HR19" s="21"/>
      <c r="HS19" s="21"/>
      <c r="HT19" s="21"/>
      <c r="HU19" s="21"/>
      <c r="HV19" s="21"/>
      <c r="HW19" s="21"/>
      <c r="HX19" s="21"/>
      <c r="HY19" s="21"/>
      <c r="HZ19" s="21"/>
      <c r="IA19" s="21"/>
      <c r="IB19" s="21"/>
      <c r="IC19" s="21"/>
      <c r="ID19" s="21"/>
      <c r="IE19" s="21"/>
      <c r="IF19" s="21"/>
      <c r="IG19" s="21"/>
      <c r="IH19" s="21"/>
      <c r="II19" s="21"/>
      <c r="IJ19" s="21"/>
      <c r="IK19" s="21"/>
      <c r="IL19" s="21"/>
      <c r="IM19" s="21"/>
      <c r="IN19" s="21"/>
      <c r="IO19" s="21"/>
      <c r="IP19" s="21"/>
      <c r="IQ19" s="21"/>
      <c r="IR19" s="21"/>
      <c r="IS19" s="21"/>
      <c r="IT19" s="21"/>
      <c r="IU19" s="21"/>
      <c r="IV19" s="21"/>
      <c r="IW19" s="21"/>
      <c r="IX19" s="21"/>
      <c r="IY19" s="21"/>
      <c r="IZ19" s="21"/>
      <c r="JA19" s="21"/>
      <c r="JB19" s="21"/>
      <c r="JC19" s="21"/>
      <c r="JD19" s="21"/>
      <c r="JE19" s="21"/>
    </row>
    <row r="20" spans="1:265" ht="13.8" thickBot="1" x14ac:dyDescent="0.3">
      <c r="A20" s="2044"/>
      <c r="B20" s="828" t="s">
        <v>19</v>
      </c>
      <c r="C20" s="829"/>
      <c r="D20" s="833"/>
      <c r="E20" s="830">
        <f>SUM(E19:E19)</f>
        <v>17878272.109999999</v>
      </c>
      <c r="F20" s="831">
        <f>SUM(F19:F19)</f>
        <v>17878272.109999999</v>
      </c>
      <c r="G20" s="832">
        <f>SUM(G19:G19)</f>
        <v>15151078.059999999</v>
      </c>
      <c r="H20" s="416"/>
      <c r="I20" s="416"/>
      <c r="J20" s="21"/>
      <c r="K20" s="764"/>
      <c r="L20" s="21"/>
      <c r="M20" s="21"/>
      <c r="N20" s="21"/>
      <c r="O20" s="21"/>
      <c r="P20" s="21"/>
      <c r="Q20" s="21"/>
      <c r="R20" s="21"/>
      <c r="S20" s="21"/>
      <c r="T20" s="21"/>
      <c r="U20" s="21"/>
      <c r="V20" s="217"/>
      <c r="W20" s="21"/>
      <c r="X20" s="21"/>
      <c r="Y20" s="21"/>
      <c r="Z20" s="21"/>
      <c r="AA20" s="21"/>
      <c r="AB20" s="21"/>
      <c r="AC20" s="21"/>
      <c r="AD20" s="21"/>
      <c r="AE20" s="21"/>
      <c r="AF20" s="21"/>
      <c r="AG20" s="21"/>
      <c r="AH20" s="21"/>
      <c r="AI20" s="21"/>
      <c r="AJ20" s="21"/>
      <c r="AK20" s="21"/>
      <c r="AL20" s="21"/>
      <c r="AM20" s="21"/>
      <c r="AN20" s="21"/>
      <c r="AO20" s="21"/>
      <c r="AP20" s="21"/>
      <c r="AQ20" s="21"/>
      <c r="AR20" s="21"/>
      <c r="AS20" s="21"/>
      <c r="AT20" s="21"/>
      <c r="AU20" s="21"/>
      <c r="AV20" s="21"/>
      <c r="AW20" s="21"/>
      <c r="AX20" s="21"/>
      <c r="AY20" s="21"/>
      <c r="AZ20" s="21"/>
      <c r="BA20" s="21"/>
      <c r="BB20" s="21"/>
      <c r="BC20" s="21"/>
      <c r="BD20" s="21"/>
      <c r="BE20" s="21"/>
      <c r="BF20" s="21"/>
      <c r="BG20" s="21"/>
      <c r="BH20" s="21"/>
      <c r="BI20" s="21"/>
      <c r="BJ20" s="21"/>
      <c r="BK20" s="21"/>
      <c r="BL20" s="21"/>
      <c r="BM20" s="21"/>
      <c r="BN20" s="21"/>
      <c r="BO20" s="21"/>
      <c r="BP20" s="21"/>
      <c r="BQ20" s="21"/>
      <c r="BR20" s="21"/>
      <c r="BS20" s="21"/>
      <c r="BT20" s="21"/>
      <c r="BU20" s="21"/>
      <c r="BV20" s="21"/>
      <c r="BW20" s="21"/>
      <c r="BX20" s="21"/>
      <c r="BY20" s="21"/>
      <c r="BZ20" s="21"/>
      <c r="CA20" s="21"/>
      <c r="CB20" s="21"/>
      <c r="CC20" s="21"/>
      <c r="CD20" s="21"/>
      <c r="CE20" s="21"/>
      <c r="CF20" s="21"/>
      <c r="CG20" s="21"/>
      <c r="CH20" s="21"/>
      <c r="CI20" s="21"/>
      <c r="CJ20" s="21"/>
      <c r="CK20" s="21"/>
      <c r="CL20" s="21"/>
      <c r="CM20" s="21"/>
      <c r="CN20" s="21"/>
      <c r="CO20" s="21"/>
      <c r="CP20" s="21"/>
      <c r="CQ20" s="21"/>
      <c r="CR20" s="21"/>
      <c r="CS20" s="21"/>
      <c r="CT20" s="21"/>
      <c r="CU20" s="21"/>
      <c r="CV20" s="21"/>
      <c r="CW20" s="21"/>
      <c r="CX20" s="21"/>
      <c r="CY20" s="21"/>
      <c r="CZ20" s="21"/>
      <c r="DA20" s="21"/>
      <c r="DB20" s="21"/>
      <c r="DC20" s="21"/>
      <c r="DD20" s="21"/>
      <c r="DE20" s="21"/>
      <c r="DF20" s="21"/>
      <c r="DG20" s="21"/>
      <c r="DH20" s="21"/>
      <c r="DI20" s="21"/>
      <c r="DJ20" s="21"/>
      <c r="DK20" s="21"/>
      <c r="DL20" s="21"/>
      <c r="DM20" s="21"/>
      <c r="DN20" s="21"/>
      <c r="DO20" s="21"/>
      <c r="DP20" s="21"/>
      <c r="DQ20" s="21"/>
      <c r="DR20" s="21"/>
      <c r="DS20" s="21"/>
      <c r="DT20" s="21"/>
      <c r="DU20" s="21"/>
      <c r="DV20" s="21"/>
      <c r="DW20" s="21"/>
      <c r="DX20" s="21"/>
      <c r="DY20" s="21"/>
      <c r="DZ20" s="21"/>
      <c r="EA20" s="21"/>
      <c r="EB20" s="21"/>
      <c r="EC20" s="21"/>
      <c r="ED20" s="21"/>
      <c r="EE20" s="21"/>
      <c r="EF20" s="21"/>
      <c r="EG20" s="21"/>
      <c r="EH20" s="21"/>
      <c r="EI20" s="21"/>
      <c r="EJ20" s="21"/>
      <c r="EK20" s="21"/>
      <c r="EL20" s="21"/>
      <c r="EM20" s="21"/>
      <c r="EN20" s="21"/>
      <c r="EO20" s="21"/>
      <c r="EP20" s="21"/>
      <c r="EQ20" s="21"/>
      <c r="ER20" s="21"/>
      <c r="ES20" s="21"/>
      <c r="ET20" s="21"/>
      <c r="EU20" s="21"/>
      <c r="EV20" s="21"/>
      <c r="EW20" s="21"/>
      <c r="EX20" s="21"/>
      <c r="EY20" s="21"/>
      <c r="EZ20" s="21"/>
      <c r="FA20" s="21"/>
      <c r="FB20" s="21"/>
      <c r="FC20" s="21"/>
      <c r="FD20" s="21"/>
      <c r="FE20" s="21"/>
      <c r="FF20" s="21"/>
      <c r="FG20" s="21"/>
      <c r="FH20" s="21"/>
      <c r="FI20" s="21"/>
      <c r="FJ20" s="21"/>
      <c r="FK20" s="21"/>
      <c r="FL20" s="21"/>
      <c r="FM20" s="21"/>
      <c r="FN20" s="21"/>
      <c r="FO20" s="21"/>
      <c r="FP20" s="21"/>
      <c r="FQ20" s="21"/>
      <c r="FR20" s="21"/>
      <c r="FS20" s="21"/>
      <c r="FT20" s="21"/>
      <c r="FU20" s="21"/>
      <c r="FV20" s="21"/>
      <c r="FW20" s="21"/>
      <c r="FX20" s="21"/>
      <c r="FY20" s="21"/>
      <c r="FZ20" s="21"/>
      <c r="GA20" s="21"/>
      <c r="GB20" s="21"/>
      <c r="GC20" s="21"/>
      <c r="GD20" s="21"/>
      <c r="GE20" s="21"/>
      <c r="GF20" s="21"/>
      <c r="GG20" s="21"/>
      <c r="GH20" s="21"/>
      <c r="GI20" s="21"/>
      <c r="GJ20" s="21"/>
      <c r="GK20" s="21"/>
      <c r="GL20" s="21"/>
      <c r="GM20" s="21"/>
      <c r="GN20" s="21"/>
      <c r="GO20" s="21"/>
      <c r="GP20" s="21"/>
      <c r="GQ20" s="21"/>
      <c r="GR20" s="21"/>
      <c r="GS20" s="21"/>
      <c r="GT20" s="21"/>
      <c r="GU20" s="21"/>
      <c r="GV20" s="21"/>
      <c r="GW20" s="21"/>
      <c r="GX20" s="21"/>
      <c r="GY20" s="21"/>
      <c r="GZ20" s="21"/>
      <c r="HA20" s="21"/>
      <c r="HB20" s="21"/>
      <c r="HC20" s="21"/>
      <c r="HD20" s="21"/>
      <c r="HE20" s="21"/>
      <c r="HF20" s="21"/>
      <c r="HG20" s="21"/>
      <c r="HH20" s="21"/>
      <c r="HI20" s="21"/>
      <c r="HJ20" s="21"/>
      <c r="HK20" s="21"/>
      <c r="HL20" s="21"/>
      <c r="HM20" s="21"/>
      <c r="HN20" s="21"/>
      <c r="HO20" s="21"/>
      <c r="HP20" s="21"/>
      <c r="HQ20" s="21"/>
      <c r="HR20" s="21"/>
      <c r="HS20" s="21"/>
      <c r="HT20" s="21"/>
      <c r="HU20" s="21"/>
      <c r="HV20" s="21"/>
      <c r="HW20" s="21"/>
      <c r="HX20" s="21"/>
      <c r="HY20" s="21"/>
      <c r="HZ20" s="21"/>
      <c r="IA20" s="21"/>
      <c r="IB20" s="21"/>
      <c r="IC20" s="21"/>
      <c r="ID20" s="21"/>
      <c r="IE20" s="21"/>
      <c r="IF20" s="21"/>
      <c r="IG20" s="21"/>
      <c r="IH20" s="21"/>
      <c r="II20" s="21"/>
      <c r="IJ20" s="21"/>
      <c r="IK20" s="21"/>
      <c r="IL20" s="21"/>
      <c r="IM20" s="21"/>
      <c r="IN20" s="21"/>
      <c r="IO20" s="21"/>
      <c r="IP20" s="21"/>
      <c r="IQ20" s="21"/>
      <c r="IR20" s="21"/>
      <c r="IS20" s="21"/>
      <c r="IT20" s="21"/>
      <c r="IU20" s="21"/>
      <c r="IV20" s="21"/>
      <c r="IW20" s="21"/>
      <c r="IX20" s="21"/>
      <c r="IY20" s="21"/>
      <c r="IZ20" s="21"/>
      <c r="JA20" s="21"/>
      <c r="JB20" s="21"/>
      <c r="JC20" s="21"/>
      <c r="JD20" s="21"/>
      <c r="JE20" s="21"/>
    </row>
    <row r="21" spans="1:265" customFormat="1" ht="12.75" customHeight="1" x14ac:dyDescent="0.25">
      <c r="B21" s="230"/>
      <c r="C21" s="821"/>
      <c r="D21" s="821"/>
      <c r="E21" s="818"/>
      <c r="F21" s="818"/>
      <c r="G21" s="818"/>
      <c r="H21" s="818"/>
      <c r="I21" s="818"/>
      <c r="J21" s="272"/>
      <c r="K21" s="819"/>
      <c r="L21" s="272"/>
      <c r="M21" s="272"/>
      <c r="N21" s="272"/>
      <c r="O21" s="272"/>
      <c r="P21" s="272"/>
      <c r="Q21" s="272"/>
      <c r="R21" s="272"/>
      <c r="S21" s="272"/>
      <c r="T21" s="272"/>
      <c r="U21" s="272"/>
      <c r="V21" s="820"/>
      <c r="W21" s="272"/>
      <c r="X21" s="272"/>
      <c r="Y21" s="272"/>
      <c r="Z21" s="272"/>
      <c r="AA21" s="272"/>
      <c r="AB21" s="272"/>
      <c r="AC21" s="272"/>
      <c r="AD21" s="272"/>
      <c r="AE21" s="272"/>
      <c r="AF21" s="272"/>
      <c r="AG21" s="272"/>
      <c r="AH21" s="272"/>
      <c r="AI21" s="272"/>
      <c r="AJ21" s="272"/>
      <c r="AK21" s="272"/>
      <c r="AL21" s="272"/>
      <c r="AM21" s="272"/>
      <c r="AN21" s="272"/>
      <c r="AO21" s="272"/>
      <c r="AP21" s="272"/>
      <c r="AQ21" s="272"/>
      <c r="AR21" s="272"/>
      <c r="AS21" s="272"/>
      <c r="AT21" s="272"/>
      <c r="AU21" s="272"/>
      <c r="AV21" s="272"/>
      <c r="AW21" s="272"/>
      <c r="AX21" s="272"/>
      <c r="AY21" s="272"/>
      <c r="AZ21" s="272"/>
      <c r="BA21" s="272"/>
      <c r="BB21" s="272"/>
      <c r="BC21" s="272"/>
      <c r="BD21" s="272"/>
      <c r="BE21" s="272"/>
      <c r="BF21" s="272"/>
      <c r="BG21" s="272"/>
      <c r="BH21" s="272"/>
      <c r="BI21" s="272"/>
      <c r="BJ21" s="272"/>
      <c r="BK21" s="272"/>
      <c r="BL21" s="272"/>
      <c r="BM21" s="272"/>
      <c r="BN21" s="272"/>
      <c r="BO21" s="272"/>
      <c r="BP21" s="272"/>
      <c r="BQ21" s="272"/>
      <c r="BR21" s="272"/>
      <c r="BS21" s="272"/>
      <c r="BT21" s="272"/>
      <c r="BU21" s="272"/>
      <c r="BV21" s="272"/>
      <c r="BW21" s="272"/>
      <c r="BX21" s="272"/>
      <c r="BY21" s="272"/>
      <c r="BZ21" s="272"/>
      <c r="CA21" s="272"/>
      <c r="CB21" s="272"/>
      <c r="CC21" s="272"/>
      <c r="CD21" s="272"/>
      <c r="CE21" s="272"/>
      <c r="CF21" s="272"/>
      <c r="CG21" s="272"/>
      <c r="CH21" s="272"/>
      <c r="CI21" s="272"/>
      <c r="CJ21" s="272"/>
      <c r="CK21" s="272"/>
      <c r="CL21" s="272"/>
      <c r="CM21" s="272"/>
      <c r="CN21" s="272"/>
      <c r="CO21" s="272"/>
      <c r="CP21" s="272"/>
      <c r="CQ21" s="272"/>
      <c r="CR21" s="272"/>
      <c r="CS21" s="272"/>
      <c r="CT21" s="272"/>
      <c r="CU21" s="272"/>
      <c r="CV21" s="272"/>
      <c r="CW21" s="272"/>
      <c r="CX21" s="272"/>
      <c r="CY21" s="272"/>
      <c r="CZ21" s="272"/>
      <c r="DA21" s="272"/>
      <c r="DB21" s="272"/>
      <c r="DC21" s="272"/>
      <c r="DD21" s="272"/>
      <c r="DE21" s="272"/>
      <c r="DF21" s="272"/>
      <c r="DG21" s="272"/>
      <c r="DH21" s="272"/>
      <c r="DI21" s="272"/>
      <c r="DJ21" s="272"/>
      <c r="DK21" s="272"/>
      <c r="DL21" s="272"/>
      <c r="DM21" s="272"/>
      <c r="DN21" s="272"/>
      <c r="DO21" s="272"/>
      <c r="DP21" s="272"/>
      <c r="DQ21" s="272"/>
      <c r="DR21" s="272"/>
      <c r="DS21" s="272"/>
      <c r="DT21" s="272"/>
      <c r="DU21" s="272"/>
      <c r="DV21" s="272"/>
      <c r="DW21" s="272"/>
      <c r="DX21" s="272"/>
      <c r="DY21" s="272"/>
      <c r="DZ21" s="272"/>
      <c r="EA21" s="272"/>
      <c r="EB21" s="272"/>
      <c r="EC21" s="272"/>
      <c r="ED21" s="272"/>
      <c r="EE21" s="272"/>
      <c r="EF21" s="272"/>
      <c r="EG21" s="272"/>
      <c r="EH21" s="272"/>
      <c r="EI21" s="272"/>
      <c r="EJ21" s="272"/>
      <c r="EK21" s="272"/>
      <c r="EL21" s="272"/>
      <c r="EM21" s="272"/>
      <c r="EN21" s="272"/>
      <c r="EO21" s="272"/>
      <c r="EP21" s="272"/>
      <c r="EQ21" s="272"/>
      <c r="ER21" s="272"/>
      <c r="ES21" s="272"/>
      <c r="ET21" s="272"/>
      <c r="EU21" s="272"/>
      <c r="EV21" s="272"/>
      <c r="EW21" s="272"/>
      <c r="EX21" s="272"/>
      <c r="EY21" s="272"/>
      <c r="EZ21" s="272"/>
      <c r="FA21" s="272"/>
      <c r="FB21" s="272"/>
      <c r="FC21" s="272"/>
      <c r="FD21" s="272"/>
      <c r="FE21" s="272"/>
      <c r="FF21" s="272"/>
      <c r="FG21" s="272"/>
      <c r="FH21" s="272"/>
      <c r="FI21" s="272"/>
      <c r="FJ21" s="272"/>
      <c r="FK21" s="272"/>
      <c r="FL21" s="272"/>
      <c r="FM21" s="272"/>
      <c r="FN21" s="272"/>
      <c r="FO21" s="272"/>
      <c r="FP21" s="272"/>
      <c r="FQ21" s="272"/>
      <c r="FR21" s="272"/>
      <c r="FS21" s="272"/>
      <c r="FT21" s="272"/>
      <c r="FU21" s="272"/>
      <c r="FV21" s="272"/>
      <c r="FW21" s="272"/>
      <c r="FX21" s="272"/>
      <c r="FY21" s="272"/>
      <c r="FZ21" s="272"/>
      <c r="GA21" s="272"/>
      <c r="GB21" s="272"/>
      <c r="GC21" s="272"/>
      <c r="GD21" s="272"/>
      <c r="GE21" s="272"/>
      <c r="GF21" s="272"/>
      <c r="GG21" s="272"/>
      <c r="GH21" s="272"/>
      <c r="GI21" s="272"/>
      <c r="GJ21" s="272"/>
      <c r="GK21" s="272"/>
      <c r="GL21" s="272"/>
      <c r="GM21" s="272"/>
      <c r="GN21" s="272"/>
      <c r="GO21" s="272"/>
      <c r="GP21" s="272"/>
      <c r="GQ21" s="272"/>
      <c r="GR21" s="272"/>
      <c r="GS21" s="272"/>
      <c r="GT21" s="272"/>
      <c r="GU21" s="272"/>
      <c r="GV21" s="272"/>
      <c r="GW21" s="272"/>
      <c r="GX21" s="272"/>
      <c r="GY21" s="272"/>
      <c r="GZ21" s="272"/>
      <c r="HA21" s="272"/>
      <c r="HB21" s="272"/>
      <c r="HC21" s="272"/>
      <c r="HD21" s="272"/>
      <c r="HE21" s="272"/>
      <c r="HF21" s="272"/>
      <c r="HG21" s="272"/>
      <c r="HH21" s="272"/>
      <c r="HI21" s="272"/>
      <c r="HJ21" s="272"/>
      <c r="HK21" s="272"/>
      <c r="HL21" s="272"/>
      <c r="HM21" s="272"/>
      <c r="HN21" s="272"/>
      <c r="HO21" s="272"/>
      <c r="HP21" s="272"/>
      <c r="HQ21" s="272"/>
      <c r="HR21" s="272"/>
      <c r="HS21" s="272"/>
      <c r="HT21" s="272"/>
      <c r="HU21" s="272"/>
      <c r="HV21" s="272"/>
      <c r="HW21" s="272"/>
      <c r="HX21" s="272"/>
      <c r="HY21" s="272"/>
      <c r="HZ21" s="272"/>
      <c r="IA21" s="272"/>
      <c r="IB21" s="272"/>
      <c r="IC21" s="272"/>
      <c r="ID21" s="272"/>
      <c r="IE21" s="272"/>
      <c r="IF21" s="272"/>
      <c r="IG21" s="272"/>
      <c r="IH21" s="272"/>
      <c r="II21" s="272"/>
      <c r="IJ21" s="272"/>
      <c r="IK21" s="272"/>
      <c r="IL21" s="272"/>
      <c r="IM21" s="272"/>
      <c r="IN21" s="272"/>
      <c r="IO21" s="272"/>
      <c r="IP21" s="272"/>
      <c r="IQ21" s="272"/>
      <c r="IR21" s="272"/>
      <c r="IS21" s="272"/>
      <c r="IT21" s="272"/>
      <c r="IU21" s="272"/>
      <c r="IV21" s="272"/>
      <c r="IW21" s="272"/>
      <c r="IX21" s="272"/>
      <c r="IY21" s="272"/>
      <c r="IZ21" s="272"/>
      <c r="JA21" s="272"/>
      <c r="JB21" s="272"/>
      <c r="JC21" s="272"/>
      <c r="JD21" s="272"/>
      <c r="JE21" s="272"/>
    </row>
    <row r="22" spans="1:265" ht="13.8" thickBot="1" x14ac:dyDescent="0.3">
      <c r="A22" s="823"/>
      <c r="B22" s="824"/>
      <c r="C22" s="822"/>
      <c r="D22" s="822"/>
      <c r="E22" s="416"/>
      <c r="F22" s="416"/>
      <c r="G22" s="416"/>
      <c r="H22" s="416"/>
      <c r="I22" s="416"/>
      <c r="J22" s="21"/>
      <c r="K22" s="764"/>
      <c r="L22" s="21"/>
      <c r="M22" s="21"/>
      <c r="N22" s="21"/>
      <c r="O22" s="21"/>
      <c r="P22" s="21"/>
      <c r="Q22" s="21"/>
      <c r="R22" s="21"/>
      <c r="S22" s="21"/>
      <c r="T22" s="21"/>
      <c r="U22" s="21"/>
      <c r="V22" s="217"/>
      <c r="W22" s="21"/>
      <c r="X22" s="21"/>
      <c r="Y22" s="21"/>
      <c r="Z22" s="21"/>
      <c r="AA22" s="21"/>
      <c r="AB22" s="21"/>
      <c r="AC22" s="21"/>
      <c r="AD22" s="21"/>
      <c r="AE22" s="21"/>
      <c r="AF22" s="21"/>
      <c r="AG22" s="21"/>
      <c r="AH22" s="21"/>
      <c r="AI22" s="21"/>
      <c r="AJ22" s="21"/>
      <c r="AK22" s="21"/>
      <c r="AL22" s="21"/>
      <c r="AM22" s="21"/>
      <c r="AN22" s="21"/>
      <c r="AO22" s="21"/>
      <c r="AP22" s="21"/>
      <c r="AQ22" s="21"/>
      <c r="AR22" s="21"/>
      <c r="AS22" s="21"/>
      <c r="AT22" s="21"/>
      <c r="AU22" s="21"/>
      <c r="AV22" s="21"/>
      <c r="AW22" s="21"/>
      <c r="AX22" s="21"/>
      <c r="AY22" s="21"/>
      <c r="AZ22" s="21"/>
      <c r="BA22" s="21"/>
      <c r="BB22" s="21"/>
      <c r="BC22" s="21"/>
      <c r="BD22" s="21"/>
      <c r="BE22" s="21"/>
      <c r="BF22" s="21"/>
      <c r="BG22" s="21"/>
      <c r="BH22" s="21"/>
      <c r="BI22" s="21"/>
      <c r="BJ22" s="21"/>
      <c r="BK22" s="21"/>
      <c r="BL22" s="21"/>
      <c r="BM22" s="21"/>
      <c r="BN22" s="21"/>
      <c r="BO22" s="21"/>
      <c r="BP22" s="21"/>
      <c r="BQ22" s="21"/>
      <c r="BR22" s="21"/>
      <c r="BS22" s="21"/>
      <c r="BT22" s="21"/>
      <c r="BU22" s="21"/>
      <c r="BV22" s="21"/>
      <c r="BW22" s="21"/>
      <c r="BX22" s="21"/>
      <c r="BY22" s="21"/>
      <c r="BZ22" s="21"/>
      <c r="CA22" s="21"/>
      <c r="CB22" s="21"/>
      <c r="CC22" s="21"/>
      <c r="CD22" s="21"/>
      <c r="CE22" s="21"/>
      <c r="CF22" s="21"/>
      <c r="CG22" s="21"/>
      <c r="CH22" s="21"/>
      <c r="CI22" s="21"/>
      <c r="CJ22" s="21"/>
      <c r="CK22" s="21"/>
      <c r="CL22" s="21"/>
      <c r="CM22" s="21"/>
      <c r="CN22" s="21"/>
      <c r="CO22" s="21"/>
      <c r="CP22" s="21"/>
      <c r="CQ22" s="21"/>
      <c r="CR22" s="21"/>
      <c r="CS22" s="21"/>
      <c r="CT22" s="21"/>
      <c r="CU22" s="21"/>
      <c r="CV22" s="21"/>
      <c r="CW22" s="21"/>
      <c r="CX22" s="21"/>
      <c r="CY22" s="21"/>
      <c r="CZ22" s="21"/>
      <c r="DA22" s="21"/>
      <c r="DB22" s="21"/>
      <c r="DC22" s="21"/>
      <c r="DD22" s="21"/>
      <c r="DE22" s="21"/>
      <c r="DF22" s="21"/>
      <c r="DG22" s="21"/>
      <c r="DH22" s="21"/>
      <c r="DI22" s="21"/>
      <c r="DJ22" s="21"/>
      <c r="DK22" s="21"/>
      <c r="DL22" s="21"/>
      <c r="DM22" s="21"/>
      <c r="DN22" s="21"/>
      <c r="DO22" s="21"/>
      <c r="DP22" s="21"/>
      <c r="DQ22" s="21"/>
      <c r="DR22" s="21"/>
      <c r="DS22" s="21"/>
      <c r="DT22" s="21"/>
      <c r="DU22" s="21"/>
      <c r="DV22" s="21"/>
      <c r="DW22" s="21"/>
      <c r="DX22" s="21"/>
      <c r="DY22" s="21"/>
      <c r="DZ22" s="21"/>
      <c r="EA22" s="21"/>
      <c r="EB22" s="21"/>
      <c r="EC22" s="21"/>
      <c r="ED22" s="21"/>
      <c r="EE22" s="21"/>
      <c r="EF22" s="21"/>
      <c r="EG22" s="21"/>
      <c r="EH22" s="21"/>
      <c r="EI22" s="21"/>
      <c r="EJ22" s="21"/>
      <c r="EK22" s="21"/>
      <c r="EL22" s="21"/>
      <c r="EM22" s="21"/>
      <c r="EN22" s="21"/>
      <c r="EO22" s="21"/>
      <c r="EP22" s="21"/>
      <c r="EQ22" s="21"/>
      <c r="ER22" s="21"/>
      <c r="ES22" s="21"/>
      <c r="ET22" s="21"/>
      <c r="EU22" s="21"/>
      <c r="EV22" s="21"/>
      <c r="EW22" s="21"/>
      <c r="EX22" s="21"/>
      <c r="EY22" s="21"/>
      <c r="EZ22" s="21"/>
      <c r="FA22" s="21"/>
      <c r="FB22" s="21"/>
      <c r="FC22" s="21"/>
      <c r="FD22" s="21"/>
      <c r="FE22" s="21"/>
      <c r="FF22" s="21"/>
      <c r="FG22" s="21"/>
      <c r="FH22" s="21"/>
      <c r="FI22" s="21"/>
      <c r="FJ22" s="21"/>
      <c r="FK22" s="21"/>
      <c r="FL22" s="21"/>
      <c r="FM22" s="21"/>
      <c r="FN22" s="21"/>
      <c r="FO22" s="21"/>
      <c r="FP22" s="21"/>
      <c r="FQ22" s="21"/>
      <c r="FR22" s="21"/>
      <c r="FS22" s="21"/>
      <c r="FT22" s="21"/>
      <c r="FU22" s="21"/>
      <c r="FV22" s="21"/>
      <c r="FW22" s="21"/>
      <c r="FX22" s="21"/>
      <c r="FY22" s="21"/>
      <c r="FZ22" s="21"/>
      <c r="GA22" s="21"/>
      <c r="GB22" s="21"/>
      <c r="GC22" s="21"/>
      <c r="GD22" s="21"/>
      <c r="GE22" s="21"/>
      <c r="GF22" s="21"/>
      <c r="GG22" s="21"/>
      <c r="GH22" s="21"/>
      <c r="GI22" s="21"/>
      <c r="GJ22" s="21"/>
      <c r="GK22" s="21"/>
      <c r="GL22" s="21"/>
      <c r="GM22" s="21"/>
      <c r="GN22" s="21"/>
      <c r="GO22" s="21"/>
      <c r="GP22" s="21"/>
      <c r="GQ22" s="21"/>
      <c r="GR22" s="21"/>
      <c r="GS22" s="21"/>
      <c r="GT22" s="21"/>
      <c r="GU22" s="21"/>
      <c r="GV22" s="21"/>
      <c r="GW22" s="21"/>
      <c r="GX22" s="21"/>
      <c r="GY22" s="21"/>
      <c r="GZ22" s="21"/>
      <c r="HA22" s="21"/>
      <c r="HB22" s="21"/>
      <c r="HC22" s="21"/>
      <c r="HD22" s="21"/>
      <c r="HE22" s="21"/>
      <c r="HF22" s="21"/>
      <c r="HG22" s="21"/>
      <c r="HH22" s="21"/>
      <c r="HI22" s="21"/>
      <c r="HJ22" s="21"/>
      <c r="HK22" s="21"/>
      <c r="HL22" s="21"/>
      <c r="HM22" s="21"/>
      <c r="HN22" s="21"/>
      <c r="HO22" s="21"/>
      <c r="HP22" s="21"/>
      <c r="HQ22" s="21"/>
      <c r="HR22" s="21"/>
      <c r="HS22" s="21"/>
      <c r="HT22" s="21"/>
      <c r="HU22" s="21"/>
      <c r="HV22" s="21"/>
      <c r="HW22" s="21"/>
      <c r="HX22" s="21"/>
      <c r="HY22" s="21"/>
      <c r="HZ22" s="21"/>
      <c r="IA22" s="21"/>
      <c r="IB22" s="21"/>
      <c r="IC22" s="21"/>
      <c r="ID22" s="21"/>
      <c r="IE22" s="21"/>
      <c r="IF22" s="21"/>
      <c r="IG22" s="21"/>
      <c r="IH22" s="21"/>
      <c r="II22" s="21"/>
      <c r="IJ22" s="21"/>
      <c r="IK22" s="21"/>
      <c r="IL22" s="21"/>
      <c r="IM22" s="21"/>
      <c r="IN22" s="21"/>
      <c r="IO22" s="21"/>
      <c r="IP22" s="21"/>
      <c r="IQ22" s="21"/>
      <c r="IR22" s="21"/>
      <c r="IS22" s="21"/>
      <c r="IT22" s="21"/>
      <c r="IU22" s="21"/>
      <c r="IV22" s="21"/>
      <c r="IW22" s="21"/>
      <c r="IX22" s="21"/>
      <c r="IY22" s="21"/>
      <c r="IZ22" s="21"/>
      <c r="JA22" s="21"/>
      <c r="JB22" s="21"/>
      <c r="JC22" s="21"/>
      <c r="JD22" s="21"/>
      <c r="JE22" s="21"/>
    </row>
    <row r="23" spans="1:265" ht="13.8" thickBot="1" x14ac:dyDescent="0.3">
      <c r="B23" s="2052" t="s">
        <v>1391</v>
      </c>
      <c r="C23" s="2053"/>
      <c r="D23" s="2054"/>
      <c r="E23" s="839">
        <f>E20</f>
        <v>17878272.109999999</v>
      </c>
      <c r="F23" s="839">
        <f>F20</f>
        <v>17878272.109999999</v>
      </c>
      <c r="G23" s="840">
        <f>G20</f>
        <v>15151078.059999999</v>
      </c>
      <c r="H23" s="417"/>
      <c r="I23" s="417"/>
      <c r="J23" s="124"/>
      <c r="K23" s="18"/>
      <c r="L23" s="18"/>
      <c r="M23" s="18"/>
      <c r="N23" s="18"/>
      <c r="O23" s="18"/>
      <c r="P23" s="18"/>
      <c r="Q23" s="18"/>
      <c r="R23" s="18"/>
      <c r="S23" s="18"/>
      <c r="T23" s="18"/>
      <c r="U23" s="18"/>
      <c r="V23" s="214"/>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8"/>
      <c r="BK23" s="18"/>
      <c r="BL23" s="18"/>
      <c r="BM23" s="18"/>
      <c r="BN23" s="18"/>
      <c r="BO23" s="18"/>
      <c r="BP23" s="18"/>
      <c r="BQ23" s="18"/>
      <c r="BR23" s="18"/>
      <c r="BS23" s="18"/>
      <c r="BT23" s="18"/>
      <c r="BU23" s="18"/>
      <c r="BV23" s="18"/>
      <c r="BW23" s="18"/>
      <c r="BX23" s="18"/>
      <c r="BY23" s="18"/>
      <c r="BZ23" s="18"/>
      <c r="CA23" s="18"/>
      <c r="CB23" s="18"/>
      <c r="CC23" s="18"/>
      <c r="CD23" s="18"/>
      <c r="CE23" s="18"/>
      <c r="CF23" s="18"/>
      <c r="CG23" s="18"/>
      <c r="CH23" s="18"/>
      <c r="CI23" s="18"/>
      <c r="CJ23" s="18"/>
      <c r="CK23" s="18"/>
      <c r="CL23" s="18"/>
      <c r="CM23" s="18"/>
      <c r="CN23" s="18"/>
      <c r="CO23" s="18"/>
      <c r="CP23" s="18"/>
      <c r="CQ23" s="18"/>
      <c r="CR23" s="18"/>
      <c r="CS23" s="18"/>
      <c r="CT23" s="18"/>
      <c r="CU23" s="18"/>
      <c r="CV23" s="18"/>
      <c r="CW23" s="18"/>
      <c r="CX23" s="18"/>
      <c r="CY23" s="18"/>
      <c r="CZ23" s="18"/>
      <c r="DA23" s="18"/>
      <c r="DB23" s="18"/>
      <c r="DC23" s="18"/>
      <c r="DD23" s="18"/>
      <c r="DE23" s="18"/>
      <c r="DF23" s="18"/>
      <c r="DG23" s="18"/>
      <c r="DH23" s="18"/>
      <c r="DI23" s="18"/>
      <c r="DJ23" s="18"/>
      <c r="DK23" s="18"/>
      <c r="DL23" s="18"/>
      <c r="DM23" s="18"/>
      <c r="DN23" s="18"/>
      <c r="DO23" s="18"/>
      <c r="DP23" s="18"/>
      <c r="DQ23" s="18"/>
      <c r="DR23" s="18"/>
      <c r="DS23" s="18"/>
      <c r="DT23" s="18"/>
      <c r="DU23" s="18"/>
      <c r="DV23" s="18"/>
      <c r="DW23" s="18"/>
      <c r="DX23" s="18"/>
      <c r="DY23" s="18"/>
      <c r="DZ23" s="18"/>
      <c r="EA23" s="18"/>
      <c r="EB23" s="18"/>
      <c r="EC23" s="18"/>
      <c r="ED23" s="18"/>
      <c r="EE23" s="18"/>
      <c r="EF23" s="18"/>
      <c r="EG23" s="18"/>
      <c r="EH23" s="18"/>
      <c r="EI23" s="18"/>
      <c r="EJ23" s="18"/>
      <c r="EK23" s="18"/>
      <c r="EL23" s="18"/>
      <c r="EM23" s="18"/>
      <c r="EN23" s="18"/>
      <c r="EO23" s="18"/>
      <c r="EP23" s="18"/>
      <c r="EQ23" s="18"/>
      <c r="ER23" s="18"/>
      <c r="ES23" s="18"/>
      <c r="ET23" s="18"/>
      <c r="EU23" s="18"/>
      <c r="EV23" s="18"/>
      <c r="EW23" s="18"/>
      <c r="EX23" s="18"/>
      <c r="EY23" s="18"/>
      <c r="EZ23" s="18"/>
      <c r="FA23" s="18"/>
      <c r="FB23" s="18"/>
      <c r="FC23" s="18"/>
      <c r="FD23" s="18"/>
      <c r="FE23" s="18"/>
      <c r="FF23" s="18"/>
      <c r="FG23" s="18"/>
      <c r="FH23" s="18"/>
      <c r="FI23" s="18"/>
      <c r="FJ23" s="18"/>
      <c r="FK23" s="18"/>
      <c r="FL23" s="18"/>
      <c r="FM23" s="18"/>
      <c r="FN23" s="18"/>
      <c r="FO23" s="18"/>
      <c r="FP23" s="18"/>
      <c r="FQ23" s="18"/>
      <c r="FR23" s="18"/>
      <c r="FS23" s="18"/>
      <c r="FT23" s="18"/>
      <c r="FU23" s="18"/>
      <c r="FV23" s="18"/>
      <c r="FW23" s="18"/>
      <c r="FX23" s="18"/>
      <c r="FY23" s="18"/>
      <c r="FZ23" s="18"/>
      <c r="GA23" s="18"/>
      <c r="GB23" s="18"/>
      <c r="GC23" s="18"/>
      <c r="GD23" s="18"/>
      <c r="GE23" s="18"/>
      <c r="GF23" s="18"/>
      <c r="GG23" s="18"/>
      <c r="GH23" s="18"/>
      <c r="GI23" s="18"/>
      <c r="GJ23" s="18"/>
      <c r="GK23" s="18"/>
      <c r="GL23" s="18"/>
      <c r="GM23" s="18"/>
      <c r="GN23" s="18"/>
      <c r="GO23" s="18"/>
      <c r="GP23" s="18"/>
      <c r="GQ23" s="18"/>
      <c r="GR23" s="18"/>
      <c r="GS23" s="18"/>
      <c r="GT23" s="18"/>
      <c r="GU23" s="18"/>
      <c r="GV23" s="18"/>
      <c r="GW23" s="18"/>
      <c r="GX23" s="18"/>
      <c r="GY23" s="18"/>
      <c r="GZ23" s="18"/>
      <c r="HA23" s="18"/>
      <c r="HB23" s="18"/>
      <c r="HC23" s="18"/>
      <c r="HD23" s="18"/>
      <c r="HE23" s="18"/>
      <c r="HF23" s="18"/>
      <c r="HG23" s="18"/>
      <c r="HH23" s="18"/>
      <c r="HI23" s="18"/>
      <c r="HJ23" s="18"/>
      <c r="HK23" s="18"/>
      <c r="HL23" s="18"/>
      <c r="HM23" s="18"/>
      <c r="HN23" s="18"/>
      <c r="HO23" s="18"/>
      <c r="HP23" s="18"/>
      <c r="HQ23" s="18"/>
      <c r="HR23" s="18"/>
      <c r="HS23" s="18"/>
      <c r="HT23" s="18"/>
      <c r="HU23" s="18"/>
      <c r="HV23" s="18"/>
      <c r="HW23" s="18"/>
      <c r="HX23" s="18"/>
      <c r="HY23" s="18"/>
      <c r="HZ23" s="18"/>
      <c r="IA23" s="18"/>
      <c r="IB23" s="18"/>
      <c r="IC23" s="18"/>
      <c r="ID23" s="18"/>
      <c r="IE23" s="18"/>
      <c r="IF23" s="18"/>
      <c r="IG23" s="18"/>
      <c r="IH23" s="18"/>
      <c r="II23" s="18"/>
      <c r="IJ23" s="18"/>
      <c r="IK23" s="18"/>
      <c r="IL23" s="18"/>
      <c r="IM23" s="18"/>
      <c r="IN23" s="18"/>
      <c r="IO23" s="18"/>
      <c r="IP23" s="18"/>
      <c r="IQ23" s="18"/>
      <c r="IR23" s="18"/>
      <c r="IS23" s="18"/>
      <c r="IT23" s="18"/>
      <c r="IU23" s="18"/>
      <c r="IV23" s="18"/>
      <c r="IW23" s="18"/>
      <c r="IX23" s="18"/>
      <c r="IY23" s="18"/>
      <c r="IZ23" s="18"/>
      <c r="JA23" s="18"/>
      <c r="JB23" s="18"/>
      <c r="JC23" s="18"/>
      <c r="JD23" s="18"/>
      <c r="JE23" s="18"/>
    </row>
    <row r="24" spans="1:265" x14ac:dyDescent="0.25">
      <c r="B24" s="22"/>
      <c r="C24" s="22"/>
      <c r="D24" s="22"/>
      <c r="E24" s="23"/>
      <c r="F24" s="23"/>
      <c r="G24" s="23"/>
      <c r="H24" s="23"/>
      <c r="I24" s="23"/>
      <c r="K24" s="18"/>
      <c r="L24" s="18"/>
      <c r="M24" s="18"/>
      <c r="N24" s="18"/>
      <c r="O24" s="18"/>
      <c r="P24" s="18"/>
      <c r="Q24" s="18"/>
      <c r="R24" s="18"/>
      <c r="S24" s="18"/>
      <c r="T24" s="18"/>
      <c r="U24" s="18"/>
      <c r="V24" s="214"/>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8"/>
      <c r="BK24" s="18"/>
      <c r="BL24" s="18"/>
      <c r="BM24" s="18"/>
      <c r="BN24" s="18"/>
      <c r="BO24" s="18"/>
      <c r="BP24" s="18"/>
      <c r="BQ24" s="18"/>
      <c r="BR24" s="18"/>
      <c r="BS24" s="18"/>
      <c r="BT24" s="18"/>
      <c r="BU24" s="18"/>
      <c r="BV24" s="18"/>
      <c r="BW24" s="18"/>
      <c r="BX24" s="18"/>
      <c r="BY24" s="18"/>
      <c r="BZ24" s="18"/>
      <c r="CA24" s="18"/>
      <c r="CB24" s="18"/>
      <c r="CC24" s="18"/>
      <c r="CD24" s="18"/>
      <c r="CE24" s="18"/>
      <c r="CF24" s="18"/>
      <c r="CG24" s="18"/>
      <c r="CH24" s="18"/>
      <c r="CI24" s="18"/>
      <c r="CJ24" s="18"/>
      <c r="CK24" s="18"/>
      <c r="CL24" s="18"/>
      <c r="CM24" s="18"/>
      <c r="CN24" s="18"/>
      <c r="CO24" s="18"/>
      <c r="CP24" s="18"/>
      <c r="CQ24" s="18"/>
      <c r="CR24" s="18"/>
      <c r="CS24" s="18"/>
      <c r="CT24" s="18"/>
      <c r="CU24" s="18"/>
      <c r="CV24" s="18"/>
      <c r="CW24" s="18"/>
      <c r="CX24" s="18"/>
      <c r="CY24" s="18"/>
      <c r="CZ24" s="18"/>
      <c r="DA24" s="18"/>
      <c r="DB24" s="18"/>
      <c r="DC24" s="18"/>
      <c r="DD24" s="18"/>
      <c r="DE24" s="18"/>
      <c r="DF24" s="18"/>
      <c r="DG24" s="18"/>
      <c r="DH24" s="18"/>
      <c r="DI24" s="18"/>
      <c r="DJ24" s="18"/>
      <c r="DK24" s="18"/>
      <c r="DL24" s="18"/>
      <c r="DM24" s="18"/>
      <c r="DN24" s="18"/>
      <c r="DO24" s="18"/>
      <c r="DP24" s="18"/>
      <c r="DQ24" s="18"/>
      <c r="DR24" s="18"/>
      <c r="DS24" s="18"/>
      <c r="DT24" s="18"/>
      <c r="DU24" s="18"/>
      <c r="DV24" s="18"/>
      <c r="DW24" s="18"/>
      <c r="DX24" s="18"/>
      <c r="DY24" s="18"/>
      <c r="DZ24" s="18"/>
      <c r="EA24" s="18"/>
      <c r="EB24" s="18"/>
      <c r="EC24" s="18"/>
      <c r="ED24" s="18"/>
      <c r="EE24" s="18"/>
      <c r="EF24" s="18"/>
      <c r="EG24" s="18"/>
      <c r="EH24" s="18"/>
      <c r="EI24" s="18"/>
      <c r="EJ24" s="18"/>
      <c r="EK24" s="18"/>
      <c r="EL24" s="18"/>
      <c r="EM24" s="18"/>
      <c r="EN24" s="18"/>
      <c r="EO24" s="18"/>
      <c r="EP24" s="18"/>
      <c r="EQ24" s="18"/>
      <c r="ER24" s="18"/>
      <c r="ES24" s="18"/>
      <c r="ET24" s="18"/>
      <c r="EU24" s="18"/>
      <c r="EV24" s="18"/>
      <c r="EW24" s="18"/>
      <c r="EX24" s="18"/>
      <c r="EY24" s="18"/>
      <c r="EZ24" s="18"/>
      <c r="FA24" s="18"/>
      <c r="FB24" s="18"/>
      <c r="FC24" s="18"/>
      <c r="FD24" s="18"/>
      <c r="FE24" s="18"/>
      <c r="FF24" s="18"/>
      <c r="FG24" s="18"/>
      <c r="FH24" s="18"/>
      <c r="FI24" s="18"/>
      <c r="FJ24" s="18"/>
      <c r="FK24" s="18"/>
      <c r="FL24" s="18"/>
      <c r="FM24" s="18"/>
      <c r="FN24" s="18"/>
      <c r="FO24" s="18"/>
      <c r="FP24" s="18"/>
      <c r="FQ24" s="18"/>
      <c r="FR24" s="18"/>
      <c r="FS24" s="18"/>
      <c r="FT24" s="18"/>
      <c r="FU24" s="18"/>
      <c r="FV24" s="18"/>
      <c r="FW24" s="18"/>
      <c r="FX24" s="18"/>
      <c r="FY24" s="18"/>
      <c r="FZ24" s="18"/>
      <c r="GA24" s="18"/>
      <c r="GB24" s="18"/>
      <c r="GC24" s="18"/>
      <c r="GD24" s="18"/>
      <c r="GE24" s="18"/>
      <c r="GF24" s="18"/>
      <c r="GG24" s="18"/>
      <c r="GH24" s="18"/>
      <c r="GI24" s="18"/>
      <c r="GJ24" s="18"/>
      <c r="GK24" s="18"/>
      <c r="GL24" s="18"/>
      <c r="GM24" s="18"/>
      <c r="GN24" s="18"/>
      <c r="GO24" s="18"/>
      <c r="GP24" s="18"/>
      <c r="GQ24" s="18"/>
      <c r="GR24" s="18"/>
      <c r="GS24" s="18"/>
      <c r="GT24" s="18"/>
      <c r="GU24" s="18"/>
      <c r="GV24" s="18"/>
      <c r="GW24" s="18"/>
      <c r="GX24" s="18"/>
      <c r="GY24" s="18"/>
      <c r="GZ24" s="18"/>
      <c r="HA24" s="18"/>
      <c r="HB24" s="18"/>
      <c r="HC24" s="18"/>
      <c r="HD24" s="18"/>
      <c r="HE24" s="18"/>
      <c r="HF24" s="18"/>
      <c r="HG24" s="18"/>
      <c r="HH24" s="18"/>
      <c r="HI24" s="18"/>
      <c r="HJ24" s="18"/>
      <c r="HK24" s="18"/>
      <c r="HL24" s="18"/>
      <c r="HM24" s="18"/>
      <c r="HN24" s="18"/>
      <c r="HO24" s="18"/>
      <c r="HP24" s="18"/>
      <c r="HQ24" s="18"/>
      <c r="HR24" s="18"/>
      <c r="HS24" s="18"/>
      <c r="HT24" s="18"/>
      <c r="HU24" s="18"/>
      <c r="HV24" s="18"/>
      <c r="HW24" s="18"/>
      <c r="HX24" s="18"/>
      <c r="HY24" s="18"/>
      <c r="HZ24" s="18"/>
      <c r="IA24" s="18"/>
      <c r="IB24" s="18"/>
      <c r="IC24" s="18"/>
      <c r="ID24" s="18"/>
      <c r="IE24" s="18"/>
      <c r="IF24" s="18"/>
      <c r="IG24" s="18"/>
      <c r="IH24" s="18"/>
      <c r="II24" s="18"/>
      <c r="IJ24" s="18"/>
      <c r="IK24" s="18"/>
      <c r="IL24" s="18"/>
      <c r="IM24" s="18"/>
      <c r="IN24" s="18"/>
      <c r="IO24" s="18"/>
      <c r="IP24" s="18"/>
      <c r="IQ24" s="18"/>
      <c r="IR24" s="18"/>
      <c r="IS24" s="18"/>
      <c r="IT24" s="18"/>
      <c r="IU24" s="18"/>
      <c r="IV24" s="18"/>
      <c r="IW24" s="18"/>
      <c r="IX24" s="18"/>
      <c r="IY24" s="18"/>
      <c r="IZ24" s="18"/>
      <c r="JA24" s="18"/>
      <c r="JB24" s="18"/>
      <c r="JC24" s="18"/>
      <c r="JD24" s="18"/>
      <c r="JE24" s="18"/>
    </row>
    <row r="25" spans="1:265" ht="14.25" customHeight="1" x14ac:dyDescent="0.3">
      <c r="B25" s="24"/>
      <c r="C25" s="24"/>
      <c r="D25" s="24"/>
      <c r="E25" s="23"/>
      <c r="F25" s="421"/>
      <c r="G25" s="25"/>
      <c r="H25" s="25"/>
      <c r="I25" s="25"/>
      <c r="J25" s="25"/>
      <c r="K25" s="25"/>
      <c r="L25" s="25"/>
      <c r="M25" s="25"/>
      <c r="N25" s="357"/>
      <c r="O25" s="357"/>
      <c r="P25" s="357"/>
      <c r="Q25" s="357"/>
      <c r="R25" s="357"/>
      <c r="S25" s="357"/>
      <c r="T25" s="357"/>
      <c r="U25" s="18"/>
      <c r="V25" s="214"/>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8"/>
      <c r="BK25" s="18"/>
      <c r="BL25" s="18"/>
      <c r="BM25" s="18"/>
      <c r="BN25" s="18"/>
      <c r="BO25" s="18"/>
      <c r="BP25" s="18"/>
      <c r="BQ25" s="18"/>
      <c r="BR25" s="18"/>
      <c r="BS25" s="18"/>
      <c r="BT25" s="18"/>
      <c r="BU25" s="18"/>
      <c r="BV25" s="18"/>
      <c r="BW25" s="18"/>
      <c r="BX25" s="18"/>
      <c r="BY25" s="18"/>
      <c r="BZ25" s="18"/>
      <c r="CA25" s="18"/>
      <c r="CB25" s="18"/>
      <c r="CC25" s="18"/>
      <c r="CD25" s="18"/>
      <c r="CE25" s="18"/>
      <c r="CF25" s="18"/>
      <c r="CG25" s="18"/>
      <c r="CH25" s="18"/>
      <c r="CI25" s="18"/>
      <c r="CJ25" s="18"/>
      <c r="CK25" s="18"/>
      <c r="CL25" s="18"/>
      <c r="CM25" s="18"/>
      <c r="CN25" s="18"/>
      <c r="CO25" s="18"/>
      <c r="CP25" s="18"/>
      <c r="CQ25" s="18"/>
      <c r="CR25" s="18"/>
      <c r="CS25" s="18"/>
      <c r="CT25" s="18"/>
      <c r="CU25" s="18"/>
      <c r="CV25" s="18"/>
      <c r="CW25" s="18"/>
      <c r="CX25" s="18"/>
      <c r="CY25" s="18"/>
      <c r="CZ25" s="18"/>
      <c r="DA25" s="18"/>
      <c r="DB25" s="18"/>
      <c r="DC25" s="18"/>
      <c r="DD25" s="18"/>
      <c r="DE25" s="18"/>
      <c r="DF25" s="18"/>
      <c r="DG25" s="18"/>
      <c r="DH25" s="18"/>
      <c r="DI25" s="18"/>
      <c r="DJ25" s="18"/>
      <c r="DK25" s="18"/>
      <c r="DL25" s="18"/>
      <c r="DM25" s="18"/>
      <c r="DN25" s="18"/>
      <c r="DO25" s="18"/>
      <c r="DP25" s="18"/>
      <c r="DQ25" s="18"/>
      <c r="DR25" s="18"/>
      <c r="DS25" s="18"/>
      <c r="DT25" s="18"/>
      <c r="DU25" s="18"/>
      <c r="DV25" s="18"/>
      <c r="DW25" s="18"/>
      <c r="DX25" s="18"/>
      <c r="DY25" s="18"/>
      <c r="DZ25" s="18"/>
      <c r="EA25" s="18"/>
      <c r="EB25" s="18"/>
      <c r="EC25" s="18"/>
      <c r="ED25" s="18"/>
      <c r="EE25" s="18"/>
      <c r="EF25" s="18"/>
      <c r="EG25" s="18"/>
      <c r="EH25" s="18"/>
      <c r="EI25" s="18"/>
      <c r="EJ25" s="18"/>
      <c r="EK25" s="18"/>
      <c r="EL25" s="18"/>
      <c r="EM25" s="18"/>
      <c r="EN25" s="18"/>
      <c r="EO25" s="18"/>
      <c r="EP25" s="18"/>
      <c r="EQ25" s="18"/>
      <c r="ER25" s="18"/>
      <c r="ES25" s="18"/>
      <c r="ET25" s="18"/>
      <c r="EU25" s="18"/>
      <c r="EV25" s="18"/>
      <c r="EW25" s="18"/>
      <c r="EX25" s="18"/>
      <c r="EY25" s="18"/>
      <c r="EZ25" s="18"/>
      <c r="FA25" s="18"/>
      <c r="FB25" s="18"/>
      <c r="FC25" s="18"/>
      <c r="FD25" s="18"/>
      <c r="FE25" s="18"/>
      <c r="FF25" s="18"/>
      <c r="FG25" s="18"/>
      <c r="FH25" s="18"/>
      <c r="FI25" s="18"/>
      <c r="FJ25" s="18"/>
      <c r="FK25" s="18"/>
      <c r="FL25" s="18"/>
      <c r="FM25" s="18"/>
      <c r="FN25" s="18"/>
      <c r="FO25" s="18"/>
      <c r="FP25" s="18"/>
      <c r="FQ25" s="18"/>
      <c r="FR25" s="18"/>
      <c r="FS25" s="18"/>
      <c r="FT25" s="18"/>
      <c r="FU25" s="18"/>
      <c r="FV25" s="18"/>
      <c r="FW25" s="18"/>
      <c r="FX25" s="18"/>
      <c r="FY25" s="18"/>
      <c r="FZ25" s="18"/>
      <c r="GA25" s="18"/>
      <c r="GB25" s="18"/>
      <c r="GC25" s="18"/>
      <c r="GD25" s="18"/>
      <c r="GE25" s="18"/>
      <c r="GF25" s="18"/>
      <c r="GG25" s="18"/>
      <c r="GH25" s="18"/>
      <c r="GI25" s="18"/>
      <c r="GJ25" s="18"/>
      <c r="GK25" s="18"/>
      <c r="GL25" s="18"/>
      <c r="GM25" s="18"/>
      <c r="GN25" s="18"/>
      <c r="GO25" s="18"/>
      <c r="GP25" s="18"/>
      <c r="GQ25" s="18"/>
      <c r="GR25" s="18"/>
      <c r="GS25" s="18"/>
      <c r="GT25" s="18"/>
      <c r="GU25" s="18"/>
      <c r="GV25" s="18"/>
      <c r="GW25" s="18"/>
      <c r="GX25" s="18"/>
      <c r="GY25" s="18"/>
      <c r="GZ25" s="18"/>
      <c r="HA25" s="18"/>
      <c r="HB25" s="18"/>
      <c r="HC25" s="18"/>
      <c r="HD25" s="18"/>
      <c r="HE25" s="18"/>
      <c r="HF25" s="18"/>
      <c r="HG25" s="18"/>
      <c r="HH25" s="18"/>
      <c r="HI25" s="18"/>
      <c r="HJ25" s="18"/>
      <c r="HK25" s="18"/>
      <c r="HL25" s="18"/>
      <c r="HM25" s="18"/>
      <c r="HN25" s="18"/>
      <c r="HO25" s="18"/>
      <c r="HP25" s="18"/>
      <c r="HQ25" s="18"/>
      <c r="HR25" s="18"/>
      <c r="HS25" s="18"/>
      <c r="HT25" s="18"/>
      <c r="HU25" s="18"/>
      <c r="HV25" s="18"/>
      <c r="HW25" s="18"/>
      <c r="HX25" s="18"/>
      <c r="HY25" s="18"/>
      <c r="HZ25" s="18"/>
      <c r="IA25" s="18"/>
      <c r="IB25" s="18"/>
      <c r="IC25" s="18"/>
      <c r="ID25" s="18"/>
      <c r="IE25" s="18"/>
      <c r="IF25" s="18"/>
      <c r="IG25" s="18"/>
      <c r="IH25" s="18"/>
      <c r="II25" s="18"/>
      <c r="IJ25" s="18"/>
      <c r="IK25" s="18"/>
      <c r="IL25" s="18"/>
      <c r="IM25" s="18"/>
      <c r="IN25" s="18"/>
      <c r="IO25" s="18"/>
      <c r="IP25" s="18"/>
      <c r="IQ25" s="18"/>
      <c r="IR25" s="18"/>
      <c r="IS25" s="18"/>
      <c r="IT25" s="18"/>
      <c r="IU25" s="18"/>
      <c r="IV25" s="18"/>
      <c r="IW25" s="18"/>
      <c r="IX25" s="18"/>
      <c r="IY25" s="18"/>
      <c r="IZ25" s="18"/>
      <c r="JA25" s="18"/>
      <c r="JB25" s="18"/>
      <c r="JC25" s="18"/>
      <c r="JD25" s="18"/>
      <c r="JE25" s="18"/>
    </row>
    <row r="26" spans="1:265" x14ac:dyDescent="0.25">
      <c r="B26" s="24"/>
      <c r="C26" s="24"/>
      <c r="D26" s="24"/>
      <c r="E26" s="23"/>
      <c r="F26" s="23"/>
      <c r="G26" s="23"/>
      <c r="H26" s="23"/>
      <c r="I26" s="23"/>
      <c r="J26" s="18"/>
      <c r="K26" s="18"/>
      <c r="L26" s="18"/>
      <c r="M26" s="18"/>
      <c r="N26" s="18"/>
      <c r="O26" s="18"/>
      <c r="P26" s="18"/>
      <c r="Q26" s="18"/>
      <c r="R26" s="18"/>
      <c r="S26" s="18"/>
      <c r="T26" s="18"/>
      <c r="U26" s="18"/>
      <c r="V26" s="214"/>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8"/>
      <c r="BK26" s="18"/>
      <c r="BL26" s="18"/>
      <c r="BM26" s="18"/>
      <c r="BN26" s="18"/>
      <c r="BO26" s="18"/>
      <c r="BP26" s="18"/>
      <c r="BQ26" s="18"/>
      <c r="BR26" s="18"/>
      <c r="BS26" s="18"/>
      <c r="BT26" s="18"/>
      <c r="BU26" s="18"/>
      <c r="BV26" s="18"/>
      <c r="BW26" s="18"/>
      <c r="BX26" s="18"/>
      <c r="BY26" s="18"/>
      <c r="BZ26" s="18"/>
      <c r="CA26" s="18"/>
      <c r="CB26" s="18"/>
      <c r="CC26" s="18"/>
      <c r="CD26" s="18"/>
      <c r="CE26" s="18"/>
      <c r="CF26" s="18"/>
      <c r="CG26" s="18"/>
      <c r="CH26" s="18"/>
      <c r="CI26" s="18"/>
      <c r="CJ26" s="18"/>
      <c r="CK26" s="18"/>
      <c r="CL26" s="18"/>
      <c r="CM26" s="18"/>
      <c r="CN26" s="18"/>
      <c r="CO26" s="18"/>
      <c r="CP26" s="18"/>
      <c r="CQ26" s="18"/>
      <c r="CR26" s="18"/>
      <c r="CS26" s="18"/>
      <c r="CT26" s="18"/>
      <c r="CU26" s="18"/>
      <c r="CV26" s="18"/>
      <c r="CW26" s="18"/>
      <c r="CX26" s="18"/>
      <c r="CY26" s="18"/>
      <c r="CZ26" s="18"/>
      <c r="DA26" s="18"/>
      <c r="DB26" s="18"/>
      <c r="DC26" s="18"/>
      <c r="DD26" s="18"/>
      <c r="DE26" s="18"/>
      <c r="DF26" s="18"/>
      <c r="DG26" s="18"/>
      <c r="DH26" s="18"/>
      <c r="DI26" s="18"/>
      <c r="DJ26" s="18"/>
      <c r="DK26" s="18"/>
      <c r="DL26" s="18"/>
      <c r="DM26" s="18"/>
      <c r="DN26" s="18"/>
      <c r="DO26" s="18"/>
      <c r="DP26" s="18"/>
      <c r="DQ26" s="18"/>
      <c r="DR26" s="18"/>
      <c r="DS26" s="18"/>
      <c r="DT26" s="18"/>
      <c r="DU26" s="18"/>
      <c r="DV26" s="18"/>
      <c r="DW26" s="18"/>
      <c r="DX26" s="18"/>
      <c r="DY26" s="18"/>
      <c r="DZ26" s="18"/>
      <c r="EA26" s="18"/>
      <c r="EB26" s="18"/>
      <c r="EC26" s="18"/>
      <c r="ED26" s="18"/>
      <c r="EE26" s="18"/>
      <c r="EF26" s="18"/>
      <c r="EG26" s="18"/>
      <c r="EH26" s="18"/>
      <c r="EI26" s="18"/>
      <c r="EJ26" s="18"/>
      <c r="EK26" s="18"/>
      <c r="EL26" s="18"/>
      <c r="EM26" s="18"/>
      <c r="EN26" s="18"/>
      <c r="EO26" s="18"/>
      <c r="EP26" s="18"/>
      <c r="EQ26" s="18"/>
      <c r="ER26" s="18"/>
      <c r="ES26" s="18"/>
      <c r="ET26" s="18"/>
      <c r="EU26" s="18"/>
      <c r="EV26" s="18"/>
      <c r="EW26" s="18"/>
      <c r="EX26" s="18"/>
      <c r="EY26" s="18"/>
      <c r="EZ26" s="18"/>
      <c r="FA26" s="18"/>
      <c r="FB26" s="18"/>
      <c r="FC26" s="18"/>
      <c r="FD26" s="18"/>
      <c r="FE26" s="18"/>
      <c r="FF26" s="18"/>
      <c r="FG26" s="18"/>
      <c r="FH26" s="18"/>
      <c r="FI26" s="18"/>
      <c r="FJ26" s="18"/>
      <c r="FK26" s="18"/>
      <c r="FL26" s="18"/>
      <c r="FM26" s="18"/>
      <c r="FN26" s="18"/>
      <c r="FO26" s="18"/>
      <c r="FP26" s="18"/>
      <c r="FQ26" s="18"/>
      <c r="FR26" s="18"/>
      <c r="FS26" s="18"/>
      <c r="FT26" s="18"/>
      <c r="FU26" s="18"/>
      <c r="FV26" s="18"/>
      <c r="FW26" s="18"/>
      <c r="FX26" s="18"/>
      <c r="FY26" s="18"/>
      <c r="FZ26" s="18"/>
      <c r="GA26" s="18"/>
      <c r="GB26" s="18"/>
      <c r="GC26" s="18"/>
      <c r="GD26" s="18"/>
      <c r="GE26" s="18"/>
      <c r="GF26" s="18"/>
      <c r="GG26" s="18"/>
      <c r="GH26" s="18"/>
      <c r="GI26" s="18"/>
      <c r="GJ26" s="18"/>
      <c r="GK26" s="18"/>
      <c r="GL26" s="18"/>
      <c r="GM26" s="18"/>
      <c r="GN26" s="18"/>
      <c r="GO26" s="18"/>
      <c r="GP26" s="18"/>
      <c r="GQ26" s="18"/>
      <c r="GR26" s="18"/>
      <c r="GS26" s="18"/>
      <c r="GT26" s="18"/>
      <c r="GU26" s="18"/>
      <c r="GV26" s="18"/>
      <c r="GW26" s="18"/>
      <c r="GX26" s="18"/>
      <c r="GY26" s="18"/>
      <c r="GZ26" s="18"/>
      <c r="HA26" s="18"/>
      <c r="HB26" s="18"/>
      <c r="HC26" s="18"/>
      <c r="HD26" s="18"/>
      <c r="HE26" s="18"/>
      <c r="HF26" s="18"/>
      <c r="HG26" s="18"/>
      <c r="HH26" s="18"/>
      <c r="HI26" s="18"/>
      <c r="HJ26" s="18"/>
      <c r="HK26" s="18"/>
      <c r="HL26" s="18"/>
      <c r="HM26" s="18"/>
      <c r="HN26" s="18"/>
      <c r="HO26" s="18"/>
      <c r="HP26" s="18"/>
      <c r="HQ26" s="18"/>
      <c r="HR26" s="18"/>
      <c r="HS26" s="18"/>
      <c r="HT26" s="18"/>
      <c r="HU26" s="18"/>
      <c r="HV26" s="18"/>
      <c r="HW26" s="18"/>
      <c r="HX26" s="18"/>
      <c r="HY26" s="18"/>
      <c r="HZ26" s="18"/>
      <c r="IA26" s="18"/>
      <c r="IB26" s="18"/>
      <c r="IC26" s="18"/>
      <c r="ID26" s="18"/>
      <c r="IE26" s="18"/>
      <c r="IF26" s="18"/>
      <c r="IG26" s="18"/>
      <c r="IH26" s="18"/>
      <c r="II26" s="18"/>
      <c r="IJ26" s="18"/>
      <c r="IK26" s="18"/>
      <c r="IL26" s="18"/>
      <c r="IM26" s="18"/>
      <c r="IN26" s="18"/>
      <c r="IO26" s="18"/>
      <c r="IP26" s="18"/>
      <c r="IQ26" s="18"/>
      <c r="IR26" s="18"/>
      <c r="IS26" s="18"/>
      <c r="IT26" s="18"/>
      <c r="IU26" s="18"/>
      <c r="IV26" s="18"/>
      <c r="IW26" s="18"/>
      <c r="IX26" s="18"/>
      <c r="IY26" s="18"/>
      <c r="IZ26" s="18"/>
      <c r="JA26" s="18"/>
      <c r="JB26" s="18"/>
      <c r="JC26" s="18"/>
      <c r="JD26" s="18"/>
      <c r="JE26" s="18"/>
    </row>
    <row r="27" spans="1:265" ht="17.399999999999999" x14ac:dyDescent="0.3">
      <c r="B27" s="421"/>
      <c r="C27" s="421"/>
      <c r="D27" s="421"/>
      <c r="E27" s="421"/>
      <c r="F27" s="421"/>
      <c r="G27" s="421"/>
      <c r="H27" s="421"/>
      <c r="I27" s="421"/>
      <c r="J27" s="421"/>
      <c r="K27" s="421"/>
      <c r="L27" s="421"/>
      <c r="M27" s="421"/>
      <c r="N27" s="18"/>
      <c r="O27" s="18"/>
      <c r="P27" s="18"/>
      <c r="Q27" s="18"/>
      <c r="R27" s="18"/>
      <c r="S27" s="18"/>
      <c r="T27" s="18"/>
      <c r="U27" s="18"/>
      <c r="V27" s="214"/>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8"/>
      <c r="BK27" s="18"/>
      <c r="BL27" s="18"/>
      <c r="BM27" s="18"/>
      <c r="BN27" s="18"/>
      <c r="BO27" s="18"/>
      <c r="BP27" s="18"/>
      <c r="BQ27" s="18"/>
      <c r="BR27" s="18"/>
      <c r="BS27" s="18"/>
      <c r="BT27" s="18"/>
      <c r="BU27" s="18"/>
      <c r="BV27" s="18"/>
      <c r="BW27" s="18"/>
      <c r="BX27" s="18"/>
      <c r="BY27" s="18"/>
      <c r="BZ27" s="18"/>
      <c r="CA27" s="18"/>
      <c r="CB27" s="18"/>
      <c r="CC27" s="18"/>
      <c r="CD27" s="18"/>
      <c r="CE27" s="18"/>
      <c r="CF27" s="18"/>
      <c r="CG27" s="18"/>
      <c r="CH27" s="18"/>
      <c r="CI27" s="18"/>
      <c r="CJ27" s="18"/>
      <c r="CK27" s="18"/>
      <c r="CL27" s="18"/>
      <c r="CM27" s="18"/>
      <c r="CN27" s="18"/>
      <c r="CO27" s="18"/>
      <c r="CP27" s="18"/>
      <c r="CQ27" s="18"/>
      <c r="CR27" s="18"/>
      <c r="CS27" s="18"/>
      <c r="CT27" s="18"/>
      <c r="CU27" s="18"/>
      <c r="CV27" s="18"/>
      <c r="CW27" s="18"/>
      <c r="CX27" s="18"/>
      <c r="CY27" s="18"/>
      <c r="CZ27" s="18"/>
      <c r="DA27" s="18"/>
      <c r="DB27" s="18"/>
      <c r="DC27" s="18"/>
      <c r="DD27" s="18"/>
      <c r="DE27" s="18"/>
      <c r="DF27" s="18"/>
      <c r="DG27" s="18"/>
      <c r="DH27" s="18"/>
      <c r="DI27" s="18"/>
      <c r="DJ27" s="18"/>
      <c r="DK27" s="18"/>
      <c r="DL27" s="18"/>
      <c r="DM27" s="18"/>
      <c r="DN27" s="18"/>
      <c r="DO27" s="18"/>
      <c r="DP27" s="18"/>
      <c r="DQ27" s="18"/>
      <c r="DR27" s="18"/>
      <c r="DS27" s="18"/>
      <c r="DT27" s="18"/>
      <c r="DU27" s="18"/>
      <c r="DV27" s="18"/>
      <c r="DW27" s="18"/>
      <c r="DX27" s="18"/>
      <c r="DY27" s="18"/>
      <c r="DZ27" s="18"/>
      <c r="EA27" s="18"/>
      <c r="EB27" s="18"/>
      <c r="EC27" s="18"/>
      <c r="ED27" s="18"/>
      <c r="EE27" s="18"/>
      <c r="EF27" s="18"/>
      <c r="EG27" s="18"/>
      <c r="EH27" s="18"/>
      <c r="EI27" s="18"/>
      <c r="EJ27" s="18"/>
      <c r="EK27" s="18"/>
      <c r="EL27" s="18"/>
      <c r="EM27" s="18"/>
      <c r="EN27" s="18"/>
      <c r="EO27" s="18"/>
      <c r="EP27" s="18"/>
      <c r="EQ27" s="18"/>
      <c r="ER27" s="18"/>
      <c r="ES27" s="18"/>
      <c r="ET27" s="18"/>
      <c r="EU27" s="18"/>
      <c r="EV27" s="18"/>
      <c r="EW27" s="18"/>
      <c r="EX27" s="18"/>
      <c r="EY27" s="18"/>
      <c r="EZ27" s="18"/>
      <c r="FA27" s="18"/>
      <c r="FB27" s="18"/>
      <c r="FC27" s="18"/>
      <c r="FD27" s="18"/>
      <c r="FE27" s="18"/>
      <c r="FF27" s="18"/>
      <c r="FG27" s="18"/>
      <c r="FH27" s="18"/>
      <c r="FI27" s="18"/>
      <c r="FJ27" s="18"/>
      <c r="FK27" s="18"/>
      <c r="FL27" s="18"/>
      <c r="FM27" s="18"/>
      <c r="FN27" s="18"/>
      <c r="FO27" s="18"/>
      <c r="FP27" s="18"/>
      <c r="FQ27" s="18"/>
      <c r="FR27" s="18"/>
      <c r="FS27" s="18"/>
      <c r="FT27" s="18"/>
      <c r="FU27" s="18"/>
      <c r="FV27" s="18"/>
      <c r="FW27" s="18"/>
      <c r="FX27" s="18"/>
      <c r="FY27" s="18"/>
      <c r="FZ27" s="18"/>
      <c r="GA27" s="18"/>
      <c r="GB27" s="18"/>
      <c r="GC27" s="18"/>
      <c r="GD27" s="18"/>
      <c r="GE27" s="18"/>
      <c r="GF27" s="18"/>
      <c r="GG27" s="18"/>
      <c r="GH27" s="18"/>
      <c r="GI27" s="18"/>
      <c r="GJ27" s="18"/>
      <c r="GK27" s="18"/>
      <c r="GL27" s="18"/>
      <c r="GM27" s="18"/>
      <c r="GN27" s="18"/>
      <c r="GO27" s="18"/>
      <c r="GP27" s="18"/>
      <c r="GQ27" s="18"/>
      <c r="GR27" s="18"/>
      <c r="GS27" s="18"/>
      <c r="GT27" s="18"/>
      <c r="GU27" s="18"/>
      <c r="GV27" s="18"/>
      <c r="GW27" s="18"/>
      <c r="GX27" s="18"/>
      <c r="GY27" s="18"/>
      <c r="GZ27" s="18"/>
      <c r="HA27" s="18"/>
      <c r="HB27" s="18"/>
      <c r="HC27" s="18"/>
      <c r="HD27" s="18"/>
      <c r="HE27" s="18"/>
      <c r="HF27" s="18"/>
      <c r="HG27" s="18"/>
      <c r="HH27" s="18"/>
      <c r="HI27" s="18"/>
      <c r="HJ27" s="18"/>
      <c r="HK27" s="18"/>
      <c r="HL27" s="18"/>
      <c r="HM27" s="18"/>
      <c r="HN27" s="18"/>
      <c r="HO27" s="18"/>
      <c r="HP27" s="18"/>
      <c r="HQ27" s="18"/>
      <c r="HR27" s="18"/>
      <c r="HS27" s="18"/>
      <c r="HT27" s="18"/>
      <c r="HU27" s="18"/>
      <c r="HV27" s="18"/>
      <c r="HW27" s="18"/>
      <c r="HX27" s="18"/>
      <c r="HY27" s="18"/>
      <c r="HZ27" s="18"/>
      <c r="IA27" s="18"/>
      <c r="IB27" s="18"/>
      <c r="IC27" s="18"/>
      <c r="ID27" s="18"/>
      <c r="IE27" s="18"/>
      <c r="IF27" s="18"/>
      <c r="IG27" s="18"/>
      <c r="IH27" s="18"/>
      <c r="II27" s="18"/>
      <c r="IJ27" s="18"/>
      <c r="IK27" s="18"/>
      <c r="IL27" s="18"/>
      <c r="IM27" s="18"/>
      <c r="IN27" s="18"/>
      <c r="IO27" s="18"/>
      <c r="IP27" s="18"/>
      <c r="IQ27" s="18"/>
      <c r="IR27" s="18"/>
      <c r="IS27" s="18"/>
      <c r="IT27" s="18"/>
      <c r="IU27" s="18"/>
      <c r="IV27" s="18"/>
      <c r="IW27" s="18"/>
      <c r="IX27" s="18"/>
      <c r="IY27" s="18"/>
      <c r="IZ27" s="18"/>
      <c r="JA27" s="18"/>
      <c r="JB27" s="18"/>
      <c r="JC27" s="18"/>
      <c r="JD27" s="18"/>
      <c r="JE27" s="18"/>
    </row>
    <row r="28" spans="1:265" ht="16.2" thickBot="1" x14ac:dyDescent="0.35">
      <c r="B28" s="26"/>
      <c r="C28" s="26"/>
      <c r="D28" s="26"/>
      <c r="E28" s="26"/>
      <c r="F28" s="26"/>
      <c r="G28" s="26"/>
      <c r="H28" s="26"/>
      <c r="I28" s="26"/>
      <c r="J28" s="26"/>
      <c r="K28" s="26"/>
      <c r="L28" s="26"/>
      <c r="M28" s="26"/>
      <c r="N28" s="18"/>
      <c r="O28" s="18"/>
      <c r="P28" s="18"/>
      <c r="Q28" s="18"/>
      <c r="R28" s="18"/>
      <c r="S28" s="18"/>
      <c r="T28" s="18"/>
      <c r="U28" s="18"/>
      <c r="V28" s="214"/>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8"/>
      <c r="BK28" s="18"/>
      <c r="BL28" s="18"/>
      <c r="BM28" s="18"/>
      <c r="BN28" s="18"/>
      <c r="BO28" s="18"/>
      <c r="BP28" s="18"/>
      <c r="BQ28" s="18"/>
      <c r="BR28" s="18"/>
      <c r="BS28" s="18"/>
      <c r="BT28" s="18"/>
      <c r="BU28" s="18"/>
      <c r="BV28" s="18"/>
      <c r="BW28" s="18"/>
      <c r="BX28" s="18"/>
      <c r="BY28" s="18"/>
      <c r="BZ28" s="18"/>
      <c r="CA28" s="18"/>
      <c r="CB28" s="18"/>
      <c r="CC28" s="18"/>
      <c r="CD28" s="18"/>
      <c r="CE28" s="18"/>
      <c r="CF28" s="18"/>
      <c r="CG28" s="18"/>
      <c r="CH28" s="18"/>
      <c r="CI28" s="18"/>
      <c r="CJ28" s="18"/>
      <c r="CK28" s="18"/>
      <c r="CL28" s="18"/>
      <c r="CM28" s="18"/>
      <c r="CN28" s="18"/>
      <c r="CO28" s="18"/>
      <c r="CP28" s="18"/>
      <c r="CQ28" s="18"/>
      <c r="CR28" s="18"/>
      <c r="CS28" s="18"/>
      <c r="CT28" s="18"/>
      <c r="CU28" s="18"/>
      <c r="CV28" s="18"/>
      <c r="CW28" s="18"/>
      <c r="CX28" s="18"/>
      <c r="CY28" s="18"/>
      <c r="CZ28" s="18"/>
      <c r="DA28" s="18"/>
      <c r="DB28" s="18"/>
      <c r="DC28" s="18"/>
      <c r="DD28" s="18"/>
      <c r="DE28" s="18"/>
      <c r="DF28" s="18"/>
      <c r="DG28" s="18"/>
      <c r="DH28" s="18"/>
      <c r="DI28" s="18"/>
      <c r="DJ28" s="18"/>
      <c r="DK28" s="18"/>
      <c r="DL28" s="18"/>
      <c r="DM28" s="18"/>
      <c r="DN28" s="18"/>
      <c r="DO28" s="18"/>
      <c r="DP28" s="18"/>
      <c r="DQ28" s="18"/>
      <c r="DR28" s="18"/>
      <c r="DS28" s="18"/>
      <c r="DT28" s="18"/>
      <c r="DU28" s="18"/>
      <c r="DV28" s="18"/>
      <c r="DW28" s="18"/>
      <c r="DX28" s="18"/>
      <c r="DY28" s="18"/>
      <c r="DZ28" s="18"/>
      <c r="EA28" s="18"/>
      <c r="EB28" s="18"/>
      <c r="EC28" s="18"/>
      <c r="ED28" s="18"/>
      <c r="EE28" s="18"/>
      <c r="EF28" s="18"/>
      <c r="EG28" s="18"/>
      <c r="EH28" s="18"/>
      <c r="EI28" s="18"/>
      <c r="EJ28" s="18"/>
      <c r="EK28" s="18"/>
      <c r="EL28" s="18"/>
      <c r="EM28" s="18"/>
      <c r="EN28" s="18"/>
      <c r="EO28" s="18"/>
      <c r="EP28" s="18"/>
      <c r="EQ28" s="18"/>
      <c r="ER28" s="18"/>
      <c r="ES28" s="18"/>
      <c r="ET28" s="18"/>
      <c r="EU28" s="18"/>
      <c r="EV28" s="18"/>
      <c r="EW28" s="18"/>
      <c r="EX28" s="18"/>
      <c r="EY28" s="18"/>
      <c r="EZ28" s="18"/>
      <c r="FA28" s="18"/>
      <c r="FB28" s="18"/>
      <c r="FC28" s="18"/>
      <c r="FD28" s="18"/>
      <c r="FE28" s="18"/>
      <c r="FF28" s="18"/>
      <c r="FG28" s="18"/>
      <c r="FH28" s="18"/>
      <c r="FI28" s="18"/>
      <c r="FJ28" s="18"/>
      <c r="FK28" s="18"/>
      <c r="FL28" s="18"/>
      <c r="FM28" s="18"/>
      <c r="FN28" s="18"/>
      <c r="FO28" s="18"/>
      <c r="FP28" s="18"/>
      <c r="FQ28" s="18"/>
      <c r="FR28" s="18"/>
      <c r="FS28" s="18"/>
      <c r="FT28" s="18"/>
      <c r="FU28" s="18"/>
      <c r="FV28" s="18"/>
      <c r="FW28" s="18"/>
      <c r="FX28" s="18"/>
      <c r="FY28" s="18"/>
      <c r="FZ28" s="18"/>
      <c r="GA28" s="18"/>
      <c r="GB28" s="18"/>
      <c r="GC28" s="18"/>
      <c r="GD28" s="18"/>
      <c r="GE28" s="18"/>
      <c r="GF28" s="18"/>
      <c r="GG28" s="18"/>
      <c r="GH28" s="18"/>
      <c r="GI28" s="18"/>
      <c r="GJ28" s="18"/>
      <c r="GK28" s="18"/>
      <c r="GL28" s="18"/>
      <c r="GM28" s="18"/>
      <c r="GN28" s="18"/>
      <c r="GO28" s="18"/>
      <c r="GP28" s="18"/>
      <c r="GQ28" s="18"/>
      <c r="GR28" s="18"/>
      <c r="GS28" s="18"/>
      <c r="GT28" s="18"/>
      <c r="GU28" s="18"/>
      <c r="GV28" s="18"/>
      <c r="GW28" s="18"/>
      <c r="GX28" s="18"/>
      <c r="GY28" s="18"/>
      <c r="GZ28" s="18"/>
      <c r="HA28" s="18"/>
      <c r="HB28" s="18"/>
      <c r="HC28" s="18"/>
      <c r="HD28" s="18"/>
      <c r="HE28" s="18"/>
      <c r="HF28" s="18"/>
      <c r="HG28" s="18"/>
      <c r="HH28" s="18"/>
      <c r="HI28" s="18"/>
      <c r="HJ28" s="18"/>
      <c r="HK28" s="18"/>
      <c r="HL28" s="18"/>
      <c r="HM28" s="18"/>
      <c r="HN28" s="18"/>
      <c r="HO28" s="18"/>
      <c r="HP28" s="18"/>
      <c r="HQ28" s="18"/>
      <c r="HR28" s="18"/>
      <c r="HS28" s="18"/>
      <c r="HT28" s="18"/>
      <c r="HU28" s="18"/>
      <c r="HV28" s="18"/>
      <c r="HW28" s="18"/>
      <c r="HX28" s="18"/>
      <c r="HY28" s="18"/>
      <c r="HZ28" s="18"/>
      <c r="IA28" s="18"/>
      <c r="IB28" s="18"/>
      <c r="IC28" s="18"/>
      <c r="ID28" s="18"/>
      <c r="IE28" s="18"/>
      <c r="IF28" s="18"/>
      <c r="IG28" s="18"/>
      <c r="IH28" s="18"/>
      <c r="II28" s="18"/>
      <c r="IJ28" s="18"/>
      <c r="IK28" s="18"/>
      <c r="IL28" s="18"/>
      <c r="IM28" s="18"/>
      <c r="IN28" s="18"/>
      <c r="IO28" s="18"/>
      <c r="IP28" s="18"/>
      <c r="IQ28" s="18"/>
      <c r="IR28" s="18"/>
      <c r="IS28" s="18"/>
      <c r="IT28" s="18"/>
      <c r="IU28" s="18"/>
      <c r="IV28" s="18"/>
      <c r="IW28" s="18"/>
      <c r="IX28" s="18"/>
      <c r="IY28" s="18"/>
      <c r="IZ28" s="18"/>
      <c r="JA28" s="18"/>
      <c r="JB28" s="18"/>
      <c r="JC28" s="18"/>
      <c r="JD28" s="18"/>
      <c r="JE28" s="18"/>
    </row>
    <row r="29" spans="1:265" ht="15.75" customHeight="1" x14ac:dyDescent="0.25">
      <c r="A29" s="2041" t="s">
        <v>8</v>
      </c>
      <c r="B29" s="2058" t="s">
        <v>491</v>
      </c>
      <c r="C29" s="2058" t="s">
        <v>128</v>
      </c>
      <c r="D29" s="2058"/>
      <c r="E29" s="2056" t="s">
        <v>471</v>
      </c>
      <c r="F29" s="2048" t="s">
        <v>1704</v>
      </c>
      <c r="G29" s="2048" t="s">
        <v>1368</v>
      </c>
      <c r="H29" s="2048" t="s">
        <v>1369</v>
      </c>
      <c r="I29" s="2048" t="s">
        <v>1710</v>
      </c>
      <c r="J29" s="2048" t="s">
        <v>1370</v>
      </c>
      <c r="K29" s="2048" t="s">
        <v>1371</v>
      </c>
      <c r="L29" s="2048" t="s">
        <v>1372</v>
      </c>
      <c r="M29" s="2048" t="s">
        <v>1373</v>
      </c>
      <c r="N29" s="2048" t="s">
        <v>1709</v>
      </c>
      <c r="O29" s="2048" t="s">
        <v>1708</v>
      </c>
      <c r="P29" s="2048" t="s">
        <v>1707</v>
      </c>
      <c r="Q29" s="2048" t="s">
        <v>1374</v>
      </c>
      <c r="R29" s="2048" t="s">
        <v>1705</v>
      </c>
      <c r="S29" s="2048" t="s">
        <v>1706</v>
      </c>
      <c r="T29" s="2048" t="s">
        <v>1797</v>
      </c>
      <c r="U29" s="2048" t="s">
        <v>1798</v>
      </c>
      <c r="V29" s="2048"/>
      <c r="W29" s="2048"/>
      <c r="X29" s="2048"/>
      <c r="Y29" s="2048"/>
      <c r="Z29" s="2060"/>
      <c r="AA29" s="2060"/>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8"/>
      <c r="BK29" s="18"/>
      <c r="BL29" s="18"/>
      <c r="BM29" s="18"/>
      <c r="BN29" s="18"/>
      <c r="BO29" s="18"/>
      <c r="BP29" s="18"/>
      <c r="BQ29" s="18"/>
      <c r="BR29" s="18"/>
      <c r="BS29" s="18"/>
      <c r="BT29" s="18"/>
      <c r="BU29" s="18"/>
      <c r="BV29" s="18"/>
      <c r="BW29" s="18"/>
      <c r="BX29" s="18"/>
      <c r="BY29" s="18"/>
      <c r="BZ29" s="18"/>
      <c r="CA29" s="18"/>
      <c r="CB29" s="18"/>
      <c r="CC29" s="18"/>
      <c r="CD29" s="18"/>
      <c r="CE29" s="18"/>
      <c r="CF29" s="18"/>
      <c r="CG29" s="18"/>
      <c r="CH29" s="18"/>
      <c r="CI29" s="18"/>
      <c r="CJ29" s="18"/>
      <c r="CK29" s="18"/>
      <c r="CL29" s="18"/>
      <c r="CM29" s="18"/>
      <c r="CN29" s="18"/>
      <c r="CO29" s="18"/>
      <c r="CP29" s="18"/>
      <c r="CQ29" s="18"/>
      <c r="CR29" s="18"/>
      <c r="CS29" s="18"/>
      <c r="CT29" s="18"/>
      <c r="CU29" s="18"/>
      <c r="CV29" s="18"/>
      <c r="CW29" s="18"/>
      <c r="CX29" s="18"/>
      <c r="CY29" s="18"/>
      <c r="CZ29" s="18"/>
      <c r="DA29" s="18"/>
      <c r="DB29" s="18"/>
      <c r="DC29" s="18"/>
      <c r="DD29" s="18"/>
      <c r="DE29" s="18"/>
      <c r="DF29" s="18"/>
      <c r="DG29" s="18"/>
      <c r="DH29" s="18"/>
      <c r="DI29" s="18"/>
      <c r="DJ29" s="18"/>
      <c r="DK29" s="18"/>
      <c r="DL29" s="18"/>
      <c r="DM29" s="18"/>
      <c r="DN29" s="18"/>
      <c r="DO29" s="18"/>
      <c r="DP29" s="18"/>
      <c r="DQ29" s="18"/>
      <c r="DR29" s="18"/>
      <c r="DS29" s="18"/>
      <c r="DT29" s="18"/>
      <c r="DU29" s="18"/>
      <c r="DV29" s="18"/>
      <c r="DW29" s="18"/>
      <c r="DX29" s="18"/>
      <c r="DY29" s="18"/>
      <c r="DZ29" s="18"/>
      <c r="EA29" s="18"/>
      <c r="EB29" s="18"/>
      <c r="EC29" s="18"/>
      <c r="ED29" s="18"/>
      <c r="EE29" s="18"/>
      <c r="EF29" s="18"/>
      <c r="EG29" s="18"/>
      <c r="EH29" s="18"/>
      <c r="EI29" s="18"/>
      <c r="EJ29" s="18"/>
      <c r="EK29" s="18"/>
      <c r="EL29" s="18"/>
      <c r="EM29" s="18"/>
      <c r="EN29" s="18"/>
      <c r="EO29" s="18"/>
      <c r="EP29" s="18"/>
      <c r="EQ29" s="18"/>
      <c r="ER29" s="18"/>
      <c r="ES29" s="18"/>
      <c r="ET29" s="18"/>
      <c r="EU29" s="18"/>
      <c r="EV29" s="18"/>
      <c r="EW29" s="18"/>
      <c r="EX29" s="18"/>
      <c r="EY29" s="18"/>
      <c r="EZ29" s="18"/>
      <c r="FA29" s="18"/>
      <c r="FB29" s="18"/>
      <c r="FC29" s="18"/>
      <c r="FD29" s="18"/>
      <c r="FE29" s="18"/>
      <c r="FF29" s="18"/>
      <c r="FG29" s="18"/>
      <c r="FH29" s="18"/>
      <c r="FI29" s="18"/>
      <c r="FJ29" s="18"/>
      <c r="FK29" s="18"/>
      <c r="FL29" s="18"/>
      <c r="FM29" s="18"/>
      <c r="FN29" s="18"/>
      <c r="FO29" s="18"/>
      <c r="FP29" s="18"/>
      <c r="FQ29" s="18"/>
      <c r="FR29" s="18"/>
      <c r="FS29" s="18"/>
      <c r="FT29" s="18"/>
      <c r="FU29" s="18"/>
      <c r="FV29" s="18"/>
      <c r="FW29" s="18"/>
      <c r="FX29" s="18"/>
      <c r="FY29" s="18"/>
      <c r="FZ29" s="18"/>
      <c r="GA29" s="18"/>
      <c r="GB29" s="18"/>
      <c r="GC29" s="18"/>
      <c r="GD29" s="18"/>
      <c r="GE29" s="18"/>
      <c r="GF29" s="18"/>
      <c r="GG29" s="18"/>
      <c r="GH29" s="18"/>
      <c r="GI29" s="18"/>
      <c r="GJ29" s="18"/>
      <c r="GK29" s="18"/>
      <c r="GL29" s="18"/>
      <c r="GM29" s="18"/>
      <c r="GN29" s="18"/>
      <c r="GO29" s="18"/>
      <c r="GP29" s="18"/>
      <c r="GQ29" s="18"/>
      <c r="GR29" s="18"/>
      <c r="GS29" s="18"/>
      <c r="GT29" s="18"/>
      <c r="GU29" s="18"/>
      <c r="GV29" s="18"/>
      <c r="GW29" s="18"/>
      <c r="GX29" s="18"/>
      <c r="GY29" s="18"/>
      <c r="GZ29" s="18"/>
      <c r="HA29" s="18"/>
      <c r="HB29" s="18"/>
      <c r="HC29" s="18"/>
      <c r="HD29" s="18"/>
      <c r="HE29" s="18"/>
      <c r="HF29" s="18"/>
      <c r="HG29" s="18"/>
      <c r="HH29" s="18"/>
      <c r="HI29" s="18"/>
      <c r="HJ29" s="18"/>
      <c r="HK29" s="18"/>
      <c r="HL29" s="18"/>
      <c r="HM29" s="18"/>
      <c r="HN29" s="18"/>
      <c r="HO29" s="18"/>
      <c r="HP29" s="18"/>
      <c r="HQ29" s="18"/>
      <c r="HR29" s="18"/>
      <c r="HS29" s="18"/>
      <c r="HT29" s="18"/>
      <c r="HU29" s="18"/>
      <c r="HV29" s="18"/>
      <c r="HW29" s="18"/>
      <c r="HX29" s="18"/>
      <c r="HY29" s="18"/>
      <c r="HZ29" s="18"/>
      <c r="IA29" s="18"/>
      <c r="IB29" s="18"/>
      <c r="IC29" s="18"/>
      <c r="ID29" s="18"/>
      <c r="IE29" s="18"/>
      <c r="IF29" s="18"/>
      <c r="IG29" s="18"/>
      <c r="IH29" s="18"/>
      <c r="II29" s="18"/>
      <c r="IJ29" s="18"/>
      <c r="IK29" s="18"/>
      <c r="IL29" s="18"/>
      <c r="IM29" s="18"/>
      <c r="IN29" s="18"/>
      <c r="IO29" s="18"/>
      <c r="IP29" s="18"/>
      <c r="IQ29" s="18"/>
      <c r="IR29" s="18"/>
      <c r="IS29" s="18"/>
      <c r="IT29" s="18"/>
      <c r="IU29" s="18"/>
      <c r="IV29" s="18"/>
      <c r="IW29" s="18"/>
      <c r="IX29" s="18"/>
      <c r="IY29" s="18"/>
      <c r="IZ29" s="18"/>
      <c r="JA29" s="18"/>
      <c r="JB29" s="18"/>
      <c r="JC29" s="18"/>
      <c r="JD29" s="18"/>
      <c r="JE29" s="18"/>
    </row>
    <row r="30" spans="1:265" ht="12.75" customHeight="1" x14ac:dyDescent="0.25">
      <c r="A30" s="2042"/>
      <c r="B30" s="2059"/>
      <c r="C30" s="2059"/>
      <c r="D30" s="2059"/>
      <c r="E30" s="2057"/>
      <c r="F30" s="2049"/>
      <c r="G30" s="2049"/>
      <c r="H30" s="2049"/>
      <c r="I30" s="2049"/>
      <c r="J30" s="2049"/>
      <c r="K30" s="2049"/>
      <c r="L30" s="2049"/>
      <c r="M30" s="2049"/>
      <c r="N30" s="2049"/>
      <c r="O30" s="2049"/>
      <c r="P30" s="2049"/>
      <c r="Q30" s="2049"/>
      <c r="R30" s="2049"/>
      <c r="S30" s="2049"/>
      <c r="T30" s="2049"/>
      <c r="U30" s="2049"/>
      <c r="V30" s="2049"/>
      <c r="W30" s="2049"/>
      <c r="X30" s="2049"/>
      <c r="Y30" s="2049"/>
      <c r="Z30" s="2061"/>
      <c r="AA30" s="2061"/>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8"/>
      <c r="BK30" s="18"/>
      <c r="BL30" s="18"/>
      <c r="BM30" s="18"/>
      <c r="BN30" s="18"/>
      <c r="BO30" s="18"/>
      <c r="BP30" s="18"/>
      <c r="BQ30" s="18"/>
      <c r="BR30" s="18"/>
      <c r="BS30" s="18"/>
      <c r="BT30" s="18"/>
      <c r="BU30" s="18"/>
      <c r="BV30" s="18"/>
      <c r="BW30" s="18"/>
      <c r="BX30" s="18"/>
      <c r="BY30" s="18"/>
      <c r="BZ30" s="18"/>
      <c r="CA30" s="18"/>
      <c r="CB30" s="18"/>
      <c r="CC30" s="18"/>
      <c r="CD30" s="18"/>
      <c r="CE30" s="18"/>
      <c r="CF30" s="18"/>
      <c r="CG30" s="18"/>
      <c r="CH30" s="18"/>
      <c r="CI30" s="18"/>
      <c r="CJ30" s="18"/>
      <c r="CK30" s="18"/>
      <c r="CL30" s="18"/>
      <c r="CM30" s="18"/>
      <c r="CN30" s="18"/>
      <c r="CO30" s="18"/>
      <c r="CP30" s="18"/>
      <c r="CQ30" s="18"/>
      <c r="CR30" s="18"/>
      <c r="CS30" s="18"/>
      <c r="CT30" s="18"/>
      <c r="CU30" s="18"/>
      <c r="CV30" s="18"/>
      <c r="CW30" s="18"/>
      <c r="CX30" s="18"/>
      <c r="CY30" s="18"/>
      <c r="CZ30" s="18"/>
      <c r="DA30" s="18"/>
      <c r="DB30" s="18"/>
      <c r="DC30" s="18"/>
      <c r="DD30" s="18"/>
      <c r="DE30" s="18"/>
      <c r="DF30" s="18"/>
      <c r="DG30" s="18"/>
      <c r="DH30" s="18"/>
      <c r="DI30" s="18"/>
      <c r="DJ30" s="18"/>
      <c r="DK30" s="18"/>
      <c r="DL30" s="18"/>
      <c r="DM30" s="18"/>
      <c r="DN30" s="18"/>
      <c r="DO30" s="18"/>
      <c r="DP30" s="18"/>
      <c r="DQ30" s="18"/>
      <c r="DR30" s="18"/>
      <c r="DS30" s="18"/>
      <c r="DT30" s="18"/>
      <c r="DU30" s="18"/>
      <c r="DV30" s="18"/>
      <c r="DW30" s="18"/>
      <c r="DX30" s="18"/>
      <c r="DY30" s="18"/>
      <c r="DZ30" s="18"/>
      <c r="EA30" s="18"/>
      <c r="EB30" s="18"/>
      <c r="EC30" s="18"/>
      <c r="ED30" s="18"/>
      <c r="EE30" s="18"/>
      <c r="EF30" s="18"/>
      <c r="EG30" s="18"/>
      <c r="EH30" s="18"/>
      <c r="EI30" s="18"/>
      <c r="EJ30" s="18"/>
      <c r="EK30" s="18"/>
      <c r="EL30" s="18"/>
      <c r="EM30" s="18"/>
      <c r="EN30" s="18"/>
      <c r="EO30" s="18"/>
      <c r="EP30" s="18"/>
      <c r="EQ30" s="18"/>
      <c r="ER30" s="18"/>
      <c r="ES30" s="18"/>
      <c r="ET30" s="18"/>
      <c r="EU30" s="18"/>
      <c r="EV30" s="18"/>
      <c r="EW30" s="18"/>
      <c r="EX30" s="18"/>
      <c r="EY30" s="18"/>
      <c r="EZ30" s="18"/>
      <c r="FA30" s="18"/>
      <c r="FB30" s="18"/>
      <c r="FC30" s="18"/>
      <c r="FD30" s="18"/>
      <c r="FE30" s="18"/>
      <c r="FF30" s="18"/>
      <c r="FG30" s="18"/>
      <c r="FH30" s="18"/>
      <c r="FI30" s="18"/>
      <c r="FJ30" s="18"/>
      <c r="FK30" s="18"/>
      <c r="FL30" s="18"/>
      <c r="FM30" s="18"/>
      <c r="FN30" s="18"/>
      <c r="FO30" s="18"/>
      <c r="FP30" s="18"/>
      <c r="FQ30" s="18"/>
      <c r="FR30" s="18"/>
      <c r="FS30" s="18"/>
      <c r="FT30" s="18"/>
      <c r="FU30" s="18"/>
      <c r="FV30" s="18"/>
      <c r="FW30" s="18"/>
      <c r="FX30" s="18"/>
      <c r="FY30" s="18"/>
      <c r="FZ30" s="18"/>
      <c r="GA30" s="18"/>
      <c r="GB30" s="18"/>
      <c r="GC30" s="18"/>
      <c r="GD30" s="18"/>
      <c r="GE30" s="18"/>
      <c r="GF30" s="18"/>
      <c r="GG30" s="18"/>
      <c r="GH30" s="18"/>
      <c r="GI30" s="18"/>
      <c r="GJ30" s="18"/>
      <c r="GK30" s="18"/>
      <c r="GL30" s="18"/>
      <c r="GM30" s="18"/>
      <c r="GN30" s="18"/>
      <c r="GO30" s="18"/>
      <c r="GP30" s="18"/>
      <c r="GQ30" s="18"/>
      <c r="GR30" s="18"/>
      <c r="GS30" s="18"/>
      <c r="GT30" s="18"/>
      <c r="GU30" s="18"/>
      <c r="GV30" s="18"/>
      <c r="GW30" s="18"/>
      <c r="GX30" s="18"/>
      <c r="GY30" s="18"/>
      <c r="GZ30" s="18"/>
      <c r="HA30" s="18"/>
      <c r="HB30" s="18"/>
      <c r="HC30" s="18"/>
      <c r="HD30" s="18"/>
      <c r="HE30" s="18"/>
      <c r="HF30" s="18"/>
      <c r="HG30" s="18"/>
      <c r="HH30" s="18"/>
      <c r="HI30" s="18"/>
      <c r="HJ30" s="18"/>
      <c r="HK30" s="18"/>
      <c r="HL30" s="18"/>
      <c r="HM30" s="18"/>
      <c r="HN30" s="18"/>
      <c r="HO30" s="18"/>
      <c r="HP30" s="18"/>
      <c r="HQ30" s="18"/>
      <c r="HR30" s="18"/>
      <c r="HS30" s="18"/>
      <c r="HT30" s="18"/>
      <c r="HU30" s="18"/>
      <c r="HV30" s="18"/>
      <c r="HW30" s="18"/>
      <c r="HX30" s="18"/>
      <c r="HY30" s="18"/>
      <c r="HZ30" s="18"/>
      <c r="IA30" s="18"/>
      <c r="IB30" s="18"/>
      <c r="IC30" s="18"/>
      <c r="ID30" s="18"/>
      <c r="IE30" s="18"/>
      <c r="IF30" s="18"/>
      <c r="IG30" s="18"/>
      <c r="IH30" s="18"/>
      <c r="II30" s="18"/>
      <c r="IJ30" s="18"/>
      <c r="IK30" s="18"/>
      <c r="IL30" s="18"/>
      <c r="IM30" s="18"/>
      <c r="IN30" s="18"/>
      <c r="IO30" s="18"/>
      <c r="IP30" s="18"/>
      <c r="IQ30" s="18"/>
      <c r="IR30" s="18"/>
      <c r="IS30" s="18"/>
      <c r="IT30" s="18"/>
      <c r="IU30" s="18"/>
      <c r="IV30" s="18"/>
      <c r="IW30" s="18"/>
      <c r="IX30" s="18"/>
      <c r="IY30" s="18"/>
      <c r="IZ30" s="18"/>
      <c r="JA30" s="18"/>
      <c r="JB30" s="18"/>
      <c r="JC30" s="18"/>
      <c r="JD30" s="18"/>
      <c r="JE30" s="18"/>
    </row>
    <row r="31" spans="1:265" x14ac:dyDescent="0.25">
      <c r="A31" s="2042"/>
      <c r="B31" s="2059"/>
      <c r="C31" s="2059"/>
      <c r="D31" s="2059"/>
      <c r="E31" s="2057"/>
      <c r="F31" s="807">
        <v>11</v>
      </c>
      <c r="G31" s="807">
        <v>31</v>
      </c>
      <c r="H31" s="807">
        <v>30</v>
      </c>
      <c r="I31" s="807">
        <v>31</v>
      </c>
      <c r="J31" s="807">
        <v>31</v>
      </c>
      <c r="K31" s="807">
        <v>30</v>
      </c>
      <c r="L31" s="807">
        <v>31</v>
      </c>
      <c r="M31" s="807">
        <v>30</v>
      </c>
      <c r="N31" s="807">
        <v>31</v>
      </c>
      <c r="O31" s="807">
        <v>31</v>
      </c>
      <c r="P31" s="807">
        <v>28</v>
      </c>
      <c r="Q31" s="807">
        <v>31</v>
      </c>
      <c r="R31" s="807">
        <v>30</v>
      </c>
      <c r="S31" s="807">
        <v>31</v>
      </c>
      <c r="T31" s="807">
        <v>30</v>
      </c>
      <c r="U31" s="807">
        <v>27</v>
      </c>
      <c r="V31" s="807"/>
      <c r="W31" s="807"/>
      <c r="X31" s="807"/>
      <c r="Y31" s="807"/>
      <c r="Z31" s="1012"/>
      <c r="AA31" s="808"/>
      <c r="AB31" s="1190">
        <f>SUM(F31:U31)</f>
        <v>464</v>
      </c>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8"/>
      <c r="BK31" s="18"/>
      <c r="BL31" s="18"/>
      <c r="BM31" s="18"/>
      <c r="BN31" s="18"/>
      <c r="BO31" s="18"/>
      <c r="BP31" s="18"/>
      <c r="BQ31" s="18"/>
      <c r="BR31" s="18"/>
      <c r="BS31" s="18"/>
      <c r="BT31" s="18"/>
      <c r="BU31" s="18"/>
      <c r="BV31" s="18"/>
      <c r="BW31" s="18"/>
      <c r="BX31" s="18"/>
      <c r="BY31" s="18"/>
      <c r="BZ31" s="18"/>
      <c r="CA31" s="18"/>
      <c r="CB31" s="18"/>
      <c r="CC31" s="18"/>
      <c r="CD31" s="18"/>
      <c r="CE31" s="18"/>
      <c r="CF31" s="18"/>
      <c r="CG31" s="18"/>
      <c r="CH31" s="18"/>
      <c r="CI31" s="18"/>
      <c r="CJ31" s="18"/>
      <c r="CK31" s="18"/>
      <c r="CL31" s="18"/>
      <c r="CM31" s="18"/>
      <c r="CN31" s="18"/>
      <c r="CO31" s="18"/>
      <c r="CP31" s="18"/>
      <c r="CQ31" s="18"/>
      <c r="CR31" s="18"/>
      <c r="CS31" s="18"/>
      <c r="CT31" s="18"/>
      <c r="CU31" s="18"/>
      <c r="CV31" s="18"/>
      <c r="CW31" s="18"/>
      <c r="CX31" s="18"/>
      <c r="CY31" s="18"/>
      <c r="CZ31" s="18"/>
      <c r="DA31" s="18"/>
      <c r="DB31" s="18"/>
      <c r="DC31" s="18"/>
      <c r="DD31" s="18"/>
      <c r="DE31" s="18"/>
      <c r="DF31" s="18"/>
      <c r="DG31" s="18"/>
      <c r="DH31" s="18"/>
      <c r="DI31" s="18"/>
      <c r="DJ31" s="18"/>
      <c r="DK31" s="18"/>
      <c r="DL31" s="18"/>
      <c r="DM31" s="18"/>
      <c r="DN31" s="18"/>
      <c r="DO31" s="18"/>
      <c r="DP31" s="18"/>
      <c r="DQ31" s="18"/>
      <c r="DR31" s="18"/>
      <c r="DS31" s="18"/>
      <c r="DT31" s="18"/>
      <c r="DU31" s="18"/>
      <c r="DV31" s="18"/>
      <c r="DW31" s="18"/>
      <c r="DX31" s="18"/>
      <c r="DY31" s="18"/>
      <c r="DZ31" s="18"/>
      <c r="EA31" s="18"/>
      <c r="EB31" s="18"/>
      <c r="EC31" s="18"/>
      <c r="ED31" s="18"/>
      <c r="EE31" s="18"/>
      <c r="EF31" s="18"/>
      <c r="EG31" s="18"/>
      <c r="EH31" s="18"/>
      <c r="EI31" s="18"/>
      <c r="EJ31" s="18"/>
      <c r="EK31" s="18"/>
      <c r="EL31" s="18"/>
      <c r="EM31" s="18"/>
      <c r="EN31" s="18"/>
      <c r="EO31" s="18"/>
      <c r="EP31" s="18"/>
      <c r="EQ31" s="18"/>
      <c r="ER31" s="18"/>
      <c r="ES31" s="18"/>
      <c r="ET31" s="18"/>
      <c r="EU31" s="18"/>
      <c r="EV31" s="18"/>
      <c r="EW31" s="18"/>
      <c r="EX31" s="18"/>
      <c r="EY31" s="18"/>
      <c r="EZ31" s="18"/>
      <c r="FA31" s="18"/>
      <c r="FB31" s="18"/>
      <c r="FC31" s="18"/>
      <c r="FD31" s="18"/>
      <c r="FE31" s="18"/>
      <c r="FF31" s="18"/>
      <c r="FG31" s="18"/>
      <c r="FH31" s="18"/>
      <c r="FI31" s="18"/>
      <c r="FJ31" s="18"/>
      <c r="FK31" s="18"/>
      <c r="FL31" s="18"/>
      <c r="FM31" s="18"/>
      <c r="FN31" s="18"/>
      <c r="FO31" s="18"/>
      <c r="FP31" s="18"/>
      <c r="FQ31" s="18"/>
      <c r="FR31" s="18"/>
      <c r="FS31" s="18"/>
      <c r="FT31" s="18"/>
      <c r="FU31" s="18"/>
      <c r="FV31" s="18"/>
      <c r="FW31" s="18"/>
      <c r="FX31" s="18"/>
      <c r="FY31" s="18"/>
      <c r="FZ31" s="18"/>
      <c r="GA31" s="18"/>
      <c r="GB31" s="18"/>
      <c r="GC31" s="18"/>
      <c r="GD31" s="18"/>
      <c r="GE31" s="18"/>
      <c r="GF31" s="18"/>
      <c r="GG31" s="18"/>
      <c r="GH31" s="18"/>
      <c r="GI31" s="18"/>
      <c r="GJ31" s="18"/>
      <c r="GK31" s="18"/>
      <c r="GL31" s="18"/>
      <c r="GM31" s="18"/>
      <c r="GN31" s="18"/>
      <c r="GO31" s="18"/>
      <c r="GP31" s="18"/>
      <c r="GQ31" s="18"/>
      <c r="GR31" s="18"/>
      <c r="GS31" s="18"/>
      <c r="GT31" s="18"/>
      <c r="GU31" s="18"/>
      <c r="GV31" s="18"/>
      <c r="GW31" s="18"/>
      <c r="GX31" s="18"/>
      <c r="GY31" s="18"/>
      <c r="GZ31" s="18"/>
      <c r="HA31" s="18"/>
      <c r="HB31" s="18"/>
      <c r="HC31" s="18"/>
      <c r="HD31" s="18"/>
      <c r="HE31" s="18"/>
      <c r="HF31" s="18"/>
      <c r="HG31" s="18"/>
      <c r="HH31" s="18"/>
      <c r="HI31" s="18"/>
      <c r="HJ31" s="18"/>
      <c r="HK31" s="18"/>
      <c r="HL31" s="18"/>
      <c r="HM31" s="18"/>
      <c r="HN31" s="18"/>
      <c r="HO31" s="18"/>
      <c r="HP31" s="18"/>
      <c r="HQ31" s="18"/>
      <c r="HR31" s="18"/>
      <c r="HS31" s="18"/>
      <c r="HT31" s="18"/>
      <c r="HU31" s="18"/>
      <c r="HV31" s="18"/>
      <c r="HW31" s="18"/>
      <c r="HX31" s="18"/>
      <c r="HY31" s="18"/>
      <c r="HZ31" s="18"/>
      <c r="IA31" s="18"/>
      <c r="IB31" s="18"/>
      <c r="IC31" s="18"/>
      <c r="ID31" s="18"/>
      <c r="IE31" s="18"/>
      <c r="IF31" s="18"/>
      <c r="IG31" s="18"/>
      <c r="IH31" s="18"/>
      <c r="II31" s="18"/>
      <c r="IJ31" s="18"/>
      <c r="IK31" s="18"/>
      <c r="IL31" s="18"/>
      <c r="IM31" s="18"/>
      <c r="IN31" s="18"/>
      <c r="IO31" s="18"/>
      <c r="IP31" s="18"/>
      <c r="IQ31" s="18"/>
      <c r="IR31" s="18"/>
      <c r="IS31" s="18"/>
      <c r="IT31" s="18"/>
      <c r="IU31" s="18"/>
      <c r="IV31" s="18"/>
      <c r="IW31" s="18"/>
      <c r="IX31" s="18"/>
      <c r="IY31" s="18"/>
      <c r="IZ31" s="18"/>
      <c r="JA31" s="18"/>
      <c r="JB31" s="18"/>
      <c r="JC31" s="18"/>
      <c r="JD31" s="18"/>
      <c r="JE31" s="18"/>
    </row>
    <row r="32" spans="1:265" x14ac:dyDescent="0.25">
      <c r="A32" s="2045" t="s">
        <v>480</v>
      </c>
      <c r="B32" s="2050" t="s">
        <v>18</v>
      </c>
      <c r="C32" s="801"/>
      <c r="D32" s="802"/>
      <c r="E32" s="803"/>
      <c r="F32" s="804"/>
      <c r="G32" s="804"/>
      <c r="H32" s="804"/>
      <c r="I32" s="804"/>
      <c r="J32" s="804"/>
      <c r="K32" s="805"/>
      <c r="L32" s="804"/>
      <c r="M32" s="804"/>
      <c r="N32" s="804"/>
      <c r="O32" s="804"/>
      <c r="P32" s="804"/>
      <c r="Q32" s="804"/>
      <c r="R32" s="804"/>
      <c r="S32" s="804"/>
      <c r="T32" s="804"/>
      <c r="U32" s="804"/>
      <c r="V32" s="804"/>
      <c r="W32" s="804"/>
      <c r="X32" s="804"/>
      <c r="Y32" s="804"/>
      <c r="Z32" s="1013"/>
      <c r="AA32" s="806"/>
      <c r="AB32" s="1190">
        <f t="shared" ref="AB32:AB35" si="0">SUM(F32:R32)</f>
        <v>0</v>
      </c>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8"/>
      <c r="BK32" s="18"/>
      <c r="BL32" s="18"/>
      <c r="BM32" s="18"/>
      <c r="BN32" s="18"/>
      <c r="BO32" s="18"/>
      <c r="BP32" s="18"/>
      <c r="BQ32" s="18"/>
      <c r="BR32" s="18"/>
      <c r="BS32" s="18"/>
      <c r="BT32" s="18"/>
      <c r="BU32" s="18"/>
      <c r="BV32" s="18"/>
      <c r="BW32" s="18"/>
      <c r="BX32" s="18"/>
      <c r="BY32" s="18"/>
      <c r="BZ32" s="18"/>
      <c r="CA32" s="18"/>
      <c r="CB32" s="18"/>
      <c r="CC32" s="18"/>
      <c r="CD32" s="18"/>
      <c r="CE32" s="18"/>
      <c r="CF32" s="18"/>
      <c r="CG32" s="18"/>
      <c r="CH32" s="18"/>
      <c r="CI32" s="18"/>
      <c r="CJ32" s="18"/>
      <c r="CK32" s="18"/>
      <c r="CL32" s="18"/>
      <c r="CM32" s="18"/>
      <c r="CN32" s="18"/>
      <c r="CO32" s="18"/>
      <c r="CP32" s="18"/>
      <c r="CQ32" s="18"/>
      <c r="CR32" s="18"/>
      <c r="CS32" s="18"/>
      <c r="CT32" s="18"/>
      <c r="CU32" s="18"/>
      <c r="CV32" s="18"/>
      <c r="CW32" s="18"/>
      <c r="CX32" s="18"/>
      <c r="CY32" s="18"/>
      <c r="CZ32" s="18"/>
      <c r="DA32" s="18"/>
      <c r="DB32" s="18"/>
      <c r="DC32" s="18"/>
      <c r="DD32" s="18"/>
      <c r="DE32" s="18"/>
      <c r="DF32" s="18"/>
      <c r="DG32" s="18"/>
      <c r="DH32" s="18"/>
      <c r="DI32" s="18"/>
      <c r="DJ32" s="18"/>
      <c r="DK32" s="18"/>
      <c r="DL32" s="18"/>
      <c r="DM32" s="18"/>
      <c r="DN32" s="18"/>
      <c r="DO32" s="18"/>
      <c r="DP32" s="18"/>
      <c r="DQ32" s="18"/>
      <c r="DR32" s="18"/>
      <c r="DS32" s="18"/>
      <c r="DT32" s="18"/>
      <c r="DU32" s="18"/>
      <c r="DV32" s="18"/>
      <c r="DW32" s="18"/>
      <c r="DX32" s="18"/>
      <c r="DY32" s="18"/>
      <c r="DZ32" s="18"/>
      <c r="EA32" s="18"/>
      <c r="EB32" s="18"/>
      <c r="EC32" s="18"/>
      <c r="ED32" s="18"/>
      <c r="EE32" s="18"/>
      <c r="EF32" s="18"/>
      <c r="EG32" s="18"/>
      <c r="EH32" s="18"/>
      <c r="EI32" s="18"/>
      <c r="EJ32" s="18"/>
      <c r="EK32" s="18"/>
      <c r="EL32" s="18"/>
      <c r="EM32" s="18"/>
      <c r="EN32" s="18"/>
      <c r="EO32" s="18"/>
      <c r="EP32" s="18"/>
      <c r="EQ32" s="18"/>
      <c r="ER32" s="18"/>
      <c r="ES32" s="18"/>
      <c r="ET32" s="18"/>
      <c r="EU32" s="18"/>
      <c r="EV32" s="18"/>
      <c r="EW32" s="18"/>
      <c r="EX32" s="18"/>
      <c r="EY32" s="18"/>
      <c r="EZ32" s="18"/>
      <c r="FA32" s="18"/>
      <c r="FB32" s="18"/>
      <c r="FC32" s="18"/>
      <c r="FD32" s="18"/>
      <c r="FE32" s="18"/>
      <c r="FF32" s="18"/>
      <c r="FG32" s="18"/>
      <c r="FH32" s="18"/>
      <c r="FI32" s="18"/>
      <c r="FJ32" s="18"/>
      <c r="FK32" s="18"/>
      <c r="FL32" s="18"/>
      <c r="FM32" s="18"/>
      <c r="FN32" s="18"/>
      <c r="FO32" s="18"/>
      <c r="FP32" s="18"/>
      <c r="FQ32" s="18"/>
      <c r="FR32" s="18"/>
      <c r="FS32" s="18"/>
      <c r="FT32" s="18"/>
      <c r="FU32" s="18"/>
      <c r="FV32" s="18"/>
      <c r="FW32" s="18"/>
      <c r="FX32" s="18"/>
      <c r="FY32" s="18"/>
      <c r="FZ32" s="18"/>
      <c r="GA32" s="18"/>
      <c r="GB32" s="18"/>
      <c r="GC32" s="18"/>
      <c r="GD32" s="18"/>
      <c r="GE32" s="18"/>
      <c r="GF32" s="18"/>
      <c r="GG32" s="18"/>
      <c r="GH32" s="18"/>
      <c r="GI32" s="18"/>
      <c r="GJ32" s="18"/>
      <c r="GK32" s="18"/>
      <c r="GL32" s="18"/>
      <c r="GM32" s="18"/>
      <c r="GN32" s="18"/>
      <c r="GO32" s="18"/>
      <c r="GP32" s="18"/>
      <c r="GQ32" s="18"/>
      <c r="GR32" s="18"/>
      <c r="GS32" s="18"/>
      <c r="GT32" s="18"/>
      <c r="GU32" s="18"/>
      <c r="GV32" s="18"/>
      <c r="GW32" s="18"/>
      <c r="GX32" s="18"/>
      <c r="GY32" s="18"/>
      <c r="GZ32" s="18"/>
      <c r="HA32" s="18"/>
      <c r="HB32" s="18"/>
      <c r="HC32" s="18"/>
      <c r="HD32" s="18"/>
      <c r="HE32" s="18"/>
      <c r="HF32" s="18"/>
      <c r="HG32" s="18"/>
      <c r="HH32" s="18"/>
      <c r="HI32" s="18"/>
      <c r="HJ32" s="18"/>
      <c r="HK32" s="18"/>
      <c r="HL32" s="18"/>
      <c r="HM32" s="18"/>
      <c r="HN32" s="18"/>
      <c r="HO32" s="18"/>
      <c r="HP32" s="18"/>
      <c r="HQ32" s="18"/>
      <c r="HR32" s="18"/>
      <c r="HS32" s="18"/>
      <c r="HT32" s="18"/>
      <c r="HU32" s="18"/>
      <c r="HV32" s="18"/>
      <c r="HW32" s="18"/>
      <c r="HX32" s="18"/>
      <c r="HY32" s="18"/>
      <c r="HZ32" s="18"/>
      <c r="IA32" s="18"/>
      <c r="IB32" s="18"/>
      <c r="IC32" s="18"/>
      <c r="ID32" s="18"/>
      <c r="IE32" s="18"/>
      <c r="IF32" s="18"/>
      <c r="IG32" s="18"/>
      <c r="IH32" s="18"/>
      <c r="II32" s="18"/>
      <c r="IJ32" s="18"/>
      <c r="IK32" s="18"/>
      <c r="IL32" s="18"/>
      <c r="IM32" s="18"/>
      <c r="IN32" s="18"/>
      <c r="IO32" s="18"/>
      <c r="IP32" s="18"/>
      <c r="IQ32" s="18"/>
      <c r="IR32" s="18"/>
      <c r="IS32" s="18"/>
      <c r="IT32" s="18"/>
      <c r="IU32" s="18"/>
      <c r="IV32" s="18"/>
      <c r="IW32" s="18"/>
      <c r="IX32" s="18"/>
      <c r="IY32" s="18"/>
      <c r="IZ32" s="18"/>
      <c r="JA32" s="18"/>
      <c r="JB32" s="18"/>
      <c r="JC32" s="18"/>
      <c r="JD32" s="18"/>
      <c r="JE32" s="18"/>
    </row>
    <row r="33" spans="1:265" ht="14.25" customHeight="1" x14ac:dyDescent="0.25">
      <c r="A33" s="2046"/>
      <c r="B33" s="2050"/>
      <c r="C33" s="221" t="str">
        <f>+VAL_RES.!B39</f>
        <v>PUENTE VEHICULAR CCANCHI</v>
      </c>
      <c r="D33" s="798"/>
      <c r="E33" s="414">
        <f>+'PUENTE CCANCHI'!F129</f>
        <v>17878272.109999999</v>
      </c>
      <c r="F33" s="414">
        <v>1994.0265400000001</v>
      </c>
      <c r="G33" s="414">
        <v>167932.07678263262</v>
      </c>
      <c r="H33" s="414">
        <v>205472.9607050773</v>
      </c>
      <c r="I33" s="414">
        <v>803227.70744939614</v>
      </c>
      <c r="J33" s="414">
        <v>1841216.7080780719</v>
      </c>
      <c r="K33" s="414">
        <v>1969783.1343799999</v>
      </c>
      <c r="L33" s="414">
        <v>158708.93328</v>
      </c>
      <c r="M33" s="414">
        <v>1668106.96</v>
      </c>
      <c r="N33" s="414">
        <v>145063.26999999999</v>
      </c>
      <c r="O33" s="414">
        <v>1091208.18</v>
      </c>
      <c r="P33" s="414">
        <v>1775182.88</v>
      </c>
      <c r="Q33" s="414">
        <v>1671775.26</v>
      </c>
      <c r="R33" s="414">
        <v>2059559.98</v>
      </c>
      <c r="S33" s="414">
        <v>1490298.67</v>
      </c>
      <c r="T33" s="414">
        <v>1417317.76</v>
      </c>
      <c r="U33" s="414">
        <v>1411423.6</v>
      </c>
      <c r="V33" s="414"/>
      <c r="W33" s="414"/>
      <c r="X33" s="414"/>
      <c r="Y33" s="414"/>
      <c r="Z33" s="414"/>
      <c r="AA33" s="414"/>
      <c r="AB33" s="214">
        <f>SUM(F33:U33)</f>
        <v>17878272.107215177</v>
      </c>
      <c r="AC33" s="214">
        <f t="shared" ref="AC33" si="1">+E33-AB33</f>
        <v>2.7848221361637115E-3</v>
      </c>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8"/>
      <c r="BK33" s="18"/>
      <c r="BL33" s="18"/>
      <c r="BM33" s="18"/>
      <c r="BN33" s="18"/>
      <c r="BO33" s="18"/>
      <c r="BP33" s="18"/>
      <c r="BQ33" s="18"/>
      <c r="BR33" s="18"/>
      <c r="BS33" s="18"/>
      <c r="BT33" s="18"/>
      <c r="BU33" s="18"/>
      <c r="BV33" s="18"/>
      <c r="BW33" s="18"/>
      <c r="BX33" s="18"/>
      <c r="BY33" s="18"/>
      <c r="BZ33" s="18"/>
      <c r="CA33" s="18"/>
      <c r="CB33" s="18"/>
      <c r="CC33" s="18"/>
      <c r="CD33" s="18"/>
      <c r="CE33" s="18"/>
      <c r="CF33" s="18"/>
      <c r="CG33" s="18"/>
      <c r="CH33" s="18"/>
      <c r="CI33" s="18"/>
      <c r="CJ33" s="18"/>
      <c r="CK33" s="18"/>
      <c r="CL33" s="18"/>
      <c r="CM33" s="18"/>
      <c r="CN33" s="18"/>
      <c r="CO33" s="18"/>
      <c r="CP33" s="18"/>
      <c r="CQ33" s="18"/>
      <c r="CR33" s="18"/>
      <c r="CS33" s="18"/>
      <c r="CT33" s="18"/>
      <c r="CU33" s="18"/>
      <c r="CV33" s="18"/>
      <c r="CW33" s="18"/>
      <c r="CX33" s="18"/>
      <c r="CY33" s="18"/>
      <c r="CZ33" s="18"/>
      <c r="DA33" s="18"/>
      <c r="DB33" s="18"/>
      <c r="DC33" s="18"/>
      <c r="DD33" s="18"/>
      <c r="DE33" s="18"/>
      <c r="DF33" s="18"/>
      <c r="DG33" s="18"/>
      <c r="DH33" s="18"/>
      <c r="DI33" s="18"/>
      <c r="DJ33" s="18"/>
      <c r="DK33" s="18"/>
      <c r="DL33" s="18"/>
      <c r="DM33" s="18"/>
      <c r="DN33" s="18"/>
      <c r="DO33" s="18"/>
      <c r="DP33" s="18"/>
      <c r="DQ33" s="18"/>
      <c r="DR33" s="18"/>
      <c r="DS33" s="18"/>
      <c r="DT33" s="18"/>
      <c r="DU33" s="18"/>
      <c r="DV33" s="18"/>
      <c r="DW33" s="18"/>
      <c r="DX33" s="18"/>
      <c r="DY33" s="18"/>
      <c r="DZ33" s="18"/>
      <c r="EA33" s="18"/>
      <c r="EB33" s="18"/>
      <c r="EC33" s="18"/>
      <c r="ED33" s="18"/>
      <c r="EE33" s="18"/>
      <c r="EF33" s="18"/>
      <c r="EG33" s="18"/>
      <c r="EH33" s="18"/>
      <c r="EI33" s="18"/>
      <c r="EJ33" s="18"/>
      <c r="EK33" s="18"/>
      <c r="EL33" s="18"/>
      <c r="EM33" s="18"/>
      <c r="EN33" s="18"/>
      <c r="EO33" s="18"/>
      <c r="EP33" s="18"/>
      <c r="EQ33" s="18"/>
      <c r="ER33" s="18"/>
      <c r="ES33" s="18"/>
      <c r="ET33" s="18"/>
      <c r="EU33" s="18"/>
      <c r="EV33" s="18"/>
      <c r="EW33" s="18"/>
      <c r="EX33" s="18"/>
      <c r="EY33" s="18"/>
      <c r="EZ33" s="18"/>
      <c r="FA33" s="18"/>
      <c r="FB33" s="18"/>
      <c r="FC33" s="18"/>
      <c r="FD33" s="18"/>
      <c r="FE33" s="18"/>
      <c r="FF33" s="18"/>
      <c r="FG33" s="18"/>
      <c r="FH33" s="18"/>
      <c r="FI33" s="18"/>
      <c r="FJ33" s="18"/>
      <c r="FK33" s="18"/>
      <c r="FL33" s="18"/>
      <c r="FM33" s="18"/>
      <c r="FN33" s="18"/>
      <c r="FO33" s="18"/>
      <c r="FP33" s="18"/>
      <c r="FQ33" s="18"/>
      <c r="FR33" s="18"/>
      <c r="FS33" s="18"/>
      <c r="FT33" s="18"/>
      <c r="FU33" s="18"/>
      <c r="FV33" s="18"/>
      <c r="FW33" s="18"/>
      <c r="FX33" s="18"/>
      <c r="FY33" s="18"/>
      <c r="FZ33" s="18"/>
      <c r="GA33" s="18"/>
      <c r="GB33" s="18"/>
      <c r="GC33" s="18"/>
      <c r="GD33" s="18"/>
      <c r="GE33" s="18"/>
      <c r="GF33" s="18"/>
      <c r="GG33" s="18"/>
      <c r="GH33" s="18"/>
      <c r="GI33" s="18"/>
      <c r="GJ33" s="18"/>
      <c r="GK33" s="18"/>
      <c r="GL33" s="18"/>
      <c r="GM33" s="18"/>
      <c r="GN33" s="18"/>
      <c r="GO33" s="18"/>
      <c r="GP33" s="18"/>
      <c r="GQ33" s="18"/>
      <c r="GR33" s="18"/>
      <c r="GS33" s="18"/>
      <c r="GT33" s="18"/>
      <c r="GU33" s="18"/>
      <c r="GV33" s="18"/>
      <c r="GW33" s="18"/>
      <c r="GX33" s="18"/>
      <c r="GY33" s="18"/>
      <c r="GZ33" s="18"/>
      <c r="HA33" s="18"/>
      <c r="HB33" s="18"/>
      <c r="HC33" s="18"/>
      <c r="HD33" s="18"/>
      <c r="HE33" s="18"/>
      <c r="HF33" s="18"/>
      <c r="HG33" s="18"/>
      <c r="HH33" s="18"/>
      <c r="HI33" s="18"/>
      <c r="HJ33" s="18"/>
      <c r="HK33" s="18"/>
      <c r="HL33" s="18"/>
      <c r="HM33" s="18"/>
      <c r="HN33" s="18"/>
      <c r="HO33" s="18"/>
      <c r="HP33" s="18"/>
      <c r="HQ33" s="18"/>
      <c r="HR33" s="18"/>
      <c r="HS33" s="18"/>
      <c r="HT33" s="18"/>
      <c r="HU33" s="18"/>
      <c r="HV33" s="18"/>
      <c r="HW33" s="18"/>
      <c r="HX33" s="18"/>
      <c r="HY33" s="18"/>
      <c r="HZ33" s="18"/>
      <c r="IA33" s="18"/>
      <c r="IB33" s="18"/>
      <c r="IC33" s="18"/>
      <c r="ID33" s="18"/>
      <c r="IE33" s="18"/>
      <c r="IF33" s="18"/>
      <c r="IG33" s="18"/>
      <c r="IH33" s="18"/>
      <c r="II33" s="18"/>
      <c r="IJ33" s="18"/>
      <c r="IK33" s="18"/>
      <c r="IL33" s="18"/>
      <c r="IM33" s="18"/>
      <c r="IN33" s="18"/>
      <c r="IO33" s="18"/>
      <c r="IP33" s="18"/>
      <c r="IQ33" s="18"/>
      <c r="IR33" s="18"/>
      <c r="IS33" s="18"/>
      <c r="IT33" s="18"/>
      <c r="IU33" s="18"/>
      <c r="IV33" s="18"/>
      <c r="IW33" s="18"/>
      <c r="IX33" s="18"/>
      <c r="IY33" s="18"/>
      <c r="IZ33" s="18"/>
      <c r="JA33" s="18"/>
      <c r="JB33" s="18"/>
      <c r="JC33" s="18"/>
      <c r="JD33" s="18"/>
      <c r="JE33" s="18"/>
    </row>
    <row r="34" spans="1:265" s="141" customFormat="1" ht="13.5" customHeight="1" x14ac:dyDescent="0.25">
      <c r="A34" s="2046"/>
      <c r="B34" s="2050"/>
      <c r="C34" s="799" t="s">
        <v>1379</v>
      </c>
      <c r="D34" s="800"/>
      <c r="E34" s="795">
        <f t="shared" ref="E34:K34" si="2">SUM(E33:E33)</f>
        <v>17878272.109999999</v>
      </c>
      <c r="F34" s="791">
        <f t="shared" si="2"/>
        <v>1994.0265400000001</v>
      </c>
      <c r="G34" s="791">
        <f t="shared" si="2"/>
        <v>167932.07678263262</v>
      </c>
      <c r="H34" s="791">
        <f t="shared" si="2"/>
        <v>205472.9607050773</v>
      </c>
      <c r="I34" s="791">
        <f t="shared" si="2"/>
        <v>803227.70744939614</v>
      </c>
      <c r="J34" s="791">
        <f t="shared" si="2"/>
        <v>1841216.7080780719</v>
      </c>
      <c r="K34" s="791">
        <f t="shared" si="2"/>
        <v>1969783.1343799999</v>
      </c>
      <c r="L34" s="791">
        <f>SUM(L33:L33)+0.01</f>
        <v>158708.94328000001</v>
      </c>
      <c r="M34" s="791">
        <f>SUM(M33:M33)</f>
        <v>1668106.96</v>
      </c>
      <c r="N34" s="791">
        <f>SUM(N33:N33)</f>
        <v>145063.26999999999</v>
      </c>
      <c r="O34" s="791">
        <f>SUM(O33:O33)</f>
        <v>1091208.18</v>
      </c>
      <c r="P34" s="791">
        <f>SUM(P33:P33)</f>
        <v>1775182.88</v>
      </c>
      <c r="Q34" s="791">
        <f>SUM(Q33:Q33)</f>
        <v>1671775.26</v>
      </c>
      <c r="R34" s="791">
        <f>SUM(R33:R33)-0.01</f>
        <v>2059559.97</v>
      </c>
      <c r="S34" s="791">
        <f>SUM(S33:S33)-0.01</f>
        <v>1490298.66</v>
      </c>
      <c r="T34" s="791">
        <f>SUM(T33:T33)-0.01</f>
        <v>1417317.75</v>
      </c>
      <c r="U34" s="791">
        <f>SUM(U33:U33)-0.01</f>
        <v>1411423.59</v>
      </c>
      <c r="V34" s="791"/>
      <c r="W34" s="791"/>
      <c r="X34" s="791"/>
      <c r="Y34" s="791"/>
      <c r="Z34" s="791"/>
      <c r="AA34" s="791"/>
      <c r="AB34" s="214">
        <f>SUM(F34:U34)</f>
        <v>17878272.07721518</v>
      </c>
      <c r="AC34" s="24"/>
      <c r="AD34" s="24"/>
      <c r="AE34" s="24"/>
      <c r="AF34" s="24"/>
      <c r="AG34" s="24"/>
      <c r="AH34" s="24"/>
      <c r="AI34" s="24"/>
      <c r="AJ34" s="24"/>
      <c r="AK34" s="24"/>
      <c r="AL34" s="24"/>
      <c r="AM34" s="24"/>
      <c r="AN34" s="24"/>
      <c r="AO34" s="24"/>
      <c r="AP34" s="24"/>
      <c r="AQ34" s="24"/>
      <c r="AR34" s="24"/>
      <c r="AS34" s="24"/>
      <c r="AT34" s="24"/>
      <c r="AU34" s="24"/>
      <c r="AV34" s="24"/>
      <c r="AW34" s="24"/>
      <c r="AX34" s="24"/>
      <c r="AY34" s="24"/>
      <c r="AZ34" s="24"/>
      <c r="BA34" s="24"/>
      <c r="BB34" s="24"/>
      <c r="BC34" s="24"/>
      <c r="BD34" s="24"/>
      <c r="BE34" s="24"/>
      <c r="BF34" s="24"/>
      <c r="BG34" s="24"/>
      <c r="BH34" s="24"/>
      <c r="BI34" s="24"/>
      <c r="BJ34" s="24"/>
      <c r="BK34" s="24"/>
      <c r="BL34" s="24"/>
      <c r="BM34" s="24"/>
      <c r="BN34" s="24"/>
      <c r="BO34" s="24"/>
      <c r="BP34" s="24"/>
      <c r="BQ34" s="24"/>
      <c r="BR34" s="24"/>
      <c r="BS34" s="24"/>
      <c r="BT34" s="24"/>
      <c r="BU34" s="24"/>
      <c r="BV34" s="24"/>
      <c r="BW34" s="24"/>
      <c r="BX34" s="24"/>
      <c r="BY34" s="24"/>
      <c r="BZ34" s="24"/>
      <c r="CA34" s="24"/>
      <c r="CB34" s="24"/>
      <c r="CC34" s="24"/>
      <c r="CD34" s="24"/>
      <c r="CE34" s="24"/>
      <c r="CF34" s="24"/>
      <c r="CG34" s="24"/>
      <c r="CH34" s="24"/>
      <c r="CI34" s="24"/>
      <c r="CJ34" s="24"/>
      <c r="CK34" s="24"/>
      <c r="CL34" s="24"/>
      <c r="CM34" s="24"/>
      <c r="CN34" s="24"/>
      <c r="CO34" s="24"/>
      <c r="CP34" s="24"/>
      <c r="CQ34" s="24"/>
      <c r="CR34" s="24"/>
      <c r="CS34" s="24"/>
      <c r="CT34" s="24"/>
      <c r="CU34" s="24"/>
      <c r="CV34" s="24"/>
      <c r="CW34" s="24"/>
      <c r="CX34" s="24"/>
      <c r="CY34" s="24"/>
      <c r="CZ34" s="24"/>
      <c r="DA34" s="24"/>
      <c r="DB34" s="24"/>
      <c r="DC34" s="24"/>
      <c r="DD34" s="24"/>
      <c r="DE34" s="24"/>
      <c r="DF34" s="24"/>
      <c r="DG34" s="24"/>
      <c r="DH34" s="24"/>
      <c r="DI34" s="24"/>
      <c r="DJ34" s="24"/>
      <c r="DK34" s="24"/>
      <c r="DL34" s="24"/>
      <c r="DM34" s="24"/>
      <c r="DN34" s="24"/>
      <c r="DO34" s="24"/>
      <c r="DP34" s="24"/>
      <c r="DQ34" s="24"/>
      <c r="DR34" s="24"/>
      <c r="DS34" s="24"/>
      <c r="DT34" s="24"/>
      <c r="DU34" s="24"/>
      <c r="DV34" s="24"/>
      <c r="DW34" s="24"/>
      <c r="DX34" s="24"/>
      <c r="DY34" s="24"/>
      <c r="DZ34" s="24"/>
      <c r="EA34" s="24"/>
      <c r="EB34" s="24"/>
      <c r="EC34" s="24"/>
      <c r="ED34" s="24"/>
      <c r="EE34" s="24"/>
      <c r="EF34" s="24"/>
      <c r="EG34" s="24"/>
      <c r="EH34" s="24"/>
      <c r="EI34" s="24"/>
      <c r="EJ34" s="24"/>
      <c r="EK34" s="24"/>
      <c r="EL34" s="24"/>
      <c r="EM34" s="24"/>
      <c r="EN34" s="24"/>
      <c r="EO34" s="24"/>
      <c r="EP34" s="24"/>
      <c r="EQ34" s="24"/>
      <c r="ER34" s="24"/>
      <c r="ES34" s="24"/>
      <c r="ET34" s="24"/>
      <c r="EU34" s="24"/>
      <c r="EV34" s="24"/>
      <c r="EW34" s="24"/>
      <c r="EX34" s="24"/>
      <c r="EY34" s="24"/>
      <c r="EZ34" s="24"/>
      <c r="FA34" s="24"/>
      <c r="FB34" s="24"/>
      <c r="FC34" s="24"/>
      <c r="FD34" s="24"/>
      <c r="FE34" s="24"/>
      <c r="FF34" s="24"/>
      <c r="FG34" s="24"/>
      <c r="FH34" s="24"/>
      <c r="FI34" s="24"/>
      <c r="FJ34" s="24"/>
      <c r="FK34" s="24"/>
      <c r="FL34" s="24"/>
      <c r="FM34" s="24"/>
      <c r="FN34" s="24"/>
      <c r="FO34" s="24"/>
      <c r="FP34" s="24"/>
      <c r="FQ34" s="24"/>
      <c r="FR34" s="24"/>
      <c r="FS34" s="24"/>
      <c r="FT34" s="24"/>
      <c r="FU34" s="24"/>
      <c r="FV34" s="24"/>
      <c r="FW34" s="24"/>
      <c r="FX34" s="24"/>
      <c r="FY34" s="24"/>
      <c r="FZ34" s="24"/>
      <c r="GA34" s="24"/>
      <c r="GB34" s="24"/>
      <c r="GC34" s="24"/>
      <c r="GD34" s="24"/>
      <c r="GE34" s="24"/>
      <c r="GF34" s="24"/>
      <c r="GG34" s="24"/>
      <c r="GH34" s="24"/>
      <c r="GI34" s="24"/>
      <c r="GJ34" s="24"/>
      <c r="GK34" s="24"/>
      <c r="GL34" s="24"/>
      <c r="GM34" s="24"/>
      <c r="GN34" s="24"/>
      <c r="GO34" s="24"/>
      <c r="GP34" s="24"/>
      <c r="GQ34" s="24"/>
      <c r="GR34" s="24"/>
      <c r="GS34" s="24"/>
      <c r="GT34" s="24"/>
      <c r="GU34" s="24"/>
      <c r="GV34" s="24"/>
      <c r="GW34" s="24"/>
      <c r="GX34" s="24"/>
      <c r="GY34" s="24"/>
      <c r="GZ34" s="24"/>
      <c r="HA34" s="24"/>
      <c r="HB34" s="24"/>
      <c r="HC34" s="24"/>
      <c r="HD34" s="24"/>
      <c r="HE34" s="24"/>
      <c r="HF34" s="24"/>
      <c r="HG34" s="24"/>
      <c r="HH34" s="24"/>
      <c r="HI34" s="24"/>
      <c r="HJ34" s="24"/>
      <c r="HK34" s="24"/>
      <c r="HL34" s="24"/>
      <c r="HM34" s="24"/>
      <c r="HN34" s="24"/>
      <c r="HO34" s="24"/>
      <c r="HP34" s="24"/>
      <c r="HQ34" s="24"/>
      <c r="HR34" s="24"/>
      <c r="HS34" s="24"/>
      <c r="HT34" s="24"/>
      <c r="HU34" s="24"/>
      <c r="HV34" s="24"/>
      <c r="HW34" s="24"/>
      <c r="HX34" s="24"/>
      <c r="HY34" s="24"/>
      <c r="HZ34" s="24"/>
      <c r="IA34" s="24"/>
      <c r="IB34" s="24"/>
      <c r="IC34" s="24"/>
      <c r="ID34" s="24"/>
      <c r="IE34" s="24"/>
      <c r="IF34" s="24"/>
      <c r="IG34" s="24"/>
      <c r="IH34" s="24"/>
      <c r="II34" s="24"/>
      <c r="IJ34" s="24"/>
      <c r="IK34" s="24"/>
      <c r="IL34" s="24"/>
      <c r="IM34" s="24"/>
      <c r="IN34" s="24"/>
      <c r="IO34" s="24"/>
      <c r="IP34" s="24"/>
      <c r="IQ34" s="24"/>
      <c r="IR34" s="24"/>
      <c r="IS34" s="24"/>
      <c r="IT34" s="24"/>
      <c r="IU34" s="24"/>
      <c r="IV34" s="24"/>
      <c r="IW34" s="24"/>
      <c r="IX34" s="24"/>
      <c r="IY34" s="24"/>
      <c r="IZ34" s="24"/>
      <c r="JA34" s="24"/>
      <c r="JB34" s="24"/>
      <c r="JC34" s="24"/>
      <c r="JD34" s="24"/>
      <c r="JE34" s="24"/>
    </row>
    <row r="35" spans="1:265" s="141" customFormat="1" ht="13.5" customHeight="1" thickBot="1" x14ac:dyDescent="0.3">
      <c r="A35" s="2047"/>
      <c r="B35" s="2051"/>
      <c r="C35" s="809"/>
      <c r="D35" s="810"/>
      <c r="E35" s="811"/>
      <c r="F35" s="834">
        <f t="shared" ref="F35:R35" si="3">F34/$E$34</f>
        <v>1.1153351552830797E-4</v>
      </c>
      <c r="G35" s="834">
        <f t="shared" si="3"/>
        <v>9.3930820467097494E-3</v>
      </c>
      <c r="H35" s="834">
        <f t="shared" si="3"/>
        <v>1.1492886977044524E-2</v>
      </c>
      <c r="I35" s="834">
        <f t="shared" si="3"/>
        <v>4.4927591576376123E-2</v>
      </c>
      <c r="J35" s="834">
        <f t="shared" si="3"/>
        <v>0.10298627835786263</v>
      </c>
      <c r="K35" s="834">
        <f t="shared" si="3"/>
        <v>0.11017748931554885</v>
      </c>
      <c r="L35" s="834">
        <f t="shared" si="3"/>
        <v>8.8771969854529766E-3</v>
      </c>
      <c r="M35" s="834">
        <f t="shared" si="3"/>
        <v>9.330358939256575E-2</v>
      </c>
      <c r="N35" s="834">
        <f t="shared" si="3"/>
        <v>8.1139423937316938E-3</v>
      </c>
      <c r="O35" s="834">
        <f t="shared" si="3"/>
        <v>6.1035438619912577E-2</v>
      </c>
      <c r="P35" s="834">
        <f t="shared" si="3"/>
        <v>9.9292754304095884E-2</v>
      </c>
      <c r="Q35" s="834">
        <f t="shared" si="3"/>
        <v>9.3508771413368982E-2</v>
      </c>
      <c r="R35" s="834">
        <f t="shared" si="3"/>
        <v>0.11519905040756201</v>
      </c>
      <c r="S35" s="834">
        <f t="shared" ref="S35:U35" si="4">S34/$E$34</f>
        <v>8.335809248402809E-2</v>
      </c>
      <c r="T35" s="834">
        <f t="shared" ref="T35" si="5">T34/$E$34</f>
        <v>7.9275991621541558E-2</v>
      </c>
      <c r="U35" s="834">
        <f t="shared" si="4"/>
        <v>7.8946308754890074E-2</v>
      </c>
      <c r="V35" s="834"/>
      <c r="W35" s="834"/>
      <c r="X35" s="834"/>
      <c r="Y35" s="834"/>
      <c r="Z35" s="1014"/>
      <c r="AA35" s="835"/>
      <c r="AB35" s="214">
        <f t="shared" si="0"/>
        <v>0.75841960530576014</v>
      </c>
      <c r="AC35" s="24"/>
      <c r="AD35" s="24"/>
      <c r="AE35" s="24"/>
      <c r="AF35" s="24"/>
      <c r="AG35" s="24"/>
      <c r="AH35" s="24"/>
      <c r="AI35" s="24"/>
      <c r="AJ35" s="24"/>
      <c r="AK35" s="24"/>
      <c r="AL35" s="24"/>
      <c r="AM35" s="24"/>
      <c r="AN35" s="24"/>
      <c r="AO35" s="24"/>
      <c r="AP35" s="24"/>
      <c r="AQ35" s="24"/>
      <c r="AR35" s="24"/>
      <c r="AS35" s="24"/>
      <c r="AT35" s="24"/>
      <c r="AU35" s="24"/>
      <c r="AV35" s="24"/>
      <c r="AW35" s="24"/>
      <c r="AX35" s="24"/>
      <c r="AY35" s="24"/>
      <c r="AZ35" s="24"/>
      <c r="BA35" s="24"/>
      <c r="BB35" s="24"/>
      <c r="BC35" s="24"/>
      <c r="BD35" s="24"/>
      <c r="BE35" s="24"/>
      <c r="BF35" s="24"/>
      <c r="BG35" s="24"/>
      <c r="BH35" s="24"/>
      <c r="BI35" s="24"/>
      <c r="BJ35" s="24"/>
      <c r="BK35" s="24"/>
      <c r="BL35" s="24"/>
      <c r="BM35" s="24"/>
      <c r="BN35" s="24"/>
      <c r="BO35" s="24"/>
      <c r="BP35" s="24"/>
      <c r="BQ35" s="24"/>
      <c r="BR35" s="24"/>
      <c r="BS35" s="24"/>
      <c r="BT35" s="24"/>
      <c r="BU35" s="24"/>
      <c r="BV35" s="24"/>
      <c r="BW35" s="24"/>
      <c r="BX35" s="24"/>
      <c r="BY35" s="24"/>
      <c r="BZ35" s="24"/>
      <c r="CA35" s="24"/>
      <c r="CB35" s="24"/>
      <c r="CC35" s="24"/>
      <c r="CD35" s="24"/>
      <c r="CE35" s="24"/>
      <c r="CF35" s="24"/>
      <c r="CG35" s="24"/>
      <c r="CH35" s="24"/>
      <c r="CI35" s="24"/>
      <c r="CJ35" s="24"/>
      <c r="CK35" s="24"/>
      <c r="CL35" s="24"/>
      <c r="CM35" s="24"/>
      <c r="CN35" s="24"/>
      <c r="CO35" s="24"/>
      <c r="CP35" s="24"/>
      <c r="CQ35" s="24"/>
      <c r="CR35" s="24"/>
      <c r="CS35" s="24"/>
      <c r="CT35" s="24"/>
      <c r="CU35" s="24"/>
      <c r="CV35" s="24"/>
      <c r="CW35" s="24"/>
      <c r="CX35" s="24"/>
      <c r="CY35" s="24"/>
      <c r="CZ35" s="24"/>
      <c r="DA35" s="24"/>
      <c r="DB35" s="24"/>
      <c r="DC35" s="24"/>
      <c r="DD35" s="24"/>
      <c r="DE35" s="24"/>
      <c r="DF35" s="24"/>
      <c r="DG35" s="24"/>
      <c r="DH35" s="24"/>
      <c r="DI35" s="24"/>
      <c r="DJ35" s="24"/>
      <c r="DK35" s="24"/>
      <c r="DL35" s="24"/>
      <c r="DM35" s="24"/>
      <c r="DN35" s="24"/>
      <c r="DO35" s="24"/>
      <c r="DP35" s="24"/>
      <c r="DQ35" s="24"/>
      <c r="DR35" s="24"/>
      <c r="DS35" s="24"/>
      <c r="DT35" s="24"/>
      <c r="DU35" s="24"/>
      <c r="DV35" s="24"/>
      <c r="DW35" s="24"/>
      <c r="DX35" s="24"/>
      <c r="DY35" s="24"/>
      <c r="DZ35" s="24"/>
      <c r="EA35" s="24"/>
      <c r="EB35" s="24"/>
      <c r="EC35" s="24"/>
      <c r="ED35" s="24"/>
      <c r="EE35" s="24"/>
      <c r="EF35" s="24"/>
      <c r="EG35" s="24"/>
      <c r="EH35" s="24"/>
      <c r="EI35" s="24"/>
      <c r="EJ35" s="24"/>
      <c r="EK35" s="24"/>
      <c r="EL35" s="24"/>
      <c r="EM35" s="24"/>
      <c r="EN35" s="24"/>
      <c r="EO35" s="24"/>
      <c r="EP35" s="24"/>
      <c r="EQ35" s="24"/>
      <c r="ER35" s="24"/>
      <c r="ES35" s="24"/>
      <c r="ET35" s="24"/>
      <c r="EU35" s="24"/>
      <c r="EV35" s="24"/>
      <c r="EW35" s="24"/>
      <c r="EX35" s="24"/>
      <c r="EY35" s="24"/>
      <c r="EZ35" s="24"/>
      <c r="FA35" s="24"/>
      <c r="FB35" s="24"/>
      <c r="FC35" s="24"/>
      <c r="FD35" s="24"/>
      <c r="FE35" s="24"/>
      <c r="FF35" s="24"/>
      <c r="FG35" s="24"/>
      <c r="FH35" s="24"/>
      <c r="FI35" s="24"/>
      <c r="FJ35" s="24"/>
      <c r="FK35" s="24"/>
      <c r="FL35" s="24"/>
      <c r="FM35" s="24"/>
      <c r="FN35" s="24"/>
      <c r="FO35" s="24"/>
      <c r="FP35" s="24"/>
      <c r="FQ35" s="24"/>
      <c r="FR35" s="24"/>
      <c r="FS35" s="24"/>
      <c r="FT35" s="24"/>
      <c r="FU35" s="24"/>
      <c r="FV35" s="24"/>
      <c r="FW35" s="24"/>
      <c r="FX35" s="24"/>
      <c r="FY35" s="24"/>
      <c r="FZ35" s="24"/>
      <c r="GA35" s="24"/>
      <c r="GB35" s="24"/>
      <c r="GC35" s="24"/>
      <c r="GD35" s="24"/>
      <c r="GE35" s="24"/>
      <c r="GF35" s="24"/>
      <c r="GG35" s="24"/>
      <c r="GH35" s="24"/>
      <c r="GI35" s="24"/>
      <c r="GJ35" s="24"/>
      <c r="GK35" s="24"/>
      <c r="GL35" s="24"/>
      <c r="GM35" s="24"/>
      <c r="GN35" s="24"/>
      <c r="GO35" s="24"/>
      <c r="GP35" s="24"/>
      <c r="GQ35" s="24"/>
      <c r="GR35" s="24"/>
      <c r="GS35" s="24"/>
      <c r="GT35" s="24"/>
      <c r="GU35" s="24"/>
      <c r="GV35" s="24"/>
      <c r="GW35" s="24"/>
      <c r="GX35" s="24"/>
      <c r="GY35" s="24"/>
      <c r="GZ35" s="24"/>
      <c r="HA35" s="24"/>
      <c r="HB35" s="24"/>
      <c r="HC35" s="24"/>
      <c r="HD35" s="24"/>
      <c r="HE35" s="24"/>
      <c r="HF35" s="24"/>
      <c r="HG35" s="24"/>
      <c r="HH35" s="24"/>
      <c r="HI35" s="24"/>
      <c r="HJ35" s="24"/>
      <c r="HK35" s="24"/>
      <c r="HL35" s="24"/>
      <c r="HM35" s="24"/>
      <c r="HN35" s="24"/>
      <c r="HO35" s="24"/>
      <c r="HP35" s="24"/>
      <c r="HQ35" s="24"/>
      <c r="HR35" s="24"/>
      <c r="HS35" s="24"/>
      <c r="HT35" s="24"/>
      <c r="HU35" s="24"/>
      <c r="HV35" s="24"/>
      <c r="HW35" s="24"/>
      <c r="HX35" s="24"/>
      <c r="HY35" s="24"/>
      <c r="HZ35" s="24"/>
      <c r="IA35" s="24"/>
      <c r="IB35" s="24"/>
      <c r="IC35" s="24"/>
      <c r="ID35" s="24"/>
      <c r="IE35" s="24"/>
      <c r="IF35" s="24"/>
      <c r="IG35" s="24"/>
      <c r="IH35" s="24"/>
      <c r="II35" s="24"/>
      <c r="IJ35" s="24"/>
      <c r="IK35" s="24"/>
      <c r="IL35" s="24"/>
      <c r="IM35" s="24"/>
      <c r="IN35" s="24"/>
      <c r="IO35" s="24"/>
      <c r="IP35" s="24"/>
      <c r="IQ35" s="24"/>
      <c r="IR35" s="24"/>
      <c r="IS35" s="24"/>
      <c r="IT35" s="24"/>
      <c r="IU35" s="24"/>
      <c r="IV35" s="24"/>
      <c r="IW35" s="24"/>
      <c r="IX35" s="24"/>
      <c r="IY35" s="24"/>
      <c r="IZ35" s="24"/>
      <c r="JA35" s="24"/>
      <c r="JB35" s="24"/>
      <c r="JC35" s="24"/>
      <c r="JD35" s="24"/>
      <c r="JE35" s="24"/>
    </row>
    <row r="36" spans="1:265" s="504" customFormat="1" ht="13.5" customHeight="1" x14ac:dyDescent="0.2">
      <c r="A36" s="964"/>
      <c r="B36" s="792"/>
      <c r="C36" s="758"/>
      <c r="D36" s="758"/>
      <c r="E36" s="793"/>
      <c r="F36" s="794"/>
      <c r="G36" s="794"/>
      <c r="H36" s="794"/>
      <c r="I36" s="794"/>
      <c r="J36" s="794"/>
      <c r="K36" s="794"/>
      <c r="L36" s="794"/>
      <c r="M36" s="794"/>
      <c r="N36" s="794"/>
      <c r="O36" s="794"/>
      <c r="P36" s="794"/>
      <c r="Q36" s="794"/>
      <c r="R36" s="794"/>
      <c r="S36" s="794"/>
      <c r="T36" s="794"/>
      <c r="U36" s="794"/>
      <c r="V36" s="794"/>
      <c r="W36" s="794"/>
      <c r="X36" s="794"/>
      <c r="Y36" s="794"/>
      <c r="Z36" s="794"/>
      <c r="AA36" s="1017"/>
      <c r="AB36" s="173"/>
      <c r="AC36" s="173"/>
      <c r="AD36" s="173"/>
      <c r="AE36" s="173"/>
      <c r="AF36" s="173"/>
      <c r="AG36" s="173"/>
      <c r="AH36" s="173"/>
      <c r="AI36" s="173"/>
      <c r="AJ36" s="173"/>
      <c r="AK36" s="173"/>
      <c r="AL36" s="173"/>
      <c r="AM36" s="173"/>
      <c r="AN36" s="173"/>
      <c r="AO36" s="173"/>
      <c r="AP36" s="173"/>
      <c r="AQ36" s="173"/>
      <c r="AR36" s="173"/>
      <c r="AS36" s="173"/>
      <c r="AT36" s="173"/>
      <c r="AU36" s="173"/>
      <c r="AV36" s="173"/>
      <c r="AW36" s="173"/>
      <c r="AX36" s="173"/>
      <c r="AY36" s="173"/>
      <c r="AZ36" s="173"/>
      <c r="BA36" s="173"/>
      <c r="BB36" s="173"/>
      <c r="BC36" s="173"/>
      <c r="BD36" s="173"/>
      <c r="BE36" s="173"/>
      <c r="BF36" s="173"/>
      <c r="BG36" s="173"/>
      <c r="BH36" s="173"/>
      <c r="BI36" s="173"/>
      <c r="BJ36" s="173"/>
      <c r="BK36" s="173"/>
      <c r="BL36" s="173"/>
      <c r="BM36" s="173"/>
      <c r="BN36" s="173"/>
      <c r="BO36" s="173"/>
      <c r="BP36" s="173"/>
      <c r="BQ36" s="173"/>
      <c r="BR36" s="173"/>
      <c r="BS36" s="173"/>
      <c r="BT36" s="173"/>
      <c r="BU36" s="173"/>
      <c r="BV36" s="173"/>
      <c r="BW36" s="173"/>
      <c r="BX36" s="173"/>
      <c r="BY36" s="173"/>
      <c r="BZ36" s="173"/>
      <c r="CA36" s="173"/>
      <c r="CB36" s="173"/>
      <c r="CC36" s="173"/>
      <c r="CD36" s="173"/>
      <c r="CE36" s="173"/>
      <c r="CF36" s="173"/>
      <c r="CG36" s="173"/>
      <c r="CH36" s="173"/>
      <c r="CI36" s="173"/>
      <c r="CJ36" s="173"/>
      <c r="CK36" s="173"/>
      <c r="CL36" s="173"/>
      <c r="CM36" s="173"/>
      <c r="CN36" s="173"/>
      <c r="CO36" s="173"/>
      <c r="CP36" s="173"/>
      <c r="CQ36" s="173"/>
      <c r="CR36" s="173"/>
      <c r="CS36" s="173"/>
      <c r="CT36" s="173"/>
      <c r="CU36" s="173"/>
      <c r="CV36" s="173"/>
      <c r="CW36" s="173"/>
      <c r="CX36" s="173"/>
      <c r="CY36" s="173"/>
      <c r="CZ36" s="173"/>
      <c r="DA36" s="173"/>
      <c r="DB36" s="173"/>
      <c r="DC36" s="173"/>
      <c r="DD36" s="173"/>
      <c r="DE36" s="173"/>
      <c r="DF36" s="173"/>
      <c r="DG36" s="173"/>
      <c r="DH36" s="173"/>
      <c r="DI36" s="173"/>
      <c r="DJ36" s="173"/>
      <c r="DK36" s="173"/>
      <c r="DL36" s="173"/>
      <c r="DM36" s="173"/>
      <c r="DN36" s="173"/>
      <c r="DO36" s="173"/>
      <c r="DP36" s="173"/>
      <c r="DQ36" s="173"/>
      <c r="DR36" s="173"/>
      <c r="DS36" s="173"/>
      <c r="DT36" s="173"/>
      <c r="DU36" s="173"/>
      <c r="DV36" s="173"/>
      <c r="DW36" s="173"/>
      <c r="DX36" s="173"/>
      <c r="DY36" s="173"/>
      <c r="DZ36" s="173"/>
      <c r="EA36" s="173"/>
      <c r="EB36" s="173"/>
      <c r="EC36" s="173"/>
      <c r="ED36" s="173"/>
      <c r="EE36" s="173"/>
      <c r="EF36" s="173"/>
      <c r="EG36" s="173"/>
      <c r="EH36" s="173"/>
      <c r="EI36" s="173"/>
      <c r="EJ36" s="173"/>
      <c r="EK36" s="173"/>
      <c r="EL36" s="173"/>
      <c r="EM36" s="173"/>
      <c r="EN36" s="173"/>
      <c r="EO36" s="173"/>
      <c r="EP36" s="173"/>
      <c r="EQ36" s="173"/>
      <c r="ER36" s="173"/>
      <c r="ES36" s="173"/>
      <c r="ET36" s="173"/>
      <c r="EU36" s="173"/>
      <c r="EV36" s="173"/>
      <c r="EW36" s="173"/>
      <c r="EX36" s="173"/>
      <c r="EY36" s="173"/>
      <c r="EZ36" s="173"/>
      <c r="FA36" s="173"/>
      <c r="FB36" s="173"/>
      <c r="FC36" s="173"/>
      <c r="FD36" s="173"/>
      <c r="FE36" s="173"/>
      <c r="FF36" s="173"/>
      <c r="FG36" s="173"/>
      <c r="FH36" s="173"/>
      <c r="FI36" s="173"/>
      <c r="FJ36" s="173"/>
      <c r="FK36" s="173"/>
      <c r="FL36" s="173"/>
      <c r="FM36" s="173"/>
      <c r="FN36" s="173"/>
      <c r="FO36" s="173"/>
      <c r="FP36" s="173"/>
      <c r="FQ36" s="173"/>
      <c r="FR36" s="173"/>
      <c r="FS36" s="173"/>
      <c r="FT36" s="173"/>
      <c r="FU36" s="173"/>
      <c r="FV36" s="173"/>
      <c r="FW36" s="173"/>
      <c r="FX36" s="173"/>
      <c r="FY36" s="173"/>
      <c r="FZ36" s="173"/>
      <c r="GA36" s="173"/>
      <c r="GB36" s="173"/>
      <c r="GC36" s="173"/>
      <c r="GD36" s="173"/>
      <c r="GE36" s="173"/>
      <c r="GF36" s="173"/>
      <c r="GG36" s="173"/>
      <c r="GH36" s="173"/>
      <c r="GI36" s="173"/>
      <c r="GJ36" s="173"/>
      <c r="GK36" s="173"/>
      <c r="GL36" s="173"/>
      <c r="GM36" s="173"/>
      <c r="GN36" s="173"/>
      <c r="GO36" s="173"/>
      <c r="GP36" s="173"/>
      <c r="GQ36" s="173"/>
      <c r="GR36" s="173"/>
      <c r="GS36" s="173"/>
      <c r="GT36" s="173"/>
      <c r="GU36" s="173"/>
      <c r="GV36" s="173"/>
      <c r="GW36" s="173"/>
      <c r="GX36" s="173"/>
      <c r="GY36" s="173"/>
      <c r="GZ36" s="173"/>
      <c r="HA36" s="173"/>
      <c r="HB36" s="173"/>
      <c r="HC36" s="173"/>
      <c r="HD36" s="173"/>
      <c r="HE36" s="173"/>
      <c r="HF36" s="173"/>
      <c r="HG36" s="173"/>
      <c r="HH36" s="173"/>
      <c r="HI36" s="173"/>
      <c r="HJ36" s="173"/>
      <c r="HK36" s="173"/>
      <c r="HL36" s="173"/>
      <c r="HM36" s="173"/>
      <c r="HN36" s="173"/>
      <c r="HO36" s="173"/>
      <c r="HP36" s="173"/>
      <c r="HQ36" s="173"/>
      <c r="HR36" s="173"/>
      <c r="HS36" s="173"/>
      <c r="HT36" s="173"/>
      <c r="HU36" s="173"/>
      <c r="HV36" s="173"/>
      <c r="HW36" s="173"/>
      <c r="HX36" s="173"/>
      <c r="HY36" s="173"/>
      <c r="HZ36" s="173"/>
      <c r="IA36" s="173"/>
      <c r="IB36" s="173"/>
      <c r="IC36" s="173"/>
      <c r="ID36" s="173"/>
      <c r="IE36" s="173"/>
      <c r="IF36" s="173"/>
      <c r="IG36" s="173"/>
      <c r="IH36" s="173"/>
      <c r="II36" s="173"/>
      <c r="IJ36" s="173"/>
      <c r="IK36" s="173"/>
      <c r="IL36" s="173"/>
      <c r="IM36" s="173"/>
      <c r="IN36" s="173"/>
      <c r="IO36" s="173"/>
      <c r="IP36" s="173"/>
      <c r="IQ36" s="173"/>
      <c r="IR36" s="173"/>
      <c r="IS36" s="173"/>
      <c r="IT36" s="173"/>
      <c r="IU36" s="173"/>
      <c r="IV36" s="173"/>
      <c r="IW36" s="173"/>
      <c r="IX36" s="173"/>
      <c r="IY36" s="173"/>
      <c r="IZ36" s="173"/>
      <c r="JA36" s="173"/>
      <c r="JB36" s="173"/>
      <c r="JC36" s="173"/>
      <c r="JD36" s="173"/>
      <c r="JE36" s="173"/>
    </row>
    <row r="37" spans="1:265" s="504" customFormat="1" ht="13.5" customHeight="1" thickBot="1" x14ac:dyDescent="0.3">
      <c r="A37" s="964"/>
      <c r="B37" s="792"/>
      <c r="C37" s="2055" t="s">
        <v>135</v>
      </c>
      <c r="D37" s="2055"/>
      <c r="E37" s="793"/>
      <c r="F37" s="794"/>
      <c r="G37" s="794"/>
      <c r="H37" s="794"/>
      <c r="I37" s="794"/>
      <c r="J37" s="794"/>
      <c r="K37" s="794"/>
      <c r="L37" s="794"/>
      <c r="M37" s="794"/>
      <c r="N37" s="794"/>
      <c r="O37" s="794"/>
      <c r="P37" s="794"/>
      <c r="Q37" s="794"/>
      <c r="R37" s="794"/>
      <c r="S37" s="794"/>
      <c r="T37" s="794"/>
      <c r="U37" s="794"/>
      <c r="V37" s="794"/>
      <c r="W37" s="794"/>
      <c r="X37" s="794"/>
      <c r="Y37" s="794"/>
      <c r="Z37" s="794"/>
      <c r="AA37" s="1017"/>
      <c r="AB37" s="173"/>
      <c r="AC37" s="173"/>
      <c r="AD37" s="173"/>
      <c r="AE37" s="173"/>
      <c r="AF37" s="173"/>
      <c r="AG37" s="173"/>
      <c r="AH37" s="173"/>
      <c r="AI37" s="173"/>
      <c r="AJ37" s="173"/>
      <c r="AK37" s="173"/>
      <c r="AL37" s="173"/>
      <c r="AM37" s="173"/>
      <c r="AN37" s="173"/>
      <c r="AO37" s="173"/>
      <c r="AP37" s="173"/>
      <c r="AQ37" s="173"/>
      <c r="AR37" s="173"/>
      <c r="AS37" s="173"/>
      <c r="AT37" s="173"/>
      <c r="AU37" s="173"/>
      <c r="AV37" s="173"/>
      <c r="AW37" s="173"/>
      <c r="AX37" s="173"/>
      <c r="AY37" s="173"/>
      <c r="AZ37" s="173"/>
      <c r="BA37" s="173"/>
      <c r="BB37" s="173"/>
      <c r="BC37" s="173"/>
      <c r="BD37" s="173"/>
      <c r="BE37" s="173"/>
      <c r="BF37" s="173"/>
      <c r="BG37" s="173"/>
      <c r="BH37" s="173"/>
      <c r="BI37" s="173"/>
      <c r="BJ37" s="173"/>
      <c r="BK37" s="173"/>
      <c r="BL37" s="173"/>
      <c r="BM37" s="173"/>
      <c r="BN37" s="173"/>
      <c r="BO37" s="173"/>
      <c r="BP37" s="173"/>
      <c r="BQ37" s="173"/>
      <c r="BR37" s="173"/>
      <c r="BS37" s="173"/>
      <c r="BT37" s="173"/>
      <c r="BU37" s="173"/>
      <c r="BV37" s="173"/>
      <c r="BW37" s="173"/>
      <c r="BX37" s="173"/>
      <c r="BY37" s="173"/>
      <c r="BZ37" s="173"/>
      <c r="CA37" s="173"/>
      <c r="CB37" s="173"/>
      <c r="CC37" s="173"/>
      <c r="CD37" s="173"/>
      <c r="CE37" s="173"/>
      <c r="CF37" s="173"/>
      <c r="CG37" s="173"/>
      <c r="CH37" s="173"/>
      <c r="CI37" s="173"/>
      <c r="CJ37" s="173"/>
      <c r="CK37" s="173"/>
      <c r="CL37" s="173"/>
      <c r="CM37" s="173"/>
      <c r="CN37" s="173"/>
      <c r="CO37" s="173"/>
      <c r="CP37" s="173"/>
      <c r="CQ37" s="173"/>
      <c r="CR37" s="173"/>
      <c r="CS37" s="173"/>
      <c r="CT37" s="173"/>
      <c r="CU37" s="173"/>
      <c r="CV37" s="173"/>
      <c r="CW37" s="173"/>
      <c r="CX37" s="173"/>
      <c r="CY37" s="173"/>
      <c r="CZ37" s="173"/>
      <c r="DA37" s="173"/>
      <c r="DB37" s="173"/>
      <c r="DC37" s="173"/>
      <c r="DD37" s="173"/>
      <c r="DE37" s="173"/>
      <c r="DF37" s="173"/>
      <c r="DG37" s="173"/>
      <c r="DH37" s="173"/>
      <c r="DI37" s="173"/>
      <c r="DJ37" s="173"/>
      <c r="DK37" s="173"/>
      <c r="DL37" s="173"/>
      <c r="DM37" s="173"/>
      <c r="DN37" s="173"/>
      <c r="DO37" s="173"/>
      <c r="DP37" s="173"/>
      <c r="DQ37" s="173"/>
      <c r="DR37" s="173"/>
      <c r="DS37" s="173"/>
      <c r="DT37" s="173"/>
      <c r="DU37" s="173"/>
      <c r="DV37" s="173"/>
      <c r="DW37" s="173"/>
      <c r="DX37" s="173"/>
      <c r="DY37" s="173"/>
      <c r="DZ37" s="173"/>
      <c r="EA37" s="173"/>
      <c r="EB37" s="173"/>
      <c r="EC37" s="173"/>
      <c r="ED37" s="173"/>
      <c r="EE37" s="173"/>
      <c r="EF37" s="173"/>
      <c r="EG37" s="173"/>
      <c r="EH37" s="173"/>
      <c r="EI37" s="173"/>
      <c r="EJ37" s="173"/>
      <c r="EK37" s="173"/>
      <c r="EL37" s="173"/>
      <c r="EM37" s="173"/>
      <c r="EN37" s="173"/>
      <c r="EO37" s="173"/>
      <c r="EP37" s="173"/>
      <c r="EQ37" s="173"/>
      <c r="ER37" s="173"/>
      <c r="ES37" s="173"/>
      <c r="ET37" s="173"/>
      <c r="EU37" s="173"/>
      <c r="EV37" s="173"/>
      <c r="EW37" s="173"/>
      <c r="EX37" s="173"/>
      <c r="EY37" s="173"/>
      <c r="EZ37" s="173"/>
      <c r="FA37" s="173"/>
      <c r="FB37" s="173"/>
      <c r="FC37" s="173"/>
      <c r="FD37" s="173"/>
      <c r="FE37" s="173"/>
      <c r="FF37" s="173"/>
      <c r="FG37" s="173"/>
      <c r="FH37" s="173"/>
      <c r="FI37" s="173"/>
      <c r="FJ37" s="173"/>
      <c r="FK37" s="173"/>
      <c r="FL37" s="173"/>
      <c r="FM37" s="173"/>
      <c r="FN37" s="173"/>
      <c r="FO37" s="173"/>
      <c r="FP37" s="173"/>
      <c r="FQ37" s="173"/>
      <c r="FR37" s="173"/>
      <c r="FS37" s="173"/>
      <c r="FT37" s="173"/>
      <c r="FU37" s="173"/>
      <c r="FV37" s="173"/>
      <c r="FW37" s="173"/>
      <c r="FX37" s="173"/>
      <c r="FY37" s="173"/>
      <c r="FZ37" s="173"/>
      <c r="GA37" s="173"/>
      <c r="GB37" s="173"/>
      <c r="GC37" s="173"/>
      <c r="GD37" s="173"/>
      <c r="GE37" s="173"/>
      <c r="GF37" s="173"/>
      <c r="GG37" s="173"/>
      <c r="GH37" s="173"/>
      <c r="GI37" s="173"/>
      <c r="GJ37" s="173"/>
      <c r="GK37" s="173"/>
      <c r="GL37" s="173"/>
      <c r="GM37" s="173"/>
      <c r="GN37" s="173"/>
      <c r="GO37" s="173"/>
      <c r="GP37" s="173"/>
      <c r="GQ37" s="173"/>
      <c r="GR37" s="173"/>
      <c r="GS37" s="173"/>
      <c r="GT37" s="173"/>
      <c r="GU37" s="173"/>
      <c r="GV37" s="173"/>
      <c r="GW37" s="173"/>
      <c r="GX37" s="173"/>
      <c r="GY37" s="173"/>
      <c r="GZ37" s="173"/>
      <c r="HA37" s="173"/>
      <c r="HB37" s="173"/>
      <c r="HC37" s="173"/>
      <c r="HD37" s="173"/>
      <c r="HE37" s="173"/>
      <c r="HF37" s="173"/>
      <c r="HG37" s="173"/>
      <c r="HH37" s="173"/>
      <c r="HI37" s="173"/>
      <c r="HJ37" s="173"/>
      <c r="HK37" s="173"/>
      <c r="HL37" s="173"/>
      <c r="HM37" s="173"/>
      <c r="HN37" s="173"/>
      <c r="HO37" s="173"/>
      <c r="HP37" s="173"/>
      <c r="HQ37" s="173"/>
      <c r="HR37" s="173"/>
      <c r="HS37" s="173"/>
      <c r="HT37" s="173"/>
      <c r="HU37" s="173"/>
      <c r="HV37" s="173"/>
      <c r="HW37" s="173"/>
      <c r="HX37" s="173"/>
      <c r="HY37" s="173"/>
      <c r="HZ37" s="173"/>
      <c r="IA37" s="173"/>
      <c r="IB37" s="173"/>
      <c r="IC37" s="173"/>
      <c r="ID37" s="173"/>
      <c r="IE37" s="173"/>
      <c r="IF37" s="173"/>
      <c r="IG37" s="173"/>
      <c r="IH37" s="173"/>
      <c r="II37" s="173"/>
      <c r="IJ37" s="173"/>
      <c r="IK37" s="173"/>
      <c r="IL37" s="173"/>
      <c r="IM37" s="173"/>
      <c r="IN37" s="173"/>
      <c r="IO37" s="173"/>
      <c r="IP37" s="173"/>
      <c r="IQ37" s="173"/>
      <c r="IR37" s="173"/>
      <c r="IS37" s="173"/>
      <c r="IT37" s="173"/>
      <c r="IU37" s="173"/>
      <c r="IV37" s="173"/>
      <c r="IW37" s="173"/>
      <c r="IX37" s="173"/>
      <c r="IY37" s="173"/>
      <c r="IZ37" s="173"/>
      <c r="JA37" s="173"/>
      <c r="JB37" s="173"/>
      <c r="JC37" s="173"/>
      <c r="JD37" s="173"/>
      <c r="JE37" s="173"/>
    </row>
    <row r="38" spans="1:265" x14ac:dyDescent="0.25">
      <c r="A38" s="965"/>
      <c r="B38" s="758"/>
      <c r="C38" s="796" t="s">
        <v>1378</v>
      </c>
      <c r="D38" s="812"/>
      <c r="E38" s="816">
        <f>E34</f>
        <v>17878272.109999999</v>
      </c>
      <c r="F38" s="797">
        <f>F34</f>
        <v>1994.0265400000001</v>
      </c>
      <c r="G38" s="797">
        <f t="shared" ref="G38:R38" si="6">G34</f>
        <v>167932.07678263262</v>
      </c>
      <c r="H38" s="797">
        <f t="shared" si="6"/>
        <v>205472.9607050773</v>
      </c>
      <c r="I38" s="797">
        <f t="shared" si="6"/>
        <v>803227.70744939614</v>
      </c>
      <c r="J38" s="797">
        <f t="shared" si="6"/>
        <v>1841216.7080780719</v>
      </c>
      <c r="K38" s="797">
        <f t="shared" si="6"/>
        <v>1969783.1343799999</v>
      </c>
      <c r="L38" s="797">
        <f t="shared" si="6"/>
        <v>158708.94328000001</v>
      </c>
      <c r="M38" s="797">
        <f t="shared" si="6"/>
        <v>1668106.96</v>
      </c>
      <c r="N38" s="797">
        <f t="shared" si="6"/>
        <v>145063.26999999999</v>
      </c>
      <c r="O38" s="797">
        <f t="shared" si="6"/>
        <v>1091208.18</v>
      </c>
      <c r="P38" s="797">
        <f t="shared" si="6"/>
        <v>1775182.88</v>
      </c>
      <c r="Q38" s="797">
        <f t="shared" si="6"/>
        <v>1671775.26</v>
      </c>
      <c r="R38" s="797">
        <f t="shared" si="6"/>
        <v>2059559.97</v>
      </c>
      <c r="S38" s="797">
        <f t="shared" ref="S38:U38" si="7">S34</f>
        <v>1490298.66</v>
      </c>
      <c r="T38" s="797">
        <f t="shared" ref="T38" si="8">T34</f>
        <v>1417317.75</v>
      </c>
      <c r="U38" s="797">
        <f t="shared" si="7"/>
        <v>1411423.59</v>
      </c>
      <c r="V38" s="797"/>
      <c r="W38" s="797"/>
      <c r="X38" s="797"/>
      <c r="Y38" s="797"/>
      <c r="Z38" s="1015"/>
      <c r="AA38" s="1018"/>
      <c r="AB38" s="973">
        <f>SUM(F38:AA38)</f>
        <v>17878272.07721518</v>
      </c>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8"/>
      <c r="BK38" s="18"/>
      <c r="BL38" s="18"/>
      <c r="BM38" s="18"/>
      <c r="BN38" s="18"/>
      <c r="BO38" s="18"/>
      <c r="BP38" s="18"/>
      <c r="BQ38" s="18"/>
      <c r="BR38" s="18"/>
      <c r="BS38" s="18"/>
      <c r="BT38" s="18"/>
      <c r="BU38" s="18"/>
      <c r="BV38" s="18"/>
      <c r="BW38" s="18"/>
      <c r="BX38" s="18"/>
      <c r="BY38" s="18"/>
      <c r="BZ38" s="18"/>
      <c r="CA38" s="18"/>
      <c r="CB38" s="18"/>
      <c r="CC38" s="18"/>
      <c r="CD38" s="18"/>
      <c r="CE38" s="18"/>
      <c r="CF38" s="18"/>
      <c r="CG38" s="18"/>
      <c r="CH38" s="18"/>
      <c r="CI38" s="18"/>
      <c r="CJ38" s="18"/>
      <c r="CK38" s="18"/>
      <c r="CL38" s="18"/>
      <c r="CM38" s="18"/>
      <c r="CN38" s="18"/>
      <c r="CO38" s="18"/>
      <c r="CP38" s="18"/>
      <c r="CQ38" s="18"/>
      <c r="CR38" s="18"/>
      <c r="CS38" s="18"/>
      <c r="CT38" s="18"/>
      <c r="CU38" s="18"/>
      <c r="CV38" s="18"/>
      <c r="CW38" s="18"/>
      <c r="CX38" s="18"/>
      <c r="CY38" s="18"/>
      <c r="CZ38" s="18"/>
      <c r="DA38" s="18"/>
      <c r="DB38" s="18"/>
      <c r="DC38" s="18"/>
      <c r="DD38" s="18"/>
      <c r="DE38" s="18"/>
      <c r="DF38" s="18"/>
      <c r="DG38" s="18"/>
      <c r="DH38" s="18"/>
      <c r="DI38" s="18"/>
      <c r="DJ38" s="18"/>
      <c r="DK38" s="18"/>
      <c r="DL38" s="18"/>
      <c r="DM38" s="18"/>
      <c r="DN38" s="18"/>
      <c r="DO38" s="18"/>
      <c r="DP38" s="18"/>
      <c r="DQ38" s="18"/>
      <c r="DR38" s="18"/>
      <c r="DS38" s="18"/>
      <c r="DT38" s="18"/>
      <c r="DU38" s="18"/>
      <c r="DV38" s="18"/>
      <c r="DW38" s="18"/>
      <c r="DX38" s="18"/>
      <c r="DY38" s="18"/>
      <c r="DZ38" s="18"/>
      <c r="EA38" s="18"/>
      <c r="EB38" s="18"/>
      <c r="EC38" s="18"/>
      <c r="ED38" s="18"/>
      <c r="EE38" s="18"/>
      <c r="EF38" s="18"/>
      <c r="EG38" s="18"/>
      <c r="EH38" s="18"/>
      <c r="EI38" s="18"/>
      <c r="EJ38" s="18"/>
      <c r="EK38" s="18"/>
      <c r="EL38" s="18"/>
      <c r="EM38" s="18"/>
      <c r="EN38" s="18"/>
      <c r="EO38" s="18"/>
      <c r="EP38" s="18"/>
      <c r="EQ38" s="18"/>
      <c r="ER38" s="18"/>
      <c r="ES38" s="18"/>
      <c r="ET38" s="18"/>
      <c r="EU38" s="18"/>
      <c r="EV38" s="18"/>
      <c r="EW38" s="18"/>
      <c r="EX38" s="18"/>
      <c r="EY38" s="18"/>
      <c r="EZ38" s="18"/>
      <c r="FA38" s="18"/>
      <c r="FB38" s="18"/>
      <c r="FC38" s="18"/>
      <c r="FD38" s="18"/>
      <c r="FE38" s="18"/>
      <c r="FF38" s="18"/>
      <c r="FG38" s="18"/>
      <c r="FH38" s="18"/>
      <c r="FI38" s="18"/>
      <c r="FJ38" s="18"/>
      <c r="FK38" s="18"/>
      <c r="FL38" s="18"/>
      <c r="FM38" s="18"/>
      <c r="FN38" s="18"/>
      <c r="FO38" s="18"/>
      <c r="FP38" s="18"/>
      <c r="FQ38" s="18"/>
      <c r="FR38" s="18"/>
      <c r="FS38" s="18"/>
      <c r="FT38" s="18"/>
      <c r="FU38" s="18"/>
      <c r="FV38" s="18"/>
      <c r="FW38" s="18"/>
      <c r="FX38" s="18"/>
      <c r="FY38" s="18"/>
      <c r="FZ38" s="18"/>
      <c r="GA38" s="18"/>
      <c r="GB38" s="18"/>
      <c r="GC38" s="18"/>
      <c r="GD38" s="18"/>
      <c r="GE38" s="18"/>
      <c r="GF38" s="18"/>
      <c r="GG38" s="18"/>
      <c r="GH38" s="18"/>
      <c r="GI38" s="18"/>
      <c r="GJ38" s="18"/>
      <c r="GK38" s="18"/>
      <c r="GL38" s="18"/>
      <c r="GM38" s="18"/>
      <c r="GN38" s="18"/>
      <c r="GO38" s="18"/>
      <c r="GP38" s="18"/>
      <c r="GQ38" s="18"/>
      <c r="GR38" s="18"/>
      <c r="GS38" s="18"/>
      <c r="GT38" s="18"/>
      <c r="GU38" s="18"/>
      <c r="GV38" s="18"/>
      <c r="GW38" s="18"/>
      <c r="GX38" s="18"/>
      <c r="GY38" s="18"/>
      <c r="GZ38" s="18"/>
      <c r="HA38" s="18"/>
      <c r="HB38" s="18"/>
      <c r="HC38" s="18"/>
      <c r="HD38" s="18"/>
      <c r="HE38" s="18"/>
      <c r="HF38" s="18"/>
      <c r="HG38" s="18"/>
      <c r="HH38" s="18"/>
      <c r="HI38" s="18"/>
      <c r="HJ38" s="18"/>
      <c r="HK38" s="18"/>
      <c r="HL38" s="18"/>
      <c r="HM38" s="18"/>
      <c r="HN38" s="18"/>
      <c r="HO38" s="18"/>
      <c r="HP38" s="18"/>
      <c r="HQ38" s="18"/>
      <c r="HR38" s="18"/>
      <c r="HS38" s="18"/>
      <c r="HT38" s="18"/>
      <c r="HU38" s="18"/>
      <c r="HV38" s="18"/>
      <c r="HW38" s="18"/>
      <c r="HX38" s="18"/>
      <c r="HY38" s="18"/>
      <c r="HZ38" s="18"/>
      <c r="IA38" s="18"/>
      <c r="IB38" s="18"/>
      <c r="IC38" s="18"/>
      <c r="ID38" s="18"/>
      <c r="IE38" s="18"/>
      <c r="IF38" s="18"/>
      <c r="IG38" s="18"/>
      <c r="IH38" s="18"/>
      <c r="II38" s="18"/>
      <c r="IJ38" s="18"/>
      <c r="IK38" s="18"/>
      <c r="IL38" s="18"/>
      <c r="IM38" s="18"/>
      <c r="IN38" s="18"/>
      <c r="IO38" s="18"/>
      <c r="IP38" s="18"/>
      <c r="IQ38" s="18"/>
      <c r="IR38" s="18"/>
      <c r="IS38" s="18"/>
      <c r="IT38" s="18"/>
      <c r="IU38" s="18"/>
      <c r="IV38" s="18"/>
      <c r="IW38" s="18"/>
      <c r="IX38" s="18"/>
      <c r="IY38" s="18"/>
      <c r="IZ38" s="18"/>
      <c r="JA38" s="18"/>
      <c r="JB38" s="18"/>
      <c r="JC38" s="18"/>
      <c r="JD38" s="18"/>
      <c r="JE38" s="18"/>
    </row>
    <row r="39" spans="1:265" x14ac:dyDescent="0.25">
      <c r="A39" s="965"/>
      <c r="B39" s="758"/>
      <c r="C39" s="759" t="s">
        <v>134</v>
      </c>
      <c r="D39" s="813"/>
      <c r="E39" s="815"/>
      <c r="F39" s="220">
        <f t="shared" ref="F39:R39" si="9">+F38/$E$38</f>
        <v>1.1153351552830797E-4</v>
      </c>
      <c r="G39" s="220">
        <f t="shared" si="9"/>
        <v>9.3930820467097494E-3</v>
      </c>
      <c r="H39" s="220">
        <f t="shared" si="9"/>
        <v>1.1492886977044524E-2</v>
      </c>
      <c r="I39" s="220">
        <f t="shared" si="9"/>
        <v>4.4927591576376123E-2</v>
      </c>
      <c r="J39" s="220">
        <f t="shared" si="9"/>
        <v>0.10298627835786263</v>
      </c>
      <c r="K39" s="220">
        <f t="shared" si="9"/>
        <v>0.11017748931554885</v>
      </c>
      <c r="L39" s="220">
        <f t="shared" si="9"/>
        <v>8.8771969854529766E-3</v>
      </c>
      <c r="M39" s="220">
        <f t="shared" si="9"/>
        <v>9.330358939256575E-2</v>
      </c>
      <c r="N39" s="220">
        <f t="shared" si="9"/>
        <v>8.1139423937316938E-3</v>
      </c>
      <c r="O39" s="220">
        <f t="shared" si="9"/>
        <v>6.1035438619912577E-2</v>
      </c>
      <c r="P39" s="220">
        <f t="shared" si="9"/>
        <v>9.9292754304095884E-2</v>
      </c>
      <c r="Q39" s="220">
        <f t="shared" si="9"/>
        <v>9.3508771413368982E-2</v>
      </c>
      <c r="R39" s="220">
        <f t="shared" si="9"/>
        <v>0.11519905040756201</v>
      </c>
      <c r="S39" s="220">
        <f t="shared" ref="S39:U39" si="10">+S38/$E$38</f>
        <v>8.335809248402809E-2</v>
      </c>
      <c r="T39" s="220">
        <f t="shared" ref="T39" si="11">+T38/$E$38</f>
        <v>7.9275991621541558E-2</v>
      </c>
      <c r="U39" s="220">
        <f t="shared" si="10"/>
        <v>7.8946308754890074E-2</v>
      </c>
      <c r="V39" s="220"/>
      <c r="W39" s="220"/>
      <c r="X39" s="220"/>
      <c r="Y39" s="220"/>
      <c r="Z39" s="1016"/>
      <c r="AA39" s="483"/>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8"/>
      <c r="BK39" s="18"/>
      <c r="BL39" s="18"/>
      <c r="BM39" s="18"/>
      <c r="BN39" s="18"/>
      <c r="BO39" s="18"/>
      <c r="BP39" s="18"/>
      <c r="BQ39" s="18"/>
      <c r="BR39" s="18"/>
      <c r="BS39" s="18"/>
      <c r="BT39" s="18"/>
      <c r="BU39" s="18"/>
      <c r="BV39" s="18"/>
      <c r="BW39" s="18"/>
      <c r="BX39" s="18"/>
      <c r="BY39" s="18"/>
      <c r="BZ39" s="18"/>
      <c r="CA39" s="18"/>
      <c r="CB39" s="18"/>
      <c r="CC39" s="18"/>
      <c r="CD39" s="18"/>
      <c r="CE39" s="18"/>
      <c r="CF39" s="18"/>
      <c r="CG39" s="18"/>
      <c r="CH39" s="18"/>
      <c r="CI39" s="18"/>
      <c r="CJ39" s="18"/>
      <c r="CK39" s="18"/>
      <c r="CL39" s="18"/>
      <c r="CM39" s="18"/>
      <c r="CN39" s="18"/>
      <c r="CO39" s="18"/>
      <c r="CP39" s="18"/>
      <c r="CQ39" s="18"/>
      <c r="CR39" s="18"/>
      <c r="CS39" s="18"/>
      <c r="CT39" s="18"/>
      <c r="CU39" s="18"/>
      <c r="CV39" s="18"/>
      <c r="CW39" s="18"/>
      <c r="CX39" s="18"/>
      <c r="CY39" s="18"/>
      <c r="CZ39" s="18"/>
      <c r="DA39" s="18"/>
      <c r="DB39" s="18"/>
      <c r="DC39" s="18"/>
      <c r="DD39" s="18"/>
      <c r="DE39" s="18"/>
      <c r="DF39" s="18"/>
      <c r="DG39" s="18"/>
      <c r="DH39" s="18"/>
      <c r="DI39" s="18"/>
      <c r="DJ39" s="18"/>
      <c r="DK39" s="18"/>
      <c r="DL39" s="18"/>
      <c r="DM39" s="18"/>
      <c r="DN39" s="18"/>
      <c r="DO39" s="18"/>
      <c r="DP39" s="18"/>
      <c r="DQ39" s="18"/>
      <c r="DR39" s="18"/>
      <c r="DS39" s="18"/>
      <c r="DT39" s="18"/>
      <c r="DU39" s="18"/>
      <c r="DV39" s="18"/>
      <c r="DW39" s="18"/>
      <c r="DX39" s="18"/>
      <c r="DY39" s="18"/>
      <c r="DZ39" s="18"/>
      <c r="EA39" s="18"/>
      <c r="EB39" s="18"/>
      <c r="EC39" s="18"/>
      <c r="ED39" s="18"/>
      <c r="EE39" s="18"/>
      <c r="EF39" s="18"/>
      <c r="EG39" s="18"/>
      <c r="EH39" s="18"/>
      <c r="EI39" s="18"/>
      <c r="EJ39" s="18"/>
      <c r="EK39" s="18"/>
      <c r="EL39" s="18"/>
      <c r="EM39" s="18"/>
      <c r="EN39" s="18"/>
      <c r="EO39" s="18"/>
      <c r="EP39" s="18"/>
      <c r="EQ39" s="18"/>
      <c r="ER39" s="18"/>
      <c r="ES39" s="18"/>
      <c r="ET39" s="18"/>
      <c r="EU39" s="18"/>
      <c r="EV39" s="18"/>
      <c r="EW39" s="18"/>
      <c r="EX39" s="18"/>
      <c r="EY39" s="18"/>
      <c r="EZ39" s="18"/>
      <c r="FA39" s="18"/>
      <c r="FB39" s="18"/>
      <c r="FC39" s="18"/>
      <c r="FD39" s="18"/>
      <c r="FE39" s="18"/>
      <c r="FF39" s="18"/>
      <c r="FG39" s="18"/>
      <c r="FH39" s="18"/>
      <c r="FI39" s="18"/>
      <c r="FJ39" s="18"/>
      <c r="FK39" s="18"/>
      <c r="FL39" s="18"/>
      <c r="FM39" s="18"/>
      <c r="FN39" s="18"/>
      <c r="FO39" s="18"/>
      <c r="FP39" s="18"/>
      <c r="FQ39" s="18"/>
      <c r="FR39" s="18"/>
      <c r="FS39" s="18"/>
      <c r="FT39" s="18"/>
      <c r="FU39" s="18"/>
      <c r="FV39" s="18"/>
      <c r="FW39" s="18"/>
      <c r="FX39" s="18"/>
      <c r="FY39" s="18"/>
      <c r="FZ39" s="18"/>
      <c r="GA39" s="18"/>
      <c r="GB39" s="18"/>
      <c r="GC39" s="18"/>
      <c r="GD39" s="18"/>
      <c r="GE39" s="18"/>
      <c r="GF39" s="18"/>
      <c r="GG39" s="18"/>
      <c r="GH39" s="18"/>
      <c r="GI39" s="18"/>
      <c r="GJ39" s="18"/>
      <c r="GK39" s="18"/>
      <c r="GL39" s="18"/>
      <c r="GM39" s="18"/>
      <c r="GN39" s="18"/>
      <c r="GO39" s="18"/>
      <c r="GP39" s="18"/>
      <c r="GQ39" s="18"/>
      <c r="GR39" s="18"/>
      <c r="GS39" s="18"/>
      <c r="GT39" s="18"/>
      <c r="GU39" s="18"/>
      <c r="GV39" s="18"/>
      <c r="GW39" s="18"/>
      <c r="GX39" s="18"/>
      <c r="GY39" s="18"/>
      <c r="GZ39" s="18"/>
      <c r="HA39" s="18"/>
      <c r="HB39" s="18"/>
      <c r="HC39" s="18"/>
      <c r="HD39" s="18"/>
      <c r="HE39" s="18"/>
      <c r="HF39" s="18"/>
      <c r="HG39" s="18"/>
      <c r="HH39" s="18"/>
      <c r="HI39" s="18"/>
      <c r="HJ39" s="18"/>
      <c r="HK39" s="18"/>
      <c r="HL39" s="18"/>
      <c r="HM39" s="18"/>
      <c r="HN39" s="18"/>
      <c r="HO39" s="18"/>
      <c r="HP39" s="18"/>
      <c r="HQ39" s="18"/>
      <c r="HR39" s="18"/>
      <c r="HS39" s="18"/>
      <c r="HT39" s="18"/>
      <c r="HU39" s="18"/>
      <c r="HV39" s="18"/>
      <c r="HW39" s="18"/>
      <c r="HX39" s="18"/>
      <c r="HY39" s="18"/>
      <c r="HZ39" s="18"/>
      <c r="IA39" s="18"/>
      <c r="IB39" s="18"/>
      <c r="IC39" s="18"/>
      <c r="ID39" s="18"/>
      <c r="IE39" s="18"/>
      <c r="IF39" s="18"/>
      <c r="IG39" s="18"/>
      <c r="IH39" s="18"/>
      <c r="II39" s="18"/>
      <c r="IJ39" s="18"/>
      <c r="IK39" s="18"/>
      <c r="IL39" s="18"/>
      <c r="IM39" s="18"/>
      <c r="IN39" s="18"/>
      <c r="IO39" s="18"/>
      <c r="IP39" s="18"/>
      <c r="IQ39" s="18"/>
      <c r="IR39" s="18"/>
      <c r="IS39" s="18"/>
      <c r="IT39" s="18"/>
      <c r="IU39" s="18"/>
      <c r="IV39" s="18"/>
      <c r="IW39" s="18"/>
      <c r="IX39" s="18"/>
      <c r="IY39" s="18"/>
      <c r="IZ39" s="18"/>
      <c r="JA39" s="18"/>
      <c r="JB39" s="18"/>
      <c r="JC39" s="18"/>
      <c r="JD39" s="18"/>
      <c r="JE39" s="18"/>
    </row>
    <row r="40" spans="1:265" ht="13.8" thickBot="1" x14ac:dyDescent="0.3">
      <c r="A40" s="966"/>
      <c r="B40" s="967"/>
      <c r="C40" s="760" t="s">
        <v>135</v>
      </c>
      <c r="D40" s="814"/>
      <c r="E40" s="817"/>
      <c r="F40" s="836">
        <f>F39</f>
        <v>1.1153351552830797E-4</v>
      </c>
      <c r="G40" s="836">
        <f t="shared" ref="G40:K40" si="12">G39+F40</f>
        <v>9.5046155622380574E-3</v>
      </c>
      <c r="H40" s="836">
        <f t="shared" ref="H40" si="13">H39+G40</f>
        <v>2.0997502539282582E-2</v>
      </c>
      <c r="I40" s="836">
        <f>I39+H40</f>
        <v>6.5925094115658708E-2</v>
      </c>
      <c r="J40" s="836">
        <f>J39+I40</f>
        <v>0.16891137247352134</v>
      </c>
      <c r="K40" s="837">
        <f t="shared" si="12"/>
        <v>0.27908886178907022</v>
      </c>
      <c r="L40" s="836">
        <f>L39+K40</f>
        <v>0.28796605877452319</v>
      </c>
      <c r="M40" s="836">
        <f>M39+L40</f>
        <v>0.38126964816708897</v>
      </c>
      <c r="N40" s="836">
        <f t="shared" ref="N40:R40" si="14">N39+M40</f>
        <v>0.38938359056082067</v>
      </c>
      <c r="O40" s="836">
        <f t="shared" si="14"/>
        <v>0.45041902918073323</v>
      </c>
      <c r="P40" s="836">
        <f t="shared" si="14"/>
        <v>0.54971178348482908</v>
      </c>
      <c r="Q40" s="836">
        <f t="shared" si="14"/>
        <v>0.64322055489819807</v>
      </c>
      <c r="R40" s="836">
        <f t="shared" si="14"/>
        <v>0.75841960530576014</v>
      </c>
      <c r="S40" s="836">
        <f>S39+R40</f>
        <v>0.84177769778978817</v>
      </c>
      <c r="T40" s="836">
        <f>T39+S40</f>
        <v>0.9210536894113297</v>
      </c>
      <c r="U40" s="836">
        <f>U39+T40</f>
        <v>0.99999999816621976</v>
      </c>
      <c r="V40" s="836"/>
      <c r="W40" s="836"/>
      <c r="X40" s="836"/>
      <c r="Y40" s="836"/>
      <c r="Z40" s="837"/>
      <c r="AA40" s="83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8"/>
      <c r="BK40" s="18"/>
      <c r="BL40" s="18"/>
      <c r="BM40" s="18"/>
      <c r="BN40" s="18"/>
      <c r="BO40" s="18"/>
      <c r="BP40" s="18"/>
      <c r="BQ40" s="18"/>
      <c r="BR40" s="18"/>
      <c r="BS40" s="18"/>
      <c r="BT40" s="18"/>
      <c r="BU40" s="18"/>
      <c r="BV40" s="18"/>
      <c r="BW40" s="18"/>
      <c r="BX40" s="18"/>
      <c r="BY40" s="18"/>
      <c r="BZ40" s="18"/>
      <c r="CA40" s="18"/>
      <c r="CB40" s="18"/>
      <c r="CC40" s="18"/>
      <c r="CD40" s="18"/>
      <c r="CE40" s="18"/>
      <c r="CF40" s="18"/>
      <c r="CG40" s="18"/>
      <c r="CH40" s="18"/>
      <c r="CI40" s="18"/>
      <c r="CJ40" s="18"/>
      <c r="CK40" s="18"/>
      <c r="CL40" s="18"/>
      <c r="CM40" s="18"/>
      <c r="CN40" s="18"/>
      <c r="CO40" s="18"/>
      <c r="CP40" s="18"/>
      <c r="CQ40" s="18"/>
      <c r="CR40" s="18"/>
      <c r="CS40" s="18"/>
      <c r="CT40" s="18"/>
      <c r="CU40" s="18"/>
      <c r="CV40" s="18"/>
      <c r="CW40" s="18"/>
      <c r="CX40" s="18"/>
      <c r="CY40" s="18"/>
      <c r="CZ40" s="18"/>
      <c r="DA40" s="18"/>
      <c r="DB40" s="18"/>
      <c r="DC40" s="18"/>
      <c r="DD40" s="18"/>
      <c r="DE40" s="18"/>
      <c r="DF40" s="18"/>
      <c r="DG40" s="18"/>
      <c r="DH40" s="18"/>
      <c r="DI40" s="18"/>
      <c r="DJ40" s="18"/>
      <c r="DK40" s="18"/>
      <c r="DL40" s="18"/>
      <c r="DM40" s="18"/>
      <c r="DN40" s="18"/>
      <c r="DO40" s="18"/>
      <c r="DP40" s="18"/>
      <c r="DQ40" s="18"/>
      <c r="DR40" s="18"/>
      <c r="DS40" s="18"/>
      <c r="DT40" s="18"/>
      <c r="DU40" s="18"/>
      <c r="DV40" s="18"/>
      <c r="DW40" s="18"/>
      <c r="DX40" s="18"/>
      <c r="DY40" s="18"/>
      <c r="DZ40" s="18"/>
      <c r="EA40" s="18"/>
      <c r="EB40" s="18"/>
      <c r="EC40" s="18"/>
      <c r="ED40" s="18"/>
      <c r="EE40" s="18"/>
      <c r="EF40" s="18"/>
      <c r="EG40" s="18"/>
      <c r="EH40" s="18"/>
      <c r="EI40" s="18"/>
      <c r="EJ40" s="18"/>
      <c r="EK40" s="18"/>
      <c r="EL40" s="18"/>
      <c r="EM40" s="18"/>
      <c r="EN40" s="18"/>
      <c r="EO40" s="18"/>
      <c r="EP40" s="18"/>
      <c r="EQ40" s="18"/>
      <c r="ER40" s="18"/>
      <c r="ES40" s="18"/>
      <c r="ET40" s="18"/>
      <c r="EU40" s="18"/>
      <c r="EV40" s="18"/>
      <c r="EW40" s="18"/>
      <c r="EX40" s="18"/>
      <c r="EY40" s="18"/>
      <c r="EZ40" s="18"/>
      <c r="FA40" s="18"/>
      <c r="FB40" s="18"/>
      <c r="FC40" s="18"/>
      <c r="FD40" s="18"/>
      <c r="FE40" s="18"/>
      <c r="FF40" s="18"/>
      <c r="FG40" s="18"/>
      <c r="FH40" s="18"/>
      <c r="FI40" s="18"/>
      <c r="FJ40" s="18"/>
      <c r="FK40" s="18"/>
      <c r="FL40" s="18"/>
      <c r="FM40" s="18"/>
      <c r="FN40" s="18"/>
      <c r="FO40" s="18"/>
      <c r="FP40" s="18"/>
      <c r="FQ40" s="18"/>
      <c r="FR40" s="18"/>
      <c r="FS40" s="18"/>
      <c r="FT40" s="18"/>
      <c r="FU40" s="18"/>
      <c r="FV40" s="18"/>
      <c r="FW40" s="18"/>
      <c r="FX40" s="18"/>
      <c r="FY40" s="18"/>
      <c r="FZ40" s="18"/>
      <c r="GA40" s="18"/>
      <c r="GB40" s="18"/>
      <c r="GC40" s="18"/>
      <c r="GD40" s="18"/>
      <c r="GE40" s="18"/>
      <c r="GF40" s="18"/>
      <c r="GG40" s="18"/>
      <c r="GH40" s="18"/>
      <c r="GI40" s="18"/>
      <c r="GJ40" s="18"/>
      <c r="GK40" s="18"/>
      <c r="GL40" s="18"/>
      <c r="GM40" s="18"/>
      <c r="GN40" s="18"/>
      <c r="GO40" s="18"/>
      <c r="GP40" s="18"/>
      <c r="GQ40" s="18"/>
      <c r="GR40" s="18"/>
      <c r="GS40" s="18"/>
      <c r="GT40" s="18"/>
      <c r="GU40" s="18"/>
      <c r="GV40" s="18"/>
      <c r="GW40" s="18"/>
      <c r="GX40" s="18"/>
      <c r="GY40" s="18"/>
      <c r="GZ40" s="18"/>
      <c r="HA40" s="18"/>
      <c r="HB40" s="18"/>
      <c r="HC40" s="18"/>
      <c r="HD40" s="18"/>
      <c r="HE40" s="18"/>
      <c r="HF40" s="18"/>
      <c r="HG40" s="18"/>
      <c r="HH40" s="18"/>
      <c r="HI40" s="18"/>
      <c r="HJ40" s="18"/>
      <c r="HK40" s="18"/>
      <c r="HL40" s="18"/>
      <c r="HM40" s="18"/>
      <c r="HN40" s="18"/>
      <c r="HO40" s="18"/>
      <c r="HP40" s="18"/>
      <c r="HQ40" s="18"/>
      <c r="HR40" s="18"/>
      <c r="HS40" s="18"/>
      <c r="HT40" s="18"/>
      <c r="HU40" s="18"/>
      <c r="HV40" s="18"/>
      <c r="HW40" s="18"/>
      <c r="HX40" s="18"/>
      <c r="HY40" s="18"/>
      <c r="HZ40" s="18"/>
      <c r="IA40" s="18"/>
      <c r="IB40" s="18"/>
      <c r="IC40" s="18"/>
      <c r="ID40" s="18"/>
      <c r="IE40" s="18"/>
      <c r="IF40" s="18"/>
      <c r="IG40" s="18"/>
      <c r="IH40" s="18"/>
      <c r="II40" s="18"/>
      <c r="IJ40" s="18"/>
      <c r="IK40" s="18"/>
      <c r="IL40" s="18"/>
      <c r="IM40" s="18"/>
      <c r="IN40" s="18"/>
      <c r="IO40" s="18"/>
      <c r="IP40" s="18"/>
      <c r="IQ40" s="18"/>
      <c r="IR40" s="18"/>
      <c r="IS40" s="18"/>
      <c r="IT40" s="18"/>
      <c r="IU40" s="18"/>
      <c r="IV40" s="18"/>
      <c r="IW40" s="18"/>
      <c r="IX40" s="18"/>
      <c r="IY40" s="18"/>
      <c r="IZ40" s="18"/>
      <c r="JA40" s="18"/>
      <c r="JB40" s="18"/>
      <c r="JC40" s="18"/>
      <c r="JD40" s="18"/>
      <c r="JE40" s="18"/>
    </row>
    <row r="41" spans="1:265" x14ac:dyDescent="0.25">
      <c r="F41" s="25"/>
    </row>
    <row r="42" spans="1:265" x14ac:dyDescent="0.25">
      <c r="F42" s="735"/>
      <c r="G42" s="736"/>
      <c r="H42" s="736"/>
      <c r="I42" s="736"/>
      <c r="J42" s="737"/>
      <c r="K42" s="738"/>
      <c r="L42" s="737"/>
      <c r="M42" s="737"/>
      <c r="N42" s="736"/>
      <c r="O42" s="736"/>
      <c r="P42" s="736"/>
      <c r="Q42" s="736"/>
      <c r="R42" s="736"/>
      <c r="S42" s="736"/>
      <c r="T42" s="736"/>
      <c r="U42" s="736"/>
      <c r="V42" s="737"/>
      <c r="W42" s="736"/>
      <c r="X42" s="736"/>
      <c r="Y42" s="736"/>
      <c r="Z42" s="736"/>
      <c r="AA42" s="736"/>
    </row>
    <row r="43" spans="1:265" x14ac:dyDescent="0.25">
      <c r="E43" s="2" t="str">
        <f>C33</f>
        <v>PUENTE VEHICULAR CCANCHI</v>
      </c>
      <c r="F43" s="735">
        <f t="shared" ref="F43:AA43" si="15">+F33*100/$E$33</f>
        <v>1.1153351552830796E-2</v>
      </c>
      <c r="G43" s="735">
        <f t="shared" si="15"/>
        <v>0.93930820467097487</v>
      </c>
      <c r="H43" s="735">
        <f t="shared" si="15"/>
        <v>1.1492886977044523</v>
      </c>
      <c r="I43" s="735">
        <f t="shared" si="15"/>
        <v>4.4927591576376118</v>
      </c>
      <c r="J43" s="735">
        <f t="shared" si="15"/>
        <v>10.298627835786263</v>
      </c>
      <c r="K43" s="735">
        <f t="shared" si="15"/>
        <v>11.017748931554886</v>
      </c>
      <c r="L43" s="735">
        <f t="shared" si="15"/>
        <v>0.88771964261148051</v>
      </c>
      <c r="M43" s="735">
        <f t="shared" si="15"/>
        <v>9.3303589392565751</v>
      </c>
      <c r="N43" s="735">
        <f t="shared" si="15"/>
        <v>0.81139423937316946</v>
      </c>
      <c r="O43" s="735">
        <f t="shared" si="15"/>
        <v>6.1035438619912581</v>
      </c>
      <c r="P43" s="735">
        <f t="shared" si="15"/>
        <v>9.9292754304095894</v>
      </c>
      <c r="Q43" s="735">
        <f t="shared" si="15"/>
        <v>9.3508771413368983</v>
      </c>
      <c r="R43" s="735">
        <f t="shared" si="15"/>
        <v>11.519905096690017</v>
      </c>
      <c r="S43" s="735">
        <f t="shared" si="15"/>
        <v>8.3358093043366264</v>
      </c>
      <c r="T43" s="735"/>
      <c r="U43" s="735">
        <f t="shared" si="15"/>
        <v>7.8946309314228245</v>
      </c>
      <c r="V43" s="735">
        <f t="shared" si="15"/>
        <v>0</v>
      </c>
      <c r="W43" s="735">
        <f t="shared" si="15"/>
        <v>0</v>
      </c>
      <c r="X43" s="735">
        <f t="shared" si="15"/>
        <v>0</v>
      </c>
      <c r="Y43" s="735">
        <f t="shared" si="15"/>
        <v>0</v>
      </c>
      <c r="Z43" s="735">
        <f t="shared" si="15"/>
        <v>0</v>
      </c>
      <c r="AA43" s="735">
        <f t="shared" si="15"/>
        <v>0</v>
      </c>
    </row>
    <row r="44" spans="1:265" x14ac:dyDescent="0.25">
      <c r="D44" s="85" t="e">
        <f>#REF!/5</f>
        <v>#REF!</v>
      </c>
      <c r="E44" s="2" t="e">
        <f>#REF!</f>
        <v>#REF!</v>
      </c>
      <c r="F44" s="735" t="e">
        <f>+#REF!*100/#REF!</f>
        <v>#REF!</v>
      </c>
      <c r="G44" s="735" t="e">
        <f>+#REF!*100/#REF!</f>
        <v>#REF!</v>
      </c>
      <c r="H44" s="735" t="e">
        <f>+#REF!*100/#REF!</f>
        <v>#REF!</v>
      </c>
      <c r="I44" s="735" t="e">
        <f>+#REF!*100/#REF!</f>
        <v>#REF!</v>
      </c>
      <c r="J44" s="735" t="e">
        <f>+#REF!*100/#REF!</f>
        <v>#REF!</v>
      </c>
      <c r="K44" s="735" t="e">
        <f>+#REF!*100/#REF!</f>
        <v>#REF!</v>
      </c>
      <c r="L44" s="735" t="e">
        <f>+#REF!*100/#REF!</f>
        <v>#REF!</v>
      </c>
      <c r="M44" s="735" t="e">
        <f>+#REF!*100/#REF!</f>
        <v>#REF!</v>
      </c>
      <c r="N44" s="735" t="e">
        <f>+#REF!*100/#REF!</f>
        <v>#REF!</v>
      </c>
      <c r="O44" s="735" t="e">
        <f>+#REF!*100/#REF!</f>
        <v>#REF!</v>
      </c>
      <c r="P44" s="735" t="e">
        <f>+#REF!*100/#REF!</f>
        <v>#REF!</v>
      </c>
      <c r="Q44" s="735" t="e">
        <f>+#REF!*100/#REF!</f>
        <v>#REF!</v>
      </c>
      <c r="R44" s="735" t="e">
        <f>+#REF!*100/#REF!</f>
        <v>#REF!</v>
      </c>
      <c r="S44" s="735" t="e">
        <f>+#REF!*100/#REF!</f>
        <v>#REF!</v>
      </c>
      <c r="T44" s="735"/>
      <c r="U44" s="735" t="e">
        <f>+#REF!*100/#REF!</f>
        <v>#REF!</v>
      </c>
      <c r="V44" s="735" t="e">
        <f>+#REF!*100/#REF!</f>
        <v>#REF!</v>
      </c>
      <c r="W44" s="735" t="e">
        <f>+#REF!*100/#REF!</f>
        <v>#REF!</v>
      </c>
      <c r="X44" s="735" t="e">
        <f>+#REF!*100/#REF!</f>
        <v>#REF!</v>
      </c>
      <c r="Y44" s="735" t="e">
        <f>+#REF!*100/#REF!</f>
        <v>#REF!</v>
      </c>
      <c r="Z44" s="735" t="e">
        <f>+#REF!*100/#REF!</f>
        <v>#REF!</v>
      </c>
      <c r="AA44" s="735" t="e">
        <f>+#REF!*100/#REF!</f>
        <v>#REF!</v>
      </c>
    </row>
    <row r="45" spans="1:265" x14ac:dyDescent="0.25">
      <c r="E45" s="2" t="e">
        <f>#REF!</f>
        <v>#REF!</v>
      </c>
      <c r="F45" s="735" t="e">
        <f>+#REF!*100/#REF!</f>
        <v>#REF!</v>
      </c>
      <c r="G45" s="735" t="e">
        <f>+#REF!*100/#REF!</f>
        <v>#REF!</v>
      </c>
      <c r="H45" s="735" t="e">
        <f>+#REF!*100/#REF!</f>
        <v>#REF!</v>
      </c>
      <c r="I45" s="735" t="e">
        <f>+#REF!*100/#REF!</f>
        <v>#REF!</v>
      </c>
      <c r="J45" s="735" t="e">
        <f>+#REF!*100/#REF!</f>
        <v>#REF!</v>
      </c>
      <c r="K45" s="735" t="e">
        <f>+#REF!*100/#REF!</f>
        <v>#REF!</v>
      </c>
      <c r="L45" s="735" t="e">
        <f>+#REF!*100/#REF!</f>
        <v>#REF!</v>
      </c>
      <c r="M45" s="735" t="e">
        <f>+#REF!*100/#REF!</f>
        <v>#REF!</v>
      </c>
      <c r="N45" s="735" t="e">
        <f>+#REF!*100/#REF!</f>
        <v>#REF!</v>
      </c>
      <c r="O45" s="735" t="e">
        <f>+#REF!*100/#REF!</f>
        <v>#REF!</v>
      </c>
      <c r="P45" s="735" t="e">
        <f>+#REF!*100/#REF!</f>
        <v>#REF!</v>
      </c>
      <c r="Q45" s="735" t="e">
        <f>+#REF!*100/#REF!</f>
        <v>#REF!</v>
      </c>
      <c r="R45" s="735" t="e">
        <f>+#REF!*100/#REF!</f>
        <v>#REF!</v>
      </c>
      <c r="S45" s="735" t="e">
        <f>+#REF!*100/#REF!</f>
        <v>#REF!</v>
      </c>
      <c r="T45" s="735"/>
      <c r="U45" s="735" t="e">
        <f>+#REF!*100/#REF!</f>
        <v>#REF!</v>
      </c>
      <c r="V45" s="735" t="e">
        <f>+#REF!*100/#REF!</f>
        <v>#REF!</v>
      </c>
      <c r="W45" s="735" t="e">
        <f>+#REF!*100/#REF!</f>
        <v>#REF!</v>
      </c>
      <c r="X45" s="735" t="e">
        <f>+#REF!*100/#REF!</f>
        <v>#REF!</v>
      </c>
      <c r="Y45" s="735" t="e">
        <f>+#REF!*100/#REF!</f>
        <v>#REF!</v>
      </c>
      <c r="Z45" s="735" t="e">
        <f>+#REF!*100/#REF!</f>
        <v>#REF!</v>
      </c>
      <c r="AA45" s="735" t="e">
        <f>+#REF!*100/#REF!</f>
        <v>#REF!</v>
      </c>
    </row>
    <row r="46" spans="1:265" x14ac:dyDescent="0.25">
      <c r="E46" s="2" t="e">
        <f>#REF!</f>
        <v>#REF!</v>
      </c>
      <c r="F46" s="735" t="e">
        <f>+#REF!*100/#REF!</f>
        <v>#REF!</v>
      </c>
      <c r="G46" s="735" t="e">
        <f>+#REF!*100/#REF!</f>
        <v>#REF!</v>
      </c>
      <c r="H46" s="735" t="e">
        <f>+#REF!*100/#REF!</f>
        <v>#REF!</v>
      </c>
      <c r="I46" s="735" t="e">
        <f>+#REF!*100/#REF!</f>
        <v>#REF!</v>
      </c>
      <c r="J46" s="735" t="e">
        <f>+#REF!*100/#REF!</f>
        <v>#REF!</v>
      </c>
      <c r="K46" s="735" t="e">
        <f>+#REF!*100/#REF!</f>
        <v>#REF!</v>
      </c>
      <c r="L46" s="735" t="e">
        <f>+#REF!*100/#REF!</f>
        <v>#REF!</v>
      </c>
      <c r="M46" s="735" t="e">
        <f>+#REF!*100/#REF!</f>
        <v>#REF!</v>
      </c>
      <c r="N46" s="735" t="e">
        <f>+#REF!*100/#REF!</f>
        <v>#REF!</v>
      </c>
      <c r="O46" s="735" t="e">
        <f>+#REF!*100/#REF!</f>
        <v>#REF!</v>
      </c>
      <c r="P46" s="735" t="e">
        <f>+#REF!*100/#REF!</f>
        <v>#REF!</v>
      </c>
      <c r="Q46" s="735" t="e">
        <f>+#REF!*100/#REF!</f>
        <v>#REF!</v>
      </c>
      <c r="R46" s="735" t="e">
        <f>+#REF!*100/#REF!</f>
        <v>#REF!</v>
      </c>
      <c r="S46" s="735" t="e">
        <f>+#REF!*100/#REF!</f>
        <v>#REF!</v>
      </c>
      <c r="T46" s="735"/>
      <c r="U46" s="735" t="e">
        <f>+#REF!*100/#REF!</f>
        <v>#REF!</v>
      </c>
      <c r="V46" s="735" t="e">
        <f>+#REF!*100/#REF!</f>
        <v>#REF!</v>
      </c>
      <c r="W46" s="735" t="e">
        <f>+#REF!*100/#REF!</f>
        <v>#REF!</v>
      </c>
      <c r="X46" s="735" t="e">
        <f>+#REF!*100/#REF!</f>
        <v>#REF!</v>
      </c>
      <c r="Y46" s="735" t="e">
        <f>+#REF!*100/#REF!</f>
        <v>#REF!</v>
      </c>
      <c r="Z46" s="735" t="e">
        <f>+#REF!*100/#REF!</f>
        <v>#REF!</v>
      </c>
      <c r="AA46" s="735" t="e">
        <f>+#REF!*100/#REF!</f>
        <v>#REF!</v>
      </c>
    </row>
    <row r="47" spans="1:265" x14ac:dyDescent="0.25">
      <c r="E47" s="2" t="e">
        <f>#REF!</f>
        <v>#REF!</v>
      </c>
      <c r="F47" s="735" t="e">
        <f>+#REF!*100/#REF!</f>
        <v>#REF!</v>
      </c>
      <c r="G47" s="735" t="e">
        <f>+#REF!*100/#REF!</f>
        <v>#REF!</v>
      </c>
      <c r="H47" s="735" t="e">
        <f>+#REF!*100/#REF!</f>
        <v>#REF!</v>
      </c>
      <c r="I47" s="735" t="e">
        <f>+#REF!*100/#REF!</f>
        <v>#REF!</v>
      </c>
      <c r="J47" s="735" t="e">
        <f>+#REF!*100/#REF!</f>
        <v>#REF!</v>
      </c>
      <c r="K47" s="735" t="e">
        <f>+#REF!*100/#REF!</f>
        <v>#REF!</v>
      </c>
      <c r="L47" s="735" t="e">
        <f>+#REF!*100/#REF!</f>
        <v>#REF!</v>
      </c>
      <c r="M47" s="735" t="e">
        <f>+#REF!*100/#REF!</f>
        <v>#REF!</v>
      </c>
      <c r="N47" s="735" t="e">
        <f>+#REF!*100/#REF!</f>
        <v>#REF!</v>
      </c>
      <c r="O47" s="735" t="e">
        <f>+#REF!*100/#REF!</f>
        <v>#REF!</v>
      </c>
      <c r="P47" s="735" t="e">
        <f>+#REF!*100/#REF!</f>
        <v>#REF!</v>
      </c>
      <c r="Q47" s="735" t="e">
        <f>+#REF!*100/#REF!</f>
        <v>#REF!</v>
      </c>
      <c r="R47" s="735" t="e">
        <f>+#REF!*100/#REF!</f>
        <v>#REF!</v>
      </c>
      <c r="S47" s="735" t="e">
        <f>+#REF!*100/#REF!</f>
        <v>#REF!</v>
      </c>
      <c r="T47" s="735"/>
      <c r="U47" s="735" t="e">
        <f>+#REF!*100/#REF!</f>
        <v>#REF!</v>
      </c>
      <c r="V47" s="735" t="e">
        <f>+#REF!*100/#REF!</f>
        <v>#REF!</v>
      </c>
      <c r="W47" s="735" t="e">
        <f>+#REF!*100/#REF!</f>
        <v>#REF!</v>
      </c>
      <c r="X47" s="735" t="e">
        <f>+#REF!*100/#REF!</f>
        <v>#REF!</v>
      </c>
      <c r="Y47" s="735" t="e">
        <f>+#REF!*100/#REF!</f>
        <v>#REF!</v>
      </c>
      <c r="Z47" s="735" t="e">
        <f>+#REF!*100/#REF!</f>
        <v>#REF!</v>
      </c>
      <c r="AA47" s="735" t="e">
        <f>+#REF!*100/#REF!</f>
        <v>#REF!</v>
      </c>
    </row>
    <row r="48" spans="1:265" x14ac:dyDescent="0.25">
      <c r="E48" s="2" t="e">
        <f>#REF!</f>
        <v>#REF!</v>
      </c>
      <c r="F48" s="735" t="e">
        <f>+#REF!*100/#REF!</f>
        <v>#REF!</v>
      </c>
      <c r="G48" s="735" t="e">
        <f>+#REF!*100/#REF!</f>
        <v>#REF!</v>
      </c>
      <c r="H48" s="735" t="e">
        <f>+#REF!*100/#REF!</f>
        <v>#REF!</v>
      </c>
      <c r="I48" s="735" t="e">
        <f>+#REF!*100/#REF!</f>
        <v>#REF!</v>
      </c>
      <c r="J48" s="735" t="e">
        <f>+#REF!*100/#REF!</f>
        <v>#REF!</v>
      </c>
      <c r="K48" s="735" t="e">
        <f>+#REF!*100/#REF!</f>
        <v>#REF!</v>
      </c>
      <c r="L48" s="735" t="e">
        <f>+#REF!*100/#REF!</f>
        <v>#REF!</v>
      </c>
      <c r="M48" s="735" t="e">
        <f>+#REF!*100/#REF!</f>
        <v>#REF!</v>
      </c>
      <c r="N48" s="735" t="e">
        <f>+#REF!*100/#REF!</f>
        <v>#REF!</v>
      </c>
      <c r="O48" s="735" t="e">
        <f>+#REF!*100/#REF!</f>
        <v>#REF!</v>
      </c>
      <c r="P48" s="735" t="e">
        <f>+#REF!*100/#REF!</f>
        <v>#REF!</v>
      </c>
      <c r="Q48" s="735" t="e">
        <f>+#REF!*100/#REF!</f>
        <v>#REF!</v>
      </c>
      <c r="R48" s="735" t="e">
        <f>+#REF!*100/#REF!</f>
        <v>#REF!</v>
      </c>
      <c r="S48" s="735" t="e">
        <f>+#REF!*100/#REF!</f>
        <v>#REF!</v>
      </c>
      <c r="T48" s="735"/>
      <c r="U48" s="735" t="e">
        <f>+#REF!*100/#REF!</f>
        <v>#REF!</v>
      </c>
      <c r="V48" s="735" t="e">
        <f>+#REF!*100/#REF!</f>
        <v>#REF!</v>
      </c>
      <c r="W48" s="735" t="e">
        <f>+#REF!*100/#REF!</f>
        <v>#REF!</v>
      </c>
      <c r="X48" s="735" t="e">
        <f>+#REF!*100/#REF!</f>
        <v>#REF!</v>
      </c>
      <c r="Y48" s="735" t="e">
        <f>+#REF!*100/#REF!</f>
        <v>#REF!</v>
      </c>
      <c r="Z48" s="735" t="e">
        <f>+#REF!*100/#REF!</f>
        <v>#REF!</v>
      </c>
      <c r="AA48" s="735" t="e">
        <f>+#REF!*100/#REF!</f>
        <v>#REF!</v>
      </c>
    </row>
    <row r="49" spans="2:28" x14ac:dyDescent="0.25">
      <c r="F49" s="735"/>
      <c r="G49" s="735"/>
      <c r="H49" s="735"/>
      <c r="I49" s="735"/>
      <c r="J49" s="735"/>
      <c r="K49" s="735"/>
      <c r="L49" s="735"/>
      <c r="M49" s="735"/>
      <c r="N49" s="735"/>
      <c r="O49" s="735"/>
      <c r="P49" s="735"/>
      <c r="Q49" s="735"/>
      <c r="R49" s="735"/>
      <c r="S49" s="735"/>
      <c r="T49" s="735"/>
      <c r="U49" s="735"/>
      <c r="V49" s="735"/>
      <c r="W49" s="735"/>
      <c r="X49" s="735"/>
      <c r="Y49" s="735"/>
      <c r="Z49" s="735"/>
      <c r="AA49" s="735"/>
    </row>
    <row r="50" spans="2:28" x14ac:dyDescent="0.25">
      <c r="F50" s="735" t="e">
        <f>+F35*100/#REF!</f>
        <v>#REF!</v>
      </c>
      <c r="G50" s="735" t="e">
        <f>+#REF!*100/#REF!</f>
        <v>#REF!</v>
      </c>
      <c r="H50" s="735" t="e">
        <f>+#REF!*100/#REF!</f>
        <v>#REF!</v>
      </c>
      <c r="I50" s="735" t="e">
        <f>+#REF!*100/#REF!</f>
        <v>#REF!</v>
      </c>
      <c r="J50" s="735" t="e">
        <f>+#REF!*100/#REF!</f>
        <v>#REF!</v>
      </c>
      <c r="K50" s="735" t="e">
        <f>+#REF!*100/#REF!</f>
        <v>#REF!</v>
      </c>
      <c r="L50" s="735" t="e">
        <f>+#REF!*100/#REF!</f>
        <v>#REF!</v>
      </c>
      <c r="M50" s="735" t="e">
        <f>+#REF!*100/#REF!</f>
        <v>#REF!</v>
      </c>
      <c r="N50" s="735" t="e">
        <f>+#REF!*100/#REF!</f>
        <v>#REF!</v>
      </c>
      <c r="O50" s="735" t="e">
        <f>+#REF!*100/#REF!</f>
        <v>#REF!</v>
      </c>
      <c r="P50" s="735" t="e">
        <f>+#REF!*100/#REF!</f>
        <v>#REF!</v>
      </c>
      <c r="Q50" s="735" t="e">
        <f>+#REF!*100/#REF!</f>
        <v>#REF!</v>
      </c>
      <c r="R50" s="735" t="e">
        <f>+#REF!*100/#REF!</f>
        <v>#REF!</v>
      </c>
      <c r="S50" s="735" t="e">
        <f>+#REF!*100/#REF!</f>
        <v>#REF!</v>
      </c>
      <c r="T50" s="735"/>
      <c r="U50" s="735" t="e">
        <f>+#REF!*100/#REF!</f>
        <v>#REF!</v>
      </c>
      <c r="V50" s="735" t="e">
        <f>+#REF!*100/#REF!</f>
        <v>#REF!</v>
      </c>
      <c r="W50" s="735" t="e">
        <f>+#REF!*100/#REF!</f>
        <v>#REF!</v>
      </c>
      <c r="X50" s="735" t="e">
        <f>+#REF!*100/#REF!</f>
        <v>#REF!</v>
      </c>
      <c r="Y50" s="735" t="e">
        <f>+#REF!*100/#REF!</f>
        <v>#REF!</v>
      </c>
      <c r="Z50" s="735" t="e">
        <f>+#REF!*100/#REF!</f>
        <v>#REF!</v>
      </c>
      <c r="AA50" s="735" t="e">
        <f>+#REF!*100/#REF!</f>
        <v>#REF!</v>
      </c>
    </row>
    <row r="51" spans="2:28" x14ac:dyDescent="0.25">
      <c r="F51" s="146"/>
      <c r="J51" s="147"/>
      <c r="K51" s="153"/>
      <c r="L51" s="147"/>
      <c r="M51" s="147"/>
      <c r="N51" s="145"/>
    </row>
    <row r="52" spans="2:28" ht="13.8" x14ac:dyDescent="0.3">
      <c r="B52" s="2040" t="s">
        <v>480</v>
      </c>
      <c r="C52" s="221" t="str">
        <f>+C33</f>
        <v>PUENTE VEHICULAR CCANCHI</v>
      </c>
      <c r="D52" s="739"/>
      <c r="E52" s="741">
        <f>+'PUENTE CCANCHI'!F102</f>
        <v>125.4</v>
      </c>
      <c r="F52" s="219">
        <f>F43/100*$E$52</f>
        <v>1.3986302847249818E-2</v>
      </c>
      <c r="G52" s="219">
        <f t="shared" ref="G52:Y52" si="16">G43/100*$E$52</f>
        <v>1.1778924886574027</v>
      </c>
      <c r="H52" s="219">
        <f t="shared" si="16"/>
        <v>1.4412080269213832</v>
      </c>
      <c r="I52" s="219">
        <f t="shared" si="16"/>
        <v>5.6339199836775649</v>
      </c>
      <c r="J52" s="219">
        <f t="shared" si="16"/>
        <v>12.914479306075973</v>
      </c>
      <c r="K52" s="219">
        <f>K43/100*$E$52</f>
        <v>13.816257160169826</v>
      </c>
      <c r="L52" s="219">
        <f t="shared" si="16"/>
        <v>1.1132004318347966</v>
      </c>
      <c r="M52" s="219">
        <f t="shared" si="16"/>
        <v>11.700270109827745</v>
      </c>
      <c r="N52" s="219">
        <f t="shared" si="16"/>
        <v>1.0174883761739544</v>
      </c>
      <c r="O52" s="219">
        <f t="shared" si="16"/>
        <v>7.6538440029370385</v>
      </c>
      <c r="P52" s="219">
        <f t="shared" si="16"/>
        <v>12.451311389733625</v>
      </c>
      <c r="Q52" s="219">
        <f t="shared" si="16"/>
        <v>11.725999935236471</v>
      </c>
      <c r="R52" s="219">
        <f t="shared" si="16"/>
        <v>14.445960991249281</v>
      </c>
      <c r="S52" s="219">
        <f t="shared" si="16"/>
        <v>10.45310486763813</v>
      </c>
      <c r="T52" s="219"/>
      <c r="U52" s="219">
        <f t="shared" si="16"/>
        <v>9.8998671880042224</v>
      </c>
      <c r="V52" s="219">
        <f t="shared" si="16"/>
        <v>0</v>
      </c>
      <c r="W52" s="219">
        <f t="shared" si="16"/>
        <v>0</v>
      </c>
      <c r="X52" s="219">
        <f t="shared" si="16"/>
        <v>0</v>
      </c>
      <c r="Y52" s="219">
        <f t="shared" si="16"/>
        <v>0</v>
      </c>
      <c r="Z52" s="219">
        <f>Z43/100*$E$52</f>
        <v>0</v>
      </c>
      <c r="AA52" s="219">
        <f t="shared" ref="AA52" si="17">AA43/100*$E$52</f>
        <v>0</v>
      </c>
      <c r="AB52" s="85"/>
    </row>
    <row r="53" spans="2:28" ht="13.8" x14ac:dyDescent="0.3">
      <c r="B53" s="2040"/>
      <c r="C53" s="221" t="e">
        <f>+#REF!</f>
        <v>#REF!</v>
      </c>
      <c r="D53" s="739"/>
      <c r="E53" s="741" t="e">
        <f>#REF!</f>
        <v>#REF!</v>
      </c>
      <c r="F53" s="219" t="e">
        <f>F44/100*$E$53</f>
        <v>#REF!</v>
      </c>
      <c r="G53" s="219" t="e">
        <f t="shared" ref="G53:Y53" si="18">G44/100*$E$53</f>
        <v>#REF!</v>
      </c>
      <c r="H53" s="219" t="e">
        <f t="shared" si="18"/>
        <v>#REF!</v>
      </c>
      <c r="I53" s="219" t="e">
        <f t="shared" si="18"/>
        <v>#REF!</v>
      </c>
      <c r="J53" s="219" t="e">
        <f t="shared" si="18"/>
        <v>#REF!</v>
      </c>
      <c r="K53" s="219" t="e">
        <f t="shared" si="18"/>
        <v>#REF!</v>
      </c>
      <c r="L53" s="219" t="e">
        <f t="shared" si="18"/>
        <v>#REF!</v>
      </c>
      <c r="M53" s="219" t="e">
        <f t="shared" si="18"/>
        <v>#REF!</v>
      </c>
      <c r="N53" s="219" t="e">
        <f t="shared" si="18"/>
        <v>#REF!</v>
      </c>
      <c r="O53" s="219" t="e">
        <f t="shared" si="18"/>
        <v>#REF!</v>
      </c>
      <c r="P53" s="219" t="e">
        <f t="shared" si="18"/>
        <v>#REF!</v>
      </c>
      <c r="Q53" s="219" t="e">
        <f t="shared" si="18"/>
        <v>#REF!</v>
      </c>
      <c r="R53" s="219" t="e">
        <f t="shared" si="18"/>
        <v>#REF!</v>
      </c>
      <c r="S53" s="219" t="e">
        <f t="shared" si="18"/>
        <v>#REF!</v>
      </c>
      <c r="T53" s="219"/>
      <c r="U53" s="219" t="e">
        <f t="shared" si="18"/>
        <v>#REF!</v>
      </c>
      <c r="V53" s="219" t="e">
        <f t="shared" si="18"/>
        <v>#REF!</v>
      </c>
      <c r="W53" s="219" t="e">
        <f t="shared" si="18"/>
        <v>#REF!</v>
      </c>
      <c r="X53" s="219" t="e">
        <f t="shared" si="18"/>
        <v>#REF!</v>
      </c>
      <c r="Y53" s="219" t="e">
        <f t="shared" si="18"/>
        <v>#REF!</v>
      </c>
      <c r="Z53" s="219" t="e">
        <f t="shared" ref="Z53:AA53" si="19">Z44/100*$E$53</f>
        <v>#REF!</v>
      </c>
      <c r="AA53" s="219" t="e">
        <f t="shared" si="19"/>
        <v>#REF!</v>
      </c>
      <c r="AB53" s="85"/>
    </row>
    <row r="54" spans="2:28" ht="13.8" x14ac:dyDescent="0.3">
      <c r="B54" s="2040"/>
      <c r="C54" s="221" t="e">
        <f>+#REF!</f>
        <v>#REF!</v>
      </c>
      <c r="D54" s="739"/>
      <c r="E54" s="741" t="e">
        <f>#REF!</f>
        <v>#REF!</v>
      </c>
      <c r="F54" s="219" t="e">
        <f>F45/100*$E$54</f>
        <v>#REF!</v>
      </c>
      <c r="G54" s="219" t="e">
        <f t="shared" ref="G54:Y54" si="20">G45/100*$E$54</f>
        <v>#REF!</v>
      </c>
      <c r="H54" s="219" t="e">
        <f t="shared" si="20"/>
        <v>#REF!</v>
      </c>
      <c r="I54" s="219" t="e">
        <f t="shared" si="20"/>
        <v>#REF!</v>
      </c>
      <c r="J54" s="219" t="e">
        <f t="shared" si="20"/>
        <v>#REF!</v>
      </c>
      <c r="K54" s="219" t="e">
        <f t="shared" si="20"/>
        <v>#REF!</v>
      </c>
      <c r="L54" s="219" t="e">
        <f t="shared" si="20"/>
        <v>#REF!</v>
      </c>
      <c r="M54" s="219" t="e">
        <f t="shared" si="20"/>
        <v>#REF!</v>
      </c>
      <c r="N54" s="219" t="e">
        <f t="shared" si="20"/>
        <v>#REF!</v>
      </c>
      <c r="O54" s="219" t="e">
        <f t="shared" si="20"/>
        <v>#REF!</v>
      </c>
      <c r="P54" s="219" t="e">
        <f t="shared" si="20"/>
        <v>#REF!</v>
      </c>
      <c r="Q54" s="219" t="e">
        <f t="shared" si="20"/>
        <v>#REF!</v>
      </c>
      <c r="R54" s="219" t="e">
        <f t="shared" si="20"/>
        <v>#REF!</v>
      </c>
      <c r="S54" s="219" t="e">
        <f t="shared" si="20"/>
        <v>#REF!</v>
      </c>
      <c r="T54" s="219"/>
      <c r="U54" s="219" t="e">
        <f t="shared" si="20"/>
        <v>#REF!</v>
      </c>
      <c r="V54" s="219" t="e">
        <f t="shared" si="20"/>
        <v>#REF!</v>
      </c>
      <c r="W54" s="219" t="e">
        <f t="shared" si="20"/>
        <v>#REF!</v>
      </c>
      <c r="X54" s="219" t="e">
        <f t="shared" si="20"/>
        <v>#REF!</v>
      </c>
      <c r="Y54" s="219" t="e">
        <f t="shared" si="20"/>
        <v>#REF!</v>
      </c>
      <c r="Z54" s="219" t="e">
        <f t="shared" ref="Z54:AA54" si="21">Z45/100*$E$54</f>
        <v>#REF!</v>
      </c>
      <c r="AA54" s="219" t="e">
        <f t="shared" si="21"/>
        <v>#REF!</v>
      </c>
      <c r="AB54" s="85"/>
    </row>
    <row r="55" spans="2:28" ht="13.8" x14ac:dyDescent="0.3">
      <c r="B55" s="2040"/>
      <c r="C55" s="221" t="e">
        <f>+#REF!</f>
        <v>#REF!</v>
      </c>
      <c r="D55" s="739"/>
      <c r="E55" s="741" t="e">
        <f>#REF!</f>
        <v>#REF!</v>
      </c>
      <c r="F55" s="219" t="e">
        <f>F46/100*$E$55</f>
        <v>#REF!</v>
      </c>
      <c r="G55" s="219" t="e">
        <f t="shared" ref="G55:Y55" si="22">G46/100*$E$55</f>
        <v>#REF!</v>
      </c>
      <c r="H55" s="219" t="e">
        <f t="shared" si="22"/>
        <v>#REF!</v>
      </c>
      <c r="I55" s="219" t="e">
        <f t="shared" si="22"/>
        <v>#REF!</v>
      </c>
      <c r="J55" s="219" t="e">
        <f t="shared" si="22"/>
        <v>#REF!</v>
      </c>
      <c r="K55" s="219" t="e">
        <f t="shared" si="22"/>
        <v>#REF!</v>
      </c>
      <c r="L55" s="219" t="e">
        <f t="shared" si="22"/>
        <v>#REF!</v>
      </c>
      <c r="M55" s="219" t="e">
        <f t="shared" si="22"/>
        <v>#REF!</v>
      </c>
      <c r="N55" s="219" t="e">
        <f t="shared" si="22"/>
        <v>#REF!</v>
      </c>
      <c r="O55" s="219" t="e">
        <f t="shared" si="22"/>
        <v>#REF!</v>
      </c>
      <c r="P55" s="219" t="e">
        <f t="shared" si="22"/>
        <v>#REF!</v>
      </c>
      <c r="Q55" s="219" t="e">
        <f t="shared" si="22"/>
        <v>#REF!</v>
      </c>
      <c r="R55" s="219" t="e">
        <f t="shared" si="22"/>
        <v>#REF!</v>
      </c>
      <c r="S55" s="219" t="e">
        <f t="shared" si="22"/>
        <v>#REF!</v>
      </c>
      <c r="T55" s="219"/>
      <c r="U55" s="219" t="e">
        <f t="shared" si="22"/>
        <v>#REF!</v>
      </c>
      <c r="V55" s="219" t="e">
        <f t="shared" si="22"/>
        <v>#REF!</v>
      </c>
      <c r="W55" s="219" t="e">
        <f t="shared" si="22"/>
        <v>#REF!</v>
      </c>
      <c r="X55" s="219" t="e">
        <f t="shared" si="22"/>
        <v>#REF!</v>
      </c>
      <c r="Y55" s="219" t="e">
        <f t="shared" si="22"/>
        <v>#REF!</v>
      </c>
      <c r="Z55" s="219" t="e">
        <f t="shared" ref="Z55:AA55" si="23">Z46/100*$E$55</f>
        <v>#REF!</v>
      </c>
      <c r="AA55" s="219" t="e">
        <f t="shared" si="23"/>
        <v>#REF!</v>
      </c>
      <c r="AB55" s="85"/>
    </row>
    <row r="56" spans="2:28" ht="13.8" x14ac:dyDescent="0.3">
      <c r="B56" s="2040"/>
      <c r="C56" s="221" t="e">
        <f>+#REF!</f>
        <v>#REF!</v>
      </c>
      <c r="D56" s="739"/>
      <c r="E56" s="741" t="e">
        <f>#REF!</f>
        <v>#REF!</v>
      </c>
      <c r="F56" s="219" t="e">
        <f>F47/100*$E$56</f>
        <v>#REF!</v>
      </c>
      <c r="G56" s="219" t="e">
        <f t="shared" ref="G56:Y56" si="24">G47/100*$E$56</f>
        <v>#REF!</v>
      </c>
      <c r="H56" s="219" t="e">
        <f t="shared" si="24"/>
        <v>#REF!</v>
      </c>
      <c r="I56" s="219" t="e">
        <f t="shared" si="24"/>
        <v>#REF!</v>
      </c>
      <c r="J56" s="219" t="e">
        <f t="shared" si="24"/>
        <v>#REF!</v>
      </c>
      <c r="K56" s="219" t="e">
        <f t="shared" si="24"/>
        <v>#REF!</v>
      </c>
      <c r="L56" s="219" t="e">
        <f t="shared" si="24"/>
        <v>#REF!</v>
      </c>
      <c r="M56" s="219" t="e">
        <f t="shared" si="24"/>
        <v>#REF!</v>
      </c>
      <c r="N56" s="219" t="e">
        <f t="shared" si="24"/>
        <v>#REF!</v>
      </c>
      <c r="O56" s="219" t="e">
        <f t="shared" si="24"/>
        <v>#REF!</v>
      </c>
      <c r="P56" s="219" t="e">
        <f t="shared" si="24"/>
        <v>#REF!</v>
      </c>
      <c r="Q56" s="219" t="e">
        <f t="shared" si="24"/>
        <v>#REF!</v>
      </c>
      <c r="R56" s="219" t="e">
        <f t="shared" si="24"/>
        <v>#REF!</v>
      </c>
      <c r="S56" s="219" t="e">
        <f t="shared" si="24"/>
        <v>#REF!</v>
      </c>
      <c r="T56" s="219"/>
      <c r="U56" s="219" t="e">
        <f t="shared" si="24"/>
        <v>#REF!</v>
      </c>
      <c r="V56" s="219" t="e">
        <f t="shared" si="24"/>
        <v>#REF!</v>
      </c>
      <c r="W56" s="219" t="e">
        <f t="shared" si="24"/>
        <v>#REF!</v>
      </c>
      <c r="X56" s="219" t="e">
        <f t="shared" si="24"/>
        <v>#REF!</v>
      </c>
      <c r="Y56" s="219" t="e">
        <f t="shared" si="24"/>
        <v>#REF!</v>
      </c>
      <c r="Z56" s="219" t="e">
        <f t="shared" ref="Z56:AA56" si="25">Z47/100*$E$56</f>
        <v>#REF!</v>
      </c>
      <c r="AA56" s="219" t="e">
        <f t="shared" si="25"/>
        <v>#REF!</v>
      </c>
      <c r="AB56" s="85" t="e">
        <f>SUM(F56:Z56)</f>
        <v>#REF!</v>
      </c>
    </row>
    <row r="57" spans="2:28" ht="13.8" x14ac:dyDescent="0.3">
      <c r="B57" s="2040"/>
      <c r="C57" s="739" t="e">
        <f>+#REF!</f>
        <v>#REF!</v>
      </c>
      <c r="D57" s="740"/>
      <c r="E57" s="418">
        <f>'6. INST. MEC Y COM.'!F29</f>
        <v>958372.94400000002</v>
      </c>
      <c r="F57" s="219" t="e">
        <f>F48/100*$E$57</f>
        <v>#REF!</v>
      </c>
      <c r="G57" s="219" t="e">
        <f t="shared" ref="G57:Y57" si="26">G48/100*$E$57</f>
        <v>#REF!</v>
      </c>
      <c r="H57" s="219" t="e">
        <f t="shared" si="26"/>
        <v>#REF!</v>
      </c>
      <c r="I57" s="219" t="e">
        <f t="shared" si="26"/>
        <v>#REF!</v>
      </c>
      <c r="J57" s="219" t="e">
        <f t="shared" si="26"/>
        <v>#REF!</v>
      </c>
      <c r="K57" s="219" t="e">
        <f t="shared" si="26"/>
        <v>#REF!</v>
      </c>
      <c r="L57" s="219" t="e">
        <f t="shared" si="26"/>
        <v>#REF!</v>
      </c>
      <c r="M57" s="219" t="e">
        <f t="shared" si="26"/>
        <v>#REF!</v>
      </c>
      <c r="N57" s="219" t="e">
        <f t="shared" si="26"/>
        <v>#REF!</v>
      </c>
      <c r="O57" s="219" t="e">
        <f t="shared" si="26"/>
        <v>#REF!</v>
      </c>
      <c r="P57" s="219" t="e">
        <f t="shared" si="26"/>
        <v>#REF!</v>
      </c>
      <c r="Q57" s="219" t="e">
        <f t="shared" si="26"/>
        <v>#REF!</v>
      </c>
      <c r="R57" s="219" t="e">
        <f t="shared" si="26"/>
        <v>#REF!</v>
      </c>
      <c r="S57" s="219" t="e">
        <f t="shared" si="26"/>
        <v>#REF!</v>
      </c>
      <c r="T57" s="219"/>
      <c r="U57" s="219" t="e">
        <f t="shared" si="26"/>
        <v>#REF!</v>
      </c>
      <c r="V57" s="219" t="e">
        <f t="shared" si="26"/>
        <v>#REF!</v>
      </c>
      <c r="W57" s="219" t="e">
        <f t="shared" si="26"/>
        <v>#REF!</v>
      </c>
      <c r="X57" s="219" t="e">
        <f t="shared" si="26"/>
        <v>#REF!</v>
      </c>
      <c r="Y57" s="219" t="e">
        <f t="shared" si="26"/>
        <v>#REF!</v>
      </c>
      <c r="Z57" s="219" t="e">
        <f t="shared" ref="Z57:AA57" si="27">Z48/100*$E$57</f>
        <v>#REF!</v>
      </c>
      <c r="AA57" s="219" t="e">
        <f t="shared" si="27"/>
        <v>#REF!</v>
      </c>
      <c r="AB57" s="85" t="e">
        <f>SUM(F57:Z57)</f>
        <v>#REF!</v>
      </c>
    </row>
    <row r="58" spans="2:28" ht="13.8" x14ac:dyDescent="0.3">
      <c r="B58" s="881"/>
      <c r="C58" s="108"/>
      <c r="D58" s="877"/>
      <c r="E58" s="878"/>
      <c r="F58" s="879"/>
      <c r="G58" s="879"/>
      <c r="H58" s="879"/>
      <c r="I58" s="879"/>
      <c r="J58" s="879"/>
      <c r="K58" s="879"/>
      <c r="L58" s="879"/>
      <c r="M58" s="879"/>
      <c r="N58" s="879"/>
      <c r="O58" s="879"/>
      <c r="P58" s="879"/>
      <c r="Q58" s="879"/>
      <c r="R58" s="879"/>
      <c r="S58" s="879"/>
      <c r="T58" s="879"/>
      <c r="U58" s="879"/>
      <c r="V58" s="879"/>
      <c r="W58" s="879"/>
      <c r="X58" s="879"/>
      <c r="Y58" s="879"/>
      <c r="Z58" s="879"/>
      <c r="AA58" s="879"/>
    </row>
    <row r="59" spans="2:28" ht="13.8" x14ac:dyDescent="0.3">
      <c r="B59" s="881" t="s">
        <v>488</v>
      </c>
      <c r="C59" s="876" t="e">
        <f>+#REF!</f>
        <v>#REF!</v>
      </c>
      <c r="D59" s="740"/>
      <c r="E59" s="418">
        <f>+'7. EQUIP E IMPLE. '!F269</f>
        <v>4408297.8555799993</v>
      </c>
      <c r="F59" s="219" t="e">
        <f>F48/100*$E$59</f>
        <v>#REF!</v>
      </c>
      <c r="G59" s="219" t="e">
        <f>G48/100*$E$59</f>
        <v>#REF!</v>
      </c>
      <c r="H59" s="219" t="e">
        <f t="shared" ref="H59:Y59" si="28">H48/100*$E$59</f>
        <v>#REF!</v>
      </c>
      <c r="I59" s="219" t="e">
        <f t="shared" si="28"/>
        <v>#REF!</v>
      </c>
      <c r="J59" s="219" t="e">
        <f t="shared" si="28"/>
        <v>#REF!</v>
      </c>
      <c r="K59" s="219" t="e">
        <f t="shared" si="28"/>
        <v>#REF!</v>
      </c>
      <c r="L59" s="219" t="e">
        <f t="shared" si="28"/>
        <v>#REF!</v>
      </c>
      <c r="M59" s="219" t="e">
        <f t="shared" si="28"/>
        <v>#REF!</v>
      </c>
      <c r="N59" s="219" t="e">
        <f t="shared" si="28"/>
        <v>#REF!</v>
      </c>
      <c r="O59" s="219" t="e">
        <f t="shared" si="28"/>
        <v>#REF!</v>
      </c>
      <c r="P59" s="219" t="e">
        <f t="shared" si="28"/>
        <v>#REF!</v>
      </c>
      <c r="Q59" s="219" t="e">
        <f t="shared" si="28"/>
        <v>#REF!</v>
      </c>
      <c r="R59" s="219" t="e">
        <f t="shared" si="28"/>
        <v>#REF!</v>
      </c>
      <c r="S59" s="219" t="e">
        <f t="shared" si="28"/>
        <v>#REF!</v>
      </c>
      <c r="T59" s="219"/>
      <c r="U59" s="219" t="e">
        <f t="shared" si="28"/>
        <v>#REF!</v>
      </c>
      <c r="V59" s="219" t="e">
        <f t="shared" si="28"/>
        <v>#REF!</v>
      </c>
      <c r="W59" s="219" t="e">
        <f t="shared" si="28"/>
        <v>#REF!</v>
      </c>
      <c r="X59" s="219" t="e">
        <f t="shared" si="28"/>
        <v>#REF!</v>
      </c>
      <c r="Y59" s="219" t="e">
        <f t="shared" si="28"/>
        <v>#REF!</v>
      </c>
      <c r="Z59" s="219" t="e">
        <f t="shared" ref="Z59:AA59" si="29">Z48/100*$E$59</f>
        <v>#REF!</v>
      </c>
      <c r="AA59" s="219" t="e">
        <f t="shared" si="29"/>
        <v>#REF!</v>
      </c>
    </row>
    <row r="60" spans="2:28" ht="13.8" x14ac:dyDescent="0.3">
      <c r="B60" s="881"/>
      <c r="C60" s="108"/>
      <c r="D60" s="877"/>
      <c r="E60" s="878"/>
      <c r="F60" s="879"/>
      <c r="G60" s="879"/>
      <c r="H60" s="879"/>
      <c r="I60" s="879"/>
      <c r="J60" s="879"/>
      <c r="K60" s="879"/>
      <c r="L60" s="879"/>
      <c r="M60" s="879"/>
      <c r="N60" s="879"/>
      <c r="O60" s="879"/>
      <c r="P60" s="879"/>
      <c r="Q60" s="879"/>
      <c r="R60" s="879"/>
      <c r="S60" s="879"/>
      <c r="T60" s="879"/>
      <c r="U60" s="879"/>
      <c r="V60" s="879"/>
      <c r="W60" s="879"/>
      <c r="X60" s="879"/>
      <c r="Y60" s="879"/>
      <c r="Z60" s="879"/>
      <c r="AA60" s="879"/>
    </row>
    <row r="61" spans="2:28" ht="13.8" x14ac:dyDescent="0.3">
      <c r="B61" s="881" t="s">
        <v>489</v>
      </c>
      <c r="C61" s="739" t="e">
        <f>+#REF!</f>
        <v>#REF!</v>
      </c>
      <c r="D61" s="740"/>
      <c r="E61" s="418">
        <f>+'8. CAPACITACIÓN'!F19</f>
        <v>63310</v>
      </c>
      <c r="F61" s="219">
        <f>F49/100*$E$61</f>
        <v>0</v>
      </c>
      <c r="G61" s="219">
        <f t="shared" ref="G61:Y61" si="30">G49/100*$E$61</f>
        <v>0</v>
      </c>
      <c r="H61" s="219">
        <f t="shared" si="30"/>
        <v>0</v>
      </c>
      <c r="I61" s="219">
        <f t="shared" si="30"/>
        <v>0</v>
      </c>
      <c r="J61" s="219">
        <f t="shared" si="30"/>
        <v>0</v>
      </c>
      <c r="K61" s="219">
        <f t="shared" si="30"/>
        <v>0</v>
      </c>
      <c r="L61" s="219">
        <f t="shared" si="30"/>
        <v>0</v>
      </c>
      <c r="M61" s="219">
        <f t="shared" si="30"/>
        <v>0</v>
      </c>
      <c r="N61" s="219">
        <f t="shared" si="30"/>
        <v>0</v>
      </c>
      <c r="O61" s="219">
        <f t="shared" si="30"/>
        <v>0</v>
      </c>
      <c r="P61" s="219">
        <f t="shared" si="30"/>
        <v>0</v>
      </c>
      <c r="Q61" s="219">
        <f t="shared" si="30"/>
        <v>0</v>
      </c>
      <c r="R61" s="219">
        <f t="shared" si="30"/>
        <v>0</v>
      </c>
      <c r="S61" s="219">
        <f t="shared" si="30"/>
        <v>0</v>
      </c>
      <c r="T61" s="219"/>
      <c r="U61" s="219">
        <f t="shared" si="30"/>
        <v>0</v>
      </c>
      <c r="V61" s="219">
        <f t="shared" si="30"/>
        <v>0</v>
      </c>
      <c r="W61" s="219">
        <f t="shared" si="30"/>
        <v>0</v>
      </c>
      <c r="X61" s="219">
        <f t="shared" si="30"/>
        <v>0</v>
      </c>
      <c r="Y61" s="219">
        <f t="shared" si="30"/>
        <v>0</v>
      </c>
      <c r="Z61" s="219">
        <f t="shared" ref="Z61:AA61" si="31">Z49/100*$E$61</f>
        <v>0</v>
      </c>
      <c r="AA61" s="219">
        <f t="shared" si="31"/>
        <v>0</v>
      </c>
    </row>
    <row r="62" spans="2:28" ht="13.8" x14ac:dyDescent="0.3">
      <c r="B62" s="881"/>
      <c r="C62" s="108"/>
      <c r="D62" s="877"/>
      <c r="E62" s="878"/>
      <c r="F62" s="879"/>
      <c r="G62" s="879"/>
      <c r="H62" s="879"/>
      <c r="I62" s="879"/>
      <c r="J62" s="879"/>
      <c r="K62" s="879"/>
      <c r="L62" s="879"/>
      <c r="M62" s="879"/>
      <c r="N62" s="879"/>
      <c r="O62" s="879"/>
      <c r="P62" s="879"/>
      <c r="Q62" s="879"/>
      <c r="R62" s="879"/>
      <c r="S62" s="879"/>
      <c r="T62" s="879"/>
      <c r="U62" s="879"/>
      <c r="V62" s="879"/>
      <c r="W62" s="879"/>
      <c r="X62" s="879"/>
      <c r="Y62" s="879"/>
      <c r="Z62" s="879"/>
      <c r="AA62" s="879"/>
    </row>
    <row r="63" spans="2:28" ht="13.8" x14ac:dyDescent="0.3">
      <c r="B63" s="881" t="s">
        <v>490</v>
      </c>
      <c r="C63" s="739" t="e">
        <f>+#REF!</f>
        <v>#REF!</v>
      </c>
      <c r="D63" s="740"/>
      <c r="E63" s="418">
        <f>'9. CONTINGENCIA'!F210</f>
        <v>380581.15200000006</v>
      </c>
      <c r="F63" s="219" t="e">
        <f>F50/100*$E$63</f>
        <v>#REF!</v>
      </c>
      <c r="G63" s="219">
        <v>0</v>
      </c>
      <c r="H63" s="219">
        <v>0</v>
      </c>
      <c r="I63" s="219" t="e">
        <f t="shared" ref="I63:Y63" si="32">I50/100*$E$63</f>
        <v>#REF!</v>
      </c>
      <c r="J63" s="219" t="e">
        <f t="shared" si="32"/>
        <v>#REF!</v>
      </c>
      <c r="K63" s="219" t="e">
        <f t="shared" si="32"/>
        <v>#REF!</v>
      </c>
      <c r="L63" s="219" t="e">
        <f t="shared" si="32"/>
        <v>#REF!</v>
      </c>
      <c r="M63" s="219" t="e">
        <f t="shared" si="32"/>
        <v>#REF!</v>
      </c>
      <c r="N63" s="219" t="e">
        <f t="shared" si="32"/>
        <v>#REF!</v>
      </c>
      <c r="O63" s="219" t="e">
        <f t="shared" si="32"/>
        <v>#REF!</v>
      </c>
      <c r="P63" s="219" t="e">
        <f t="shared" si="32"/>
        <v>#REF!</v>
      </c>
      <c r="Q63" s="219" t="e">
        <f t="shared" si="32"/>
        <v>#REF!</v>
      </c>
      <c r="R63" s="219" t="e">
        <f t="shared" si="32"/>
        <v>#REF!</v>
      </c>
      <c r="S63" s="219" t="e">
        <f t="shared" si="32"/>
        <v>#REF!</v>
      </c>
      <c r="T63" s="219"/>
      <c r="U63" s="219" t="e">
        <f t="shared" si="32"/>
        <v>#REF!</v>
      </c>
      <c r="V63" s="219" t="e">
        <f t="shared" si="32"/>
        <v>#REF!</v>
      </c>
      <c r="W63" s="219" t="e">
        <f t="shared" si="32"/>
        <v>#REF!</v>
      </c>
      <c r="X63" s="219" t="e">
        <f t="shared" si="32"/>
        <v>#REF!</v>
      </c>
      <c r="Y63" s="219" t="e">
        <f t="shared" si="32"/>
        <v>#REF!</v>
      </c>
      <c r="Z63" s="219" t="e">
        <f t="shared" ref="Z63:AA63" si="33">Z50/100*$E$63</f>
        <v>#REF!</v>
      </c>
      <c r="AA63" s="219" t="e">
        <f t="shared" si="33"/>
        <v>#REF!</v>
      </c>
    </row>
    <row r="64" spans="2:28" x14ac:dyDescent="0.25">
      <c r="E64" s="85" t="e">
        <f>SUM(E52:E63)</f>
        <v>#REF!</v>
      </c>
    </row>
    <row r="67" spans="2:28" x14ac:dyDescent="0.25">
      <c r="B67" s="858" t="s">
        <v>305</v>
      </c>
      <c r="D67" s="880" t="s">
        <v>496</v>
      </c>
    </row>
    <row r="69" spans="2:28" ht="13.8" thickBot="1" x14ac:dyDescent="0.3"/>
    <row r="70" spans="2:28" x14ac:dyDescent="0.25">
      <c r="B70" s="961" t="s">
        <v>279</v>
      </c>
      <c r="C70" s="962"/>
      <c r="D70" s="363"/>
      <c r="E70" s="363"/>
      <c r="F70" s="968">
        <f>+[1]OBRA!$H$1362</f>
        <v>0</v>
      </c>
      <c r="G70" s="963">
        <f>+[1]OBRA!$J$1362</f>
        <v>0</v>
      </c>
      <c r="H70" s="963">
        <f>+[1]OBRA!$L$1362</f>
        <v>0</v>
      </c>
      <c r="I70" s="963">
        <f>+[1]OBRA!$V$1362</f>
        <v>0</v>
      </c>
      <c r="J70" s="963">
        <f>+[1]OBRA!$X$1362</f>
        <v>22471.383999999998</v>
      </c>
      <c r="K70" s="963">
        <f>+[1]OBRA!$Z$1362</f>
        <v>427716.97399999999</v>
      </c>
      <c r="L70" s="963">
        <f>+[1]OBRA!$AB$1362</f>
        <v>426575.50500000024</v>
      </c>
      <c r="M70" s="963">
        <f>+[1]OBRA!$AD$1362</f>
        <v>755930.88300000003</v>
      </c>
      <c r="N70" s="963">
        <f>+[1]OBRA!$AF$1362</f>
        <v>611135.94100000011</v>
      </c>
      <c r="O70" s="963">
        <f>+[1]OBRA!$AH$1362</f>
        <v>520685.65399999986</v>
      </c>
      <c r="P70" s="963">
        <f>+[1]OBRA!$AJ$1362</f>
        <v>315276.05199999991</v>
      </c>
      <c r="Q70" s="963">
        <f>+[1]OBRA!$AL$1362</f>
        <v>365491.70199999993</v>
      </c>
      <c r="R70" s="963">
        <f>+[1]OBRA!$AN$1362</f>
        <v>404156.88599999988</v>
      </c>
      <c r="S70" s="963">
        <f>+[1]OBRA!$AP$1362</f>
        <v>245405.94500000001</v>
      </c>
      <c r="T70" s="963"/>
      <c r="U70" s="963">
        <f>+[1]OBRA!$AR$1362</f>
        <v>199806.68100000001</v>
      </c>
      <c r="V70" s="963">
        <f>+[1]OBRA!$AT$1362</f>
        <v>38275.144000000008</v>
      </c>
      <c r="W70" s="963">
        <f>+[1]OBRA!$AV$1362</f>
        <v>88280.059000000008</v>
      </c>
      <c r="X70" s="963">
        <f>+[1]OBRA!$AX$1362</f>
        <v>6460.92</v>
      </c>
      <c r="Y70" s="963">
        <f>+[1]OBRA!$AZ$1362</f>
        <v>0</v>
      </c>
      <c r="Z70" s="963">
        <f>+[1]OBRA!$BB$1362</f>
        <v>0</v>
      </c>
      <c r="AA70" s="963">
        <f>+[1]OBRA!$BB$1362</f>
        <v>0</v>
      </c>
    </row>
    <row r="71" spans="2:28" x14ac:dyDescent="0.25">
      <c r="B71" s="713" t="s">
        <v>278</v>
      </c>
      <c r="C71" s="711"/>
      <c r="D71" s="366"/>
      <c r="E71" s="366"/>
      <c r="F71" s="969">
        <f t="shared" ref="F71:Z71" si="34">0.1*F70</f>
        <v>0</v>
      </c>
      <c r="G71" s="368">
        <f t="shared" si="34"/>
        <v>0</v>
      </c>
      <c r="H71" s="368">
        <f t="shared" si="34"/>
        <v>0</v>
      </c>
      <c r="I71" s="368">
        <f t="shared" si="34"/>
        <v>0</v>
      </c>
      <c r="J71" s="368">
        <f t="shared" si="34"/>
        <v>2247.1383999999998</v>
      </c>
      <c r="K71" s="368">
        <f t="shared" si="34"/>
        <v>42771.697400000005</v>
      </c>
      <c r="L71" s="368">
        <f t="shared" si="34"/>
        <v>42657.550500000027</v>
      </c>
      <c r="M71" s="368">
        <f t="shared" si="34"/>
        <v>75593.088300000003</v>
      </c>
      <c r="N71" s="368">
        <f t="shared" si="34"/>
        <v>61113.594100000017</v>
      </c>
      <c r="O71" s="368">
        <f t="shared" si="34"/>
        <v>52068.565399999992</v>
      </c>
      <c r="P71" s="368">
        <f t="shared" si="34"/>
        <v>31527.605199999991</v>
      </c>
      <c r="Q71" s="368">
        <f t="shared" si="34"/>
        <v>36549.170199999993</v>
      </c>
      <c r="R71" s="368">
        <f t="shared" si="34"/>
        <v>40415.688599999994</v>
      </c>
      <c r="S71" s="368">
        <f t="shared" si="34"/>
        <v>24540.594500000003</v>
      </c>
      <c r="T71" s="368"/>
      <c r="U71" s="368">
        <f t="shared" si="34"/>
        <v>19980.668100000003</v>
      </c>
      <c r="V71" s="368">
        <f t="shared" si="34"/>
        <v>3827.5144000000009</v>
      </c>
      <c r="W71" s="368">
        <f t="shared" si="34"/>
        <v>8828.0059000000019</v>
      </c>
      <c r="X71" s="368">
        <f t="shared" si="34"/>
        <v>646.0920000000001</v>
      </c>
      <c r="Y71" s="368">
        <f t="shared" si="34"/>
        <v>0</v>
      </c>
      <c r="Z71" s="368">
        <f t="shared" si="34"/>
        <v>0</v>
      </c>
      <c r="AA71" s="368">
        <f t="shared" ref="AA71" si="35">0.1*AA70</f>
        <v>0</v>
      </c>
    </row>
    <row r="72" spans="2:28" x14ac:dyDescent="0.25">
      <c r="B72" s="713" t="s">
        <v>308</v>
      </c>
      <c r="C72" s="711"/>
      <c r="D72" s="366"/>
      <c r="E72" s="366"/>
      <c r="F72" s="969">
        <f t="shared" ref="F72:Z72" si="36">0.1*F70</f>
        <v>0</v>
      </c>
      <c r="G72" s="368">
        <f t="shared" si="36"/>
        <v>0</v>
      </c>
      <c r="H72" s="368">
        <f t="shared" si="36"/>
        <v>0</v>
      </c>
      <c r="I72" s="368">
        <f t="shared" si="36"/>
        <v>0</v>
      </c>
      <c r="J72" s="368">
        <f t="shared" si="36"/>
        <v>2247.1383999999998</v>
      </c>
      <c r="K72" s="368">
        <f t="shared" si="36"/>
        <v>42771.697400000005</v>
      </c>
      <c r="L72" s="368">
        <f t="shared" si="36"/>
        <v>42657.550500000027</v>
      </c>
      <c r="M72" s="368">
        <f t="shared" si="36"/>
        <v>75593.088300000003</v>
      </c>
      <c r="N72" s="368">
        <f t="shared" si="36"/>
        <v>61113.594100000017</v>
      </c>
      <c r="O72" s="368">
        <f t="shared" si="36"/>
        <v>52068.565399999992</v>
      </c>
      <c r="P72" s="368">
        <f t="shared" si="36"/>
        <v>31527.605199999991</v>
      </c>
      <c r="Q72" s="368">
        <f t="shared" si="36"/>
        <v>36549.170199999993</v>
      </c>
      <c r="R72" s="368">
        <f t="shared" si="36"/>
        <v>40415.688599999994</v>
      </c>
      <c r="S72" s="368">
        <f t="shared" si="36"/>
        <v>24540.594500000003</v>
      </c>
      <c r="T72" s="368"/>
      <c r="U72" s="368">
        <f t="shared" si="36"/>
        <v>19980.668100000003</v>
      </c>
      <c r="V72" s="368">
        <f t="shared" si="36"/>
        <v>3827.5144000000009</v>
      </c>
      <c r="W72" s="368">
        <f t="shared" si="36"/>
        <v>8828.0059000000019</v>
      </c>
      <c r="X72" s="368">
        <f t="shared" si="36"/>
        <v>646.0920000000001</v>
      </c>
      <c r="Y72" s="368">
        <f t="shared" si="36"/>
        <v>0</v>
      </c>
      <c r="Z72" s="368">
        <f t="shared" si="36"/>
        <v>0</v>
      </c>
      <c r="AA72" s="368">
        <f t="shared" ref="AA72" si="37">0.1*AA70</f>
        <v>0</v>
      </c>
    </row>
    <row r="73" spans="2:28" x14ac:dyDescent="0.25">
      <c r="B73" s="960" t="s">
        <v>280</v>
      </c>
      <c r="C73" s="366"/>
      <c r="D73" s="366"/>
      <c r="E73" s="366"/>
      <c r="F73" s="970">
        <f t="shared" ref="F73:Z73" si="38">SUM(F70:F72)</f>
        <v>0</v>
      </c>
      <c r="G73" s="429">
        <f t="shared" si="38"/>
        <v>0</v>
      </c>
      <c r="H73" s="429">
        <f t="shared" si="38"/>
        <v>0</v>
      </c>
      <c r="I73" s="429">
        <f t="shared" si="38"/>
        <v>0</v>
      </c>
      <c r="J73" s="429">
        <f t="shared" si="38"/>
        <v>26965.660799999998</v>
      </c>
      <c r="K73" s="429">
        <f t="shared" si="38"/>
        <v>513260.3688</v>
      </c>
      <c r="L73" s="429">
        <f t="shared" si="38"/>
        <v>511890.60600000026</v>
      </c>
      <c r="M73" s="429">
        <f t="shared" si="38"/>
        <v>907117.05960000004</v>
      </c>
      <c r="N73" s="429">
        <f t="shared" si="38"/>
        <v>733363.12920000008</v>
      </c>
      <c r="O73" s="429">
        <f t="shared" si="38"/>
        <v>624822.78479999979</v>
      </c>
      <c r="P73" s="429">
        <f t="shared" si="38"/>
        <v>378331.26239999989</v>
      </c>
      <c r="Q73" s="429">
        <f t="shared" si="38"/>
        <v>438590.04239999992</v>
      </c>
      <c r="R73" s="429">
        <f t="shared" si="38"/>
        <v>484988.26319999987</v>
      </c>
      <c r="S73" s="429">
        <f t="shared" si="38"/>
        <v>294487.13400000002</v>
      </c>
      <c r="T73" s="429"/>
      <c r="U73" s="429">
        <f t="shared" si="38"/>
        <v>239768.01720000003</v>
      </c>
      <c r="V73" s="429">
        <f t="shared" si="38"/>
        <v>45930.172800000008</v>
      </c>
      <c r="W73" s="429">
        <f t="shared" si="38"/>
        <v>105936.07080000002</v>
      </c>
      <c r="X73" s="429">
        <f t="shared" si="38"/>
        <v>7753.1040000000012</v>
      </c>
      <c r="Y73" s="429">
        <f t="shared" si="38"/>
        <v>0</v>
      </c>
      <c r="Z73" s="429">
        <f t="shared" si="38"/>
        <v>0</v>
      </c>
      <c r="AA73" s="429">
        <f t="shared" ref="AA73" si="39">SUM(AA70:AA72)</f>
        <v>0</v>
      </c>
    </row>
    <row r="74" spans="2:28" x14ac:dyDescent="0.25">
      <c r="B74" s="713" t="s">
        <v>281</v>
      </c>
      <c r="C74" s="711"/>
      <c r="D74" s="366"/>
      <c r="E74" s="366"/>
      <c r="F74" s="969">
        <v>1</v>
      </c>
      <c r="G74" s="368">
        <v>1</v>
      </c>
      <c r="H74" s="368">
        <v>1</v>
      </c>
      <c r="I74" s="368">
        <v>1</v>
      </c>
      <c r="J74" s="368">
        <v>1</v>
      </c>
      <c r="K74" s="368">
        <v>1</v>
      </c>
      <c r="L74" s="368">
        <v>1</v>
      </c>
      <c r="M74" s="368">
        <v>1</v>
      </c>
      <c r="N74" s="368">
        <v>1</v>
      </c>
      <c r="O74" s="368">
        <v>1</v>
      </c>
      <c r="P74" s="368">
        <v>1</v>
      </c>
      <c r="Q74" s="368">
        <v>1</v>
      </c>
      <c r="R74" s="368">
        <v>1</v>
      </c>
      <c r="S74" s="368">
        <v>1</v>
      </c>
      <c r="T74" s="368"/>
      <c r="U74" s="368">
        <v>1</v>
      </c>
      <c r="V74" s="368">
        <v>1</v>
      </c>
      <c r="W74" s="368">
        <v>1</v>
      </c>
      <c r="X74" s="368">
        <v>1</v>
      </c>
      <c r="Y74" s="368">
        <v>1</v>
      </c>
      <c r="Z74" s="368">
        <v>1</v>
      </c>
      <c r="AA74" s="368">
        <v>1</v>
      </c>
    </row>
    <row r="75" spans="2:28" x14ac:dyDescent="0.25">
      <c r="B75" s="713" t="s">
        <v>282</v>
      </c>
      <c r="C75" s="711"/>
      <c r="D75" s="366"/>
      <c r="E75" s="366"/>
      <c r="F75" s="970">
        <f t="shared" ref="F75:Z75" si="40">SUM(F73)*F74</f>
        <v>0</v>
      </c>
      <c r="G75" s="429">
        <f t="shared" si="40"/>
        <v>0</v>
      </c>
      <c r="H75" s="429">
        <f t="shared" si="40"/>
        <v>0</v>
      </c>
      <c r="I75" s="429">
        <f t="shared" si="40"/>
        <v>0</v>
      </c>
      <c r="J75" s="429">
        <f t="shared" si="40"/>
        <v>26965.660799999998</v>
      </c>
      <c r="K75" s="429">
        <f t="shared" si="40"/>
        <v>513260.3688</v>
      </c>
      <c r="L75" s="429">
        <f t="shared" si="40"/>
        <v>511890.60600000026</v>
      </c>
      <c r="M75" s="429">
        <f t="shared" si="40"/>
        <v>907117.05960000004</v>
      </c>
      <c r="N75" s="429">
        <f t="shared" si="40"/>
        <v>733363.12920000008</v>
      </c>
      <c r="O75" s="429">
        <f t="shared" si="40"/>
        <v>624822.78479999979</v>
      </c>
      <c r="P75" s="429">
        <f t="shared" si="40"/>
        <v>378331.26239999989</v>
      </c>
      <c r="Q75" s="429">
        <f t="shared" si="40"/>
        <v>438590.04239999992</v>
      </c>
      <c r="R75" s="429">
        <f t="shared" si="40"/>
        <v>484988.26319999987</v>
      </c>
      <c r="S75" s="429">
        <f t="shared" si="40"/>
        <v>294487.13400000002</v>
      </c>
      <c r="T75" s="429"/>
      <c r="U75" s="429">
        <f t="shared" si="40"/>
        <v>239768.01720000003</v>
      </c>
      <c r="V75" s="429">
        <f t="shared" si="40"/>
        <v>45930.172800000008</v>
      </c>
      <c r="W75" s="429">
        <f t="shared" si="40"/>
        <v>105936.07080000002</v>
      </c>
      <c r="X75" s="429">
        <f t="shared" si="40"/>
        <v>7753.1040000000012</v>
      </c>
      <c r="Y75" s="429">
        <f t="shared" si="40"/>
        <v>0</v>
      </c>
      <c r="Z75" s="429">
        <f t="shared" si="40"/>
        <v>0</v>
      </c>
      <c r="AA75" s="429">
        <f t="shared" ref="AA75" si="41">SUM(AA73)*AA74</f>
        <v>0</v>
      </c>
    </row>
    <row r="76" spans="2:28" x14ac:dyDescent="0.25">
      <c r="B76" s="960" t="s">
        <v>173</v>
      </c>
      <c r="C76" s="711"/>
      <c r="D76" s="366"/>
      <c r="E76" s="366"/>
      <c r="F76" s="969">
        <f t="shared" ref="F76:Z76" si="42">ROUND(F75*18%,2)</f>
        <v>0</v>
      </c>
      <c r="G76" s="368">
        <f t="shared" si="42"/>
        <v>0</v>
      </c>
      <c r="H76" s="368">
        <f t="shared" si="42"/>
        <v>0</v>
      </c>
      <c r="I76" s="368">
        <f t="shared" si="42"/>
        <v>0</v>
      </c>
      <c r="J76" s="368">
        <f t="shared" si="42"/>
        <v>4853.82</v>
      </c>
      <c r="K76" s="368">
        <f t="shared" si="42"/>
        <v>92386.87</v>
      </c>
      <c r="L76" s="368">
        <f t="shared" si="42"/>
        <v>92140.31</v>
      </c>
      <c r="M76" s="368">
        <f t="shared" si="42"/>
        <v>163281.07</v>
      </c>
      <c r="N76" s="368">
        <f t="shared" si="42"/>
        <v>132005.35999999999</v>
      </c>
      <c r="O76" s="368">
        <f t="shared" si="42"/>
        <v>112468.1</v>
      </c>
      <c r="P76" s="368">
        <f t="shared" si="42"/>
        <v>68099.63</v>
      </c>
      <c r="Q76" s="368">
        <f t="shared" si="42"/>
        <v>78946.210000000006</v>
      </c>
      <c r="R76" s="368">
        <f t="shared" si="42"/>
        <v>87297.89</v>
      </c>
      <c r="S76" s="368">
        <f t="shared" si="42"/>
        <v>53007.68</v>
      </c>
      <c r="T76" s="368"/>
      <c r="U76" s="368">
        <f t="shared" si="42"/>
        <v>43158.239999999998</v>
      </c>
      <c r="V76" s="368">
        <f t="shared" si="42"/>
        <v>8267.43</v>
      </c>
      <c r="W76" s="368">
        <f t="shared" si="42"/>
        <v>19068.490000000002</v>
      </c>
      <c r="X76" s="368">
        <f t="shared" si="42"/>
        <v>1395.56</v>
      </c>
      <c r="Y76" s="368">
        <f t="shared" si="42"/>
        <v>0</v>
      </c>
      <c r="Z76" s="368">
        <f t="shared" si="42"/>
        <v>0</v>
      </c>
      <c r="AA76" s="368">
        <f t="shared" ref="AA76" si="43">ROUND(AA75*18%,2)</f>
        <v>0</v>
      </c>
    </row>
    <row r="77" spans="2:28" ht="13.8" thickBot="1" x14ac:dyDescent="0.3">
      <c r="B77" s="714" t="s">
        <v>0</v>
      </c>
      <c r="C77" s="712"/>
      <c r="D77" s="371"/>
      <c r="E77" s="371"/>
      <c r="F77" s="971">
        <f t="shared" ref="F77:Z77" si="44">ROUND(SUM(F75:F76),3)</f>
        <v>0</v>
      </c>
      <c r="G77" s="971">
        <f t="shared" si="44"/>
        <v>0</v>
      </c>
      <c r="H77" s="971">
        <f t="shared" si="44"/>
        <v>0</v>
      </c>
      <c r="I77" s="971">
        <f t="shared" si="44"/>
        <v>0</v>
      </c>
      <c r="J77" s="971">
        <f t="shared" si="44"/>
        <v>31819.481</v>
      </c>
      <c r="K77" s="971">
        <f t="shared" si="44"/>
        <v>605647.23899999994</v>
      </c>
      <c r="L77" s="971">
        <f t="shared" si="44"/>
        <v>604030.91599999997</v>
      </c>
      <c r="M77" s="971">
        <f t="shared" si="44"/>
        <v>1070398.1299999999</v>
      </c>
      <c r="N77" s="971">
        <f t="shared" si="44"/>
        <v>865368.48899999994</v>
      </c>
      <c r="O77" s="971">
        <f t="shared" si="44"/>
        <v>737290.88500000001</v>
      </c>
      <c r="P77" s="971">
        <f t="shared" si="44"/>
        <v>446430.89199999999</v>
      </c>
      <c r="Q77" s="971">
        <f t="shared" si="44"/>
        <v>517536.25199999998</v>
      </c>
      <c r="R77" s="971">
        <f t="shared" si="44"/>
        <v>572286.15300000005</v>
      </c>
      <c r="S77" s="971">
        <f t="shared" si="44"/>
        <v>347494.81400000001</v>
      </c>
      <c r="T77" s="971"/>
      <c r="U77" s="971">
        <f t="shared" si="44"/>
        <v>282926.25699999998</v>
      </c>
      <c r="V77" s="971">
        <f t="shared" si="44"/>
        <v>54197.603000000003</v>
      </c>
      <c r="W77" s="971">
        <f t="shared" si="44"/>
        <v>125004.561</v>
      </c>
      <c r="X77" s="971">
        <f t="shared" si="44"/>
        <v>9148.6640000000007</v>
      </c>
      <c r="Y77" s="971">
        <f t="shared" si="44"/>
        <v>0</v>
      </c>
      <c r="Z77" s="971">
        <f t="shared" si="44"/>
        <v>0</v>
      </c>
      <c r="AA77" s="971">
        <f t="shared" ref="AA77" si="45">ROUND(SUM(AA75:AA76),3)</f>
        <v>0</v>
      </c>
      <c r="AB77" s="85">
        <f>+SUM(F77:Z77)</f>
        <v>6269580.3360000001</v>
      </c>
    </row>
  </sheetData>
  <mergeCells count="52">
    <mergeCell ref="V29:V30"/>
    <mergeCell ref="E29:E31"/>
    <mergeCell ref="B29:B31"/>
    <mergeCell ref="L29:L30"/>
    <mergeCell ref="AA29:AA30"/>
    <mergeCell ref="Z29:Z30"/>
    <mergeCell ref="X29:X30"/>
    <mergeCell ref="Y29:Y30"/>
    <mergeCell ref="F29:F30"/>
    <mergeCell ref="G29:G30"/>
    <mergeCell ref="J29:J30"/>
    <mergeCell ref="C29:D31"/>
    <mergeCell ref="W29:W30"/>
    <mergeCell ref="U29:U30"/>
    <mergeCell ref="M29:M30"/>
    <mergeCell ref="T29:T30"/>
    <mergeCell ref="B52:B57"/>
    <mergeCell ref="A29:A31"/>
    <mergeCell ref="A19:A20"/>
    <mergeCell ref="A32:A35"/>
    <mergeCell ref="S29:S30"/>
    <mergeCell ref="R29:R30"/>
    <mergeCell ref="B32:B35"/>
    <mergeCell ref="B23:D23"/>
    <mergeCell ref="Q29:Q30"/>
    <mergeCell ref="P29:P30"/>
    <mergeCell ref="N29:N30"/>
    <mergeCell ref="O29:O30"/>
    <mergeCell ref="C37:D37"/>
    <mergeCell ref="H29:H30"/>
    <mergeCell ref="I29:I30"/>
    <mergeCell ref="K29:K30"/>
    <mergeCell ref="A17:A18"/>
    <mergeCell ref="I13:J13"/>
    <mergeCell ref="I14:J14"/>
    <mergeCell ref="I15:J15"/>
    <mergeCell ref="D13:E13"/>
    <mergeCell ref="B17:D18"/>
    <mergeCell ref="E17:E18"/>
    <mergeCell ref="F17:F18"/>
    <mergeCell ref="G17:G18"/>
    <mergeCell ref="B2:D2"/>
    <mergeCell ref="B4:D4"/>
    <mergeCell ref="I8:J8"/>
    <mergeCell ref="I9:J9"/>
    <mergeCell ref="I11:J11"/>
    <mergeCell ref="B5:Y5"/>
    <mergeCell ref="B6:Y6"/>
    <mergeCell ref="D8:G8"/>
    <mergeCell ref="D9:H12"/>
    <mergeCell ref="I12:J12"/>
    <mergeCell ref="I10:J10"/>
  </mergeCells>
  <phoneticPr fontId="29" type="noConversion"/>
  <printOptions horizontalCentered="1"/>
  <pageMargins left="0.11811023622047245" right="0.11811023622047245" top="1.1811023622047245" bottom="0.39370078740157483" header="0.39370078740157483" footer="0.51181102362204722"/>
  <pageSetup paperSize="9" scale="47" firstPageNumber="0" orientation="landscape" r:id="rId1"/>
  <headerFooter alignWithMargins="0"/>
  <colBreaks count="1" manualBreakCount="1">
    <brk id="21" min="1" max="38"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rgb="FFFFFF00"/>
  </sheetPr>
  <dimension ref="A1:JB170"/>
  <sheetViews>
    <sheetView view="pageBreakPreview" topLeftCell="S11" zoomScale="107" zoomScaleNormal="100" zoomScaleSheetLayoutView="107" workbookViewId="0">
      <selection activeCell="U91" sqref="U91"/>
    </sheetView>
  </sheetViews>
  <sheetFormatPr baseColWidth="10" defaultColWidth="11.44140625" defaultRowHeight="13.8" x14ac:dyDescent="0.3"/>
  <cols>
    <col min="1" max="1" width="18.33203125" style="116" customWidth="1"/>
    <col min="2" max="2" width="11" style="116" customWidth="1"/>
    <col min="3" max="3" width="3.5546875" style="116" customWidth="1"/>
    <col min="4" max="4" width="10.6640625" style="116" customWidth="1"/>
    <col min="5" max="5" width="11.33203125" style="116" customWidth="1"/>
    <col min="6" max="6" width="12.6640625" style="116" customWidth="1"/>
    <col min="7" max="7" width="12.88671875" style="116" customWidth="1"/>
    <col min="8" max="8" width="11.33203125" style="116" customWidth="1"/>
    <col min="9" max="9" width="12.6640625" style="116" customWidth="1"/>
    <col min="10" max="10" width="10.88671875" style="116" bestFit="1" customWidth="1"/>
    <col min="11" max="11" width="12.5546875" style="116" customWidth="1"/>
    <col min="12" max="12" width="13.109375" style="116" customWidth="1"/>
    <col min="13" max="13" width="12.5546875" style="116" customWidth="1"/>
    <col min="14" max="14" width="12.88671875" style="116" customWidth="1"/>
    <col min="15" max="15" width="12.6640625" style="116" customWidth="1"/>
    <col min="16" max="16" width="11.6640625" style="116" customWidth="1"/>
    <col min="17" max="20" width="11.44140625" style="116"/>
    <col min="21" max="21" width="8" style="116" customWidth="1"/>
    <col min="22" max="22" width="0" style="116" hidden="1" customWidth="1"/>
    <col min="23" max="23" width="11.33203125" style="116" customWidth="1"/>
    <col min="24" max="27" width="11.44140625" style="116"/>
    <col min="28" max="28" width="13" style="116" customWidth="1"/>
    <col min="29" max="29" width="14.33203125" style="116" customWidth="1"/>
    <col min="30" max="30" width="15" style="116" customWidth="1"/>
    <col min="31" max="32" width="11.44140625" style="116"/>
    <col min="33" max="33" width="11.44140625" style="116" customWidth="1"/>
    <col min="34" max="16384" width="11.44140625" style="116"/>
  </cols>
  <sheetData>
    <row r="1" spans="1:262" x14ac:dyDescent="0.3">
      <c r="A1" s="2069" t="str">
        <f>CALEND_!B2</f>
        <v>GOBIERNO REGIONAL AYACUCHO</v>
      </c>
      <c r="B1" s="2069"/>
      <c r="C1" s="2069"/>
      <c r="D1" s="2069"/>
      <c r="E1" s="2069"/>
      <c r="F1" s="2069"/>
      <c r="G1" s="631"/>
      <c r="H1" s="632"/>
      <c r="I1" s="632"/>
      <c r="J1" s="632"/>
      <c r="K1" s="632"/>
      <c r="L1" s="632"/>
      <c r="M1" s="632"/>
      <c r="N1" s="632"/>
      <c r="O1" s="632"/>
      <c r="P1" s="632"/>
      <c r="Q1" s="632"/>
      <c r="R1" s="632"/>
      <c r="S1" s="632"/>
      <c r="T1" s="632"/>
      <c r="U1" s="115"/>
      <c r="V1" s="115"/>
      <c r="W1" s="115"/>
      <c r="X1" s="115"/>
      <c r="Y1" s="115"/>
      <c r="Z1" s="115"/>
      <c r="AA1" s="115"/>
      <c r="AB1" s="115"/>
      <c r="AC1" s="115"/>
      <c r="AD1" s="115"/>
      <c r="AE1" s="115"/>
      <c r="AF1" s="115"/>
      <c r="AG1" s="115"/>
      <c r="AH1" s="115"/>
      <c r="AI1" s="115"/>
      <c r="AJ1" s="115"/>
      <c r="AK1" s="115"/>
      <c r="AL1" s="115"/>
      <c r="AM1" s="115"/>
      <c r="AN1" s="115"/>
      <c r="AO1" s="115"/>
      <c r="AP1" s="115"/>
      <c r="AQ1" s="115"/>
      <c r="AR1" s="115"/>
      <c r="AS1" s="115"/>
      <c r="AT1" s="115"/>
      <c r="AU1" s="115"/>
      <c r="AV1" s="115"/>
      <c r="AW1" s="115"/>
      <c r="AX1" s="115"/>
      <c r="AY1" s="115"/>
      <c r="AZ1" s="115"/>
      <c r="BA1" s="115"/>
      <c r="BB1" s="115"/>
      <c r="BC1" s="115"/>
      <c r="BD1" s="115"/>
      <c r="BE1" s="115"/>
      <c r="BF1" s="115"/>
      <c r="BG1" s="115"/>
      <c r="BH1" s="115"/>
      <c r="BI1" s="115"/>
      <c r="BJ1" s="115"/>
      <c r="BK1" s="115"/>
      <c r="BL1" s="115"/>
      <c r="BM1" s="115"/>
      <c r="BN1" s="115"/>
      <c r="BO1" s="115"/>
      <c r="BP1" s="115"/>
      <c r="BQ1" s="115"/>
      <c r="BR1" s="115"/>
      <c r="BS1" s="115"/>
      <c r="BT1" s="115"/>
      <c r="BU1" s="115"/>
      <c r="BV1" s="115"/>
      <c r="BW1" s="115"/>
      <c r="BX1" s="115"/>
      <c r="BY1" s="115"/>
      <c r="BZ1" s="115"/>
      <c r="CA1" s="115"/>
      <c r="CB1" s="115"/>
      <c r="CC1" s="115"/>
      <c r="CD1" s="115"/>
      <c r="CE1" s="115"/>
      <c r="CF1" s="115"/>
      <c r="CG1" s="115"/>
      <c r="CH1" s="115"/>
      <c r="CI1" s="115"/>
      <c r="CJ1" s="115"/>
      <c r="CK1" s="115"/>
      <c r="CL1" s="115"/>
      <c r="CM1" s="115"/>
      <c r="CN1" s="115"/>
      <c r="CO1" s="115"/>
      <c r="CP1" s="115"/>
      <c r="CQ1" s="115"/>
      <c r="CR1" s="115"/>
      <c r="CS1" s="115"/>
      <c r="CT1" s="115"/>
      <c r="CU1" s="115"/>
      <c r="CV1" s="115"/>
      <c r="CW1" s="115"/>
      <c r="CX1" s="115"/>
      <c r="CY1" s="115"/>
      <c r="CZ1" s="115"/>
      <c r="DA1" s="115"/>
      <c r="DB1" s="115"/>
      <c r="DC1" s="115"/>
      <c r="DD1" s="115"/>
      <c r="DE1" s="115"/>
      <c r="DF1" s="115"/>
      <c r="DG1" s="115"/>
      <c r="DH1" s="115"/>
      <c r="DI1" s="115"/>
      <c r="DJ1" s="115"/>
      <c r="DK1" s="115"/>
      <c r="DL1" s="115"/>
      <c r="DM1" s="115"/>
      <c r="DN1" s="115"/>
      <c r="DO1" s="115"/>
      <c r="DP1" s="115"/>
      <c r="DQ1" s="115"/>
      <c r="DR1" s="115"/>
      <c r="DS1" s="115"/>
      <c r="DT1" s="115"/>
      <c r="DU1" s="115"/>
      <c r="DV1" s="115"/>
      <c r="DW1" s="115"/>
      <c r="DX1" s="115"/>
      <c r="DY1" s="115"/>
      <c r="DZ1" s="115"/>
      <c r="EA1" s="115"/>
      <c r="EB1" s="115"/>
      <c r="EC1" s="115"/>
      <c r="ED1" s="115"/>
      <c r="EE1" s="115"/>
      <c r="EF1" s="115"/>
      <c r="EG1" s="115"/>
      <c r="EH1" s="115"/>
      <c r="EI1" s="115"/>
      <c r="EJ1" s="115"/>
      <c r="EK1" s="115"/>
      <c r="EL1" s="115"/>
      <c r="EM1" s="115"/>
      <c r="EN1" s="115"/>
      <c r="EO1" s="115"/>
      <c r="EP1" s="115"/>
      <c r="EQ1" s="115"/>
      <c r="ER1" s="115"/>
      <c r="ES1" s="115"/>
      <c r="ET1" s="115"/>
      <c r="EU1" s="115"/>
      <c r="EV1" s="115"/>
      <c r="EW1" s="115"/>
      <c r="EX1" s="115"/>
      <c r="EY1" s="115"/>
      <c r="EZ1" s="115"/>
      <c r="FA1" s="115"/>
      <c r="FB1" s="115"/>
      <c r="FC1" s="115"/>
      <c r="FD1" s="115"/>
      <c r="FE1" s="115"/>
      <c r="FF1" s="115"/>
      <c r="FG1" s="115"/>
      <c r="FH1" s="115"/>
      <c r="FI1" s="115"/>
      <c r="FJ1" s="115"/>
      <c r="FK1" s="115"/>
      <c r="FL1" s="115"/>
      <c r="FM1" s="115"/>
      <c r="FN1" s="115"/>
      <c r="FO1" s="115"/>
      <c r="FP1" s="115"/>
      <c r="FQ1" s="115"/>
      <c r="FR1" s="115"/>
      <c r="FS1" s="115"/>
      <c r="FT1" s="115"/>
      <c r="FU1" s="115"/>
      <c r="FV1" s="115"/>
      <c r="FW1" s="115"/>
      <c r="FX1" s="115"/>
      <c r="FY1" s="115"/>
      <c r="FZ1" s="115"/>
      <c r="GA1" s="115"/>
      <c r="GB1" s="115"/>
      <c r="GC1" s="115"/>
      <c r="GD1" s="115"/>
      <c r="GE1" s="115"/>
      <c r="GF1" s="115"/>
      <c r="GG1" s="115"/>
      <c r="GH1" s="115"/>
      <c r="GI1" s="115"/>
      <c r="GJ1" s="115"/>
      <c r="GK1" s="115"/>
      <c r="GL1" s="115"/>
      <c r="GM1" s="115"/>
      <c r="GN1" s="115"/>
      <c r="GO1" s="115"/>
      <c r="GP1" s="115"/>
      <c r="GQ1" s="115"/>
      <c r="GR1" s="115"/>
      <c r="GS1" s="115"/>
      <c r="GT1" s="115"/>
      <c r="GU1" s="115"/>
      <c r="GV1" s="115"/>
      <c r="GW1" s="115"/>
      <c r="GX1" s="115"/>
      <c r="GY1" s="115"/>
      <c r="GZ1" s="115"/>
      <c r="HA1" s="115"/>
      <c r="HB1" s="115"/>
      <c r="HC1" s="115"/>
      <c r="HD1" s="115"/>
      <c r="HE1" s="115"/>
      <c r="HF1" s="115"/>
      <c r="HG1" s="115"/>
      <c r="HH1" s="115"/>
      <c r="HI1" s="115"/>
      <c r="HJ1" s="115"/>
      <c r="HK1" s="115"/>
      <c r="HL1" s="115"/>
      <c r="HM1" s="115"/>
      <c r="HN1" s="115"/>
      <c r="HO1" s="115"/>
      <c r="HP1" s="115"/>
      <c r="HQ1" s="115"/>
      <c r="HR1" s="115"/>
      <c r="HS1" s="115"/>
      <c r="HT1" s="115"/>
      <c r="HU1" s="115"/>
      <c r="HV1" s="115"/>
      <c r="HW1" s="115"/>
      <c r="HX1" s="115"/>
      <c r="HY1" s="115"/>
      <c r="HZ1" s="115"/>
      <c r="IA1" s="115"/>
      <c r="IB1" s="115"/>
      <c r="IC1" s="115"/>
      <c r="ID1" s="115"/>
      <c r="IE1" s="115"/>
      <c r="IF1" s="115"/>
      <c r="IG1" s="115"/>
      <c r="IH1" s="115"/>
      <c r="II1" s="115"/>
      <c r="IJ1" s="115"/>
      <c r="IK1" s="115"/>
      <c r="IL1" s="115"/>
      <c r="IM1" s="115"/>
      <c r="IN1" s="115"/>
      <c r="IO1" s="115"/>
      <c r="IP1" s="115"/>
      <c r="IQ1" s="115"/>
      <c r="IR1" s="115"/>
      <c r="IS1" s="115"/>
      <c r="IT1" s="115"/>
      <c r="IU1" s="115"/>
      <c r="IV1" s="115"/>
      <c r="IW1" s="115"/>
      <c r="IX1" s="115"/>
      <c r="IY1" s="115"/>
      <c r="IZ1" s="115"/>
      <c r="JA1" s="115"/>
      <c r="JB1" s="115"/>
    </row>
    <row r="2" spans="1:262" x14ac:dyDescent="0.3">
      <c r="A2" s="2069" t="str">
        <f>CALEND_!B3</f>
        <v>SUBGERENCIA DE SUPERVISION Y LIQUIDACION</v>
      </c>
      <c r="B2" s="2069"/>
      <c r="C2" s="2069"/>
      <c r="D2" s="2069"/>
      <c r="E2" s="2069"/>
      <c r="F2" s="2069"/>
      <c r="G2" s="631"/>
      <c r="H2" s="632"/>
      <c r="I2" s="632"/>
      <c r="J2" s="632"/>
      <c r="K2" s="632"/>
      <c r="L2" s="632"/>
      <c r="M2" s="632"/>
      <c r="N2" s="632"/>
      <c r="O2" s="632"/>
      <c r="P2" s="632"/>
      <c r="Q2" s="632"/>
      <c r="R2" s="632"/>
      <c r="S2" s="632"/>
      <c r="T2" s="632"/>
      <c r="U2" s="115"/>
      <c r="V2" s="115"/>
      <c r="W2" s="115"/>
      <c r="X2" s="115"/>
      <c r="Y2" s="115"/>
      <c r="Z2" s="115"/>
      <c r="AA2" s="115"/>
      <c r="AB2" s="115"/>
      <c r="AC2" s="115"/>
      <c r="AD2" s="115"/>
      <c r="AE2" s="115"/>
      <c r="AF2" s="115"/>
      <c r="AG2" s="115"/>
      <c r="AH2" s="115"/>
      <c r="AI2" s="115"/>
      <c r="AJ2" s="115"/>
      <c r="AK2" s="115"/>
      <c r="AL2" s="115"/>
      <c r="AM2" s="115"/>
      <c r="AN2" s="115"/>
      <c r="AO2" s="115"/>
      <c r="AP2" s="115"/>
      <c r="AQ2" s="115"/>
      <c r="AR2" s="115"/>
      <c r="AS2" s="115"/>
      <c r="AT2" s="115"/>
      <c r="AU2" s="115"/>
      <c r="AV2" s="115"/>
      <c r="AW2" s="115"/>
      <c r="AX2" s="115"/>
      <c r="AY2" s="115"/>
      <c r="AZ2" s="115"/>
      <c r="BA2" s="115"/>
      <c r="BB2" s="115"/>
      <c r="BC2" s="115"/>
      <c r="BD2" s="115"/>
      <c r="BE2" s="115"/>
      <c r="BF2" s="115"/>
      <c r="BG2" s="115"/>
      <c r="BH2" s="115"/>
      <c r="BI2" s="115"/>
      <c r="BJ2" s="115"/>
      <c r="BK2" s="115"/>
      <c r="BL2" s="115"/>
      <c r="BM2" s="115"/>
      <c r="BN2" s="115"/>
      <c r="BO2" s="115"/>
      <c r="BP2" s="115"/>
      <c r="BQ2" s="115"/>
      <c r="BR2" s="115"/>
      <c r="BS2" s="115"/>
      <c r="BT2" s="115"/>
      <c r="BU2" s="115"/>
      <c r="BV2" s="115"/>
      <c r="BW2" s="115"/>
      <c r="BX2" s="115"/>
      <c r="BY2" s="115"/>
      <c r="BZ2" s="115"/>
      <c r="CA2" s="115"/>
      <c r="CB2" s="115"/>
      <c r="CC2" s="115"/>
      <c r="CD2" s="115"/>
      <c r="CE2" s="115"/>
      <c r="CF2" s="115"/>
      <c r="CG2" s="115"/>
      <c r="CH2" s="115"/>
      <c r="CI2" s="115"/>
      <c r="CJ2" s="115"/>
      <c r="CK2" s="115"/>
      <c r="CL2" s="115"/>
      <c r="CM2" s="115"/>
      <c r="CN2" s="115"/>
      <c r="CO2" s="115"/>
      <c r="CP2" s="115"/>
      <c r="CQ2" s="115"/>
      <c r="CR2" s="115"/>
      <c r="CS2" s="115"/>
      <c r="CT2" s="115"/>
      <c r="CU2" s="115"/>
      <c r="CV2" s="115"/>
      <c r="CW2" s="115"/>
      <c r="CX2" s="115"/>
      <c r="CY2" s="115"/>
      <c r="CZ2" s="115"/>
      <c r="DA2" s="115"/>
      <c r="DB2" s="115"/>
      <c r="DC2" s="115"/>
      <c r="DD2" s="115"/>
      <c r="DE2" s="115"/>
      <c r="DF2" s="115"/>
      <c r="DG2" s="115"/>
      <c r="DH2" s="115"/>
      <c r="DI2" s="115"/>
      <c r="DJ2" s="115"/>
      <c r="DK2" s="115"/>
      <c r="DL2" s="115"/>
      <c r="DM2" s="115"/>
      <c r="DN2" s="115"/>
      <c r="DO2" s="115"/>
      <c r="DP2" s="115"/>
      <c r="DQ2" s="115"/>
      <c r="DR2" s="115"/>
      <c r="DS2" s="115"/>
      <c r="DT2" s="115"/>
      <c r="DU2" s="115"/>
      <c r="DV2" s="115"/>
      <c r="DW2" s="115"/>
      <c r="DX2" s="115"/>
      <c r="DY2" s="115"/>
      <c r="DZ2" s="115"/>
      <c r="EA2" s="115"/>
      <c r="EB2" s="115"/>
      <c r="EC2" s="115"/>
      <c r="ED2" s="115"/>
      <c r="EE2" s="115"/>
      <c r="EF2" s="115"/>
      <c r="EG2" s="115"/>
      <c r="EH2" s="115"/>
      <c r="EI2" s="115"/>
      <c r="EJ2" s="115"/>
      <c r="EK2" s="115"/>
      <c r="EL2" s="115"/>
      <c r="EM2" s="115"/>
      <c r="EN2" s="115"/>
      <c r="EO2" s="115"/>
      <c r="EP2" s="115"/>
      <c r="EQ2" s="115"/>
      <c r="ER2" s="115"/>
      <c r="ES2" s="115"/>
      <c r="ET2" s="115"/>
      <c r="EU2" s="115"/>
      <c r="EV2" s="115"/>
      <c r="EW2" s="115"/>
      <c r="EX2" s="115"/>
      <c r="EY2" s="115"/>
      <c r="EZ2" s="115"/>
      <c r="FA2" s="115"/>
      <c r="FB2" s="115"/>
      <c r="FC2" s="115"/>
      <c r="FD2" s="115"/>
      <c r="FE2" s="115"/>
      <c r="FF2" s="115"/>
      <c r="FG2" s="115"/>
      <c r="FH2" s="115"/>
      <c r="FI2" s="115"/>
      <c r="FJ2" s="115"/>
      <c r="FK2" s="115"/>
      <c r="FL2" s="115"/>
      <c r="FM2" s="115"/>
      <c r="FN2" s="115"/>
      <c r="FO2" s="115"/>
      <c r="FP2" s="115"/>
      <c r="FQ2" s="115"/>
      <c r="FR2" s="115"/>
      <c r="FS2" s="115"/>
      <c r="FT2" s="115"/>
      <c r="FU2" s="115"/>
      <c r="FV2" s="115"/>
      <c r="FW2" s="115"/>
      <c r="FX2" s="115"/>
      <c r="FY2" s="115"/>
      <c r="FZ2" s="115"/>
      <c r="GA2" s="115"/>
      <c r="GB2" s="115"/>
      <c r="GC2" s="115"/>
      <c r="GD2" s="115"/>
      <c r="GE2" s="115"/>
      <c r="GF2" s="115"/>
      <c r="GG2" s="115"/>
      <c r="GH2" s="115"/>
      <c r="GI2" s="115"/>
      <c r="GJ2" s="115"/>
      <c r="GK2" s="115"/>
      <c r="GL2" s="115"/>
      <c r="GM2" s="115"/>
      <c r="GN2" s="115"/>
      <c r="GO2" s="115"/>
      <c r="GP2" s="115"/>
      <c r="GQ2" s="115"/>
      <c r="GR2" s="115"/>
      <c r="GS2" s="115"/>
      <c r="GT2" s="115"/>
      <c r="GU2" s="115"/>
      <c r="GV2" s="115"/>
      <c r="GW2" s="115"/>
      <c r="GX2" s="115"/>
      <c r="GY2" s="115"/>
      <c r="GZ2" s="115"/>
      <c r="HA2" s="115"/>
      <c r="HB2" s="115"/>
      <c r="HC2" s="115"/>
      <c r="HD2" s="115"/>
      <c r="HE2" s="115"/>
      <c r="HF2" s="115"/>
      <c r="HG2" s="115"/>
      <c r="HH2" s="115"/>
      <c r="HI2" s="115"/>
      <c r="HJ2" s="115"/>
      <c r="HK2" s="115"/>
      <c r="HL2" s="115"/>
      <c r="HM2" s="115"/>
      <c r="HN2" s="115"/>
      <c r="HO2" s="115"/>
      <c r="HP2" s="115"/>
      <c r="HQ2" s="115"/>
      <c r="HR2" s="115"/>
      <c r="HS2" s="115"/>
      <c r="HT2" s="115"/>
      <c r="HU2" s="115"/>
      <c r="HV2" s="115"/>
      <c r="HW2" s="115"/>
      <c r="HX2" s="115"/>
      <c r="HY2" s="115"/>
      <c r="HZ2" s="115"/>
      <c r="IA2" s="115"/>
      <c r="IB2" s="115"/>
      <c r="IC2" s="115"/>
      <c r="ID2" s="115"/>
      <c r="IE2" s="115"/>
      <c r="IF2" s="115"/>
      <c r="IG2" s="115"/>
      <c r="IH2" s="115"/>
      <c r="II2" s="115"/>
      <c r="IJ2" s="115"/>
      <c r="IK2" s="115"/>
      <c r="IL2" s="115"/>
      <c r="IM2" s="115"/>
      <c r="IN2" s="115"/>
      <c r="IO2" s="115"/>
      <c r="IP2" s="115"/>
      <c r="IQ2" s="115"/>
      <c r="IR2" s="115"/>
      <c r="IS2" s="115"/>
      <c r="IT2" s="115"/>
      <c r="IU2" s="115"/>
      <c r="IV2" s="115"/>
      <c r="IW2" s="115"/>
      <c r="IX2" s="115"/>
      <c r="IY2" s="115"/>
      <c r="IZ2" s="115"/>
      <c r="JA2" s="115"/>
      <c r="JB2" s="115"/>
    </row>
    <row r="3" spans="1:262" ht="17.25" customHeight="1" x14ac:dyDescent="0.3">
      <c r="A3" s="2065" t="s">
        <v>136</v>
      </c>
      <c r="B3" s="2065"/>
      <c r="C3" s="2065"/>
      <c r="D3" s="2065"/>
      <c r="E3" s="2065"/>
      <c r="F3" s="2065"/>
      <c r="G3" s="2065"/>
      <c r="H3" s="2065"/>
      <c r="I3" s="2065"/>
      <c r="J3" s="2065"/>
      <c r="K3" s="2065"/>
      <c r="L3" s="2065"/>
      <c r="M3" s="2065"/>
      <c r="N3" s="2065"/>
      <c r="O3" s="2065"/>
      <c r="P3" s="2065"/>
      <c r="Q3" s="2065"/>
      <c r="R3" s="1669"/>
      <c r="S3" s="1669"/>
      <c r="T3" s="1669"/>
      <c r="U3" s="142"/>
      <c r="V3" s="142"/>
      <c r="W3" s="142"/>
      <c r="X3" s="115"/>
      <c r="Y3" s="115"/>
      <c r="Z3" s="115"/>
      <c r="AA3" s="115"/>
      <c r="AB3" s="115"/>
      <c r="AC3" s="115"/>
      <c r="AD3" s="115"/>
      <c r="AE3" s="115"/>
      <c r="AF3" s="115"/>
      <c r="AG3" s="115"/>
      <c r="AH3" s="115"/>
      <c r="AI3" s="115"/>
      <c r="AJ3" s="115"/>
      <c r="AK3" s="115"/>
      <c r="AL3" s="115"/>
      <c r="AM3" s="115"/>
      <c r="AN3" s="115"/>
      <c r="AO3" s="115"/>
      <c r="AP3" s="115"/>
      <c r="AQ3" s="115"/>
      <c r="AR3" s="115"/>
      <c r="AS3" s="115"/>
      <c r="AT3" s="115"/>
      <c r="AU3" s="115"/>
      <c r="AV3" s="115"/>
      <c r="AW3" s="115"/>
      <c r="AX3" s="115"/>
      <c r="AY3" s="115"/>
      <c r="AZ3" s="115"/>
      <c r="BA3" s="115"/>
      <c r="BB3" s="115"/>
      <c r="BC3" s="115"/>
      <c r="BD3" s="115"/>
      <c r="BE3" s="115"/>
      <c r="BF3" s="115"/>
      <c r="BG3" s="115"/>
      <c r="BH3" s="115"/>
      <c r="BI3" s="115"/>
      <c r="BJ3" s="115"/>
      <c r="BK3" s="115"/>
      <c r="BL3" s="115"/>
      <c r="BM3" s="115"/>
      <c r="BN3" s="115"/>
      <c r="BO3" s="115"/>
      <c r="BP3" s="115"/>
      <c r="BQ3" s="115"/>
      <c r="BR3" s="115"/>
      <c r="BS3" s="115"/>
      <c r="BT3" s="115"/>
      <c r="BU3" s="115"/>
      <c r="BV3" s="115"/>
      <c r="BW3" s="115"/>
      <c r="BX3" s="115"/>
      <c r="BY3" s="115"/>
      <c r="BZ3" s="115"/>
      <c r="CA3" s="115"/>
      <c r="CB3" s="115"/>
      <c r="CC3" s="115"/>
      <c r="CD3" s="115"/>
      <c r="CE3" s="115"/>
      <c r="CF3" s="115"/>
      <c r="CG3" s="115"/>
      <c r="CH3" s="115"/>
      <c r="CI3" s="115"/>
      <c r="CJ3" s="115"/>
      <c r="CK3" s="115"/>
      <c r="CL3" s="115"/>
      <c r="CM3" s="115"/>
      <c r="CN3" s="115"/>
      <c r="CO3" s="115"/>
      <c r="CP3" s="115"/>
      <c r="CQ3" s="115"/>
      <c r="CR3" s="115"/>
      <c r="CS3" s="115"/>
      <c r="CT3" s="115"/>
      <c r="CU3" s="115"/>
      <c r="CV3" s="115"/>
      <c r="CW3" s="115"/>
      <c r="CX3" s="115"/>
      <c r="CY3" s="115"/>
      <c r="CZ3" s="115"/>
      <c r="DA3" s="115"/>
      <c r="DB3" s="115"/>
      <c r="DC3" s="115"/>
      <c r="DD3" s="115"/>
      <c r="DE3" s="115"/>
      <c r="DF3" s="115"/>
      <c r="DG3" s="115"/>
      <c r="DH3" s="115"/>
      <c r="DI3" s="115"/>
      <c r="DJ3" s="115"/>
      <c r="DK3" s="115"/>
      <c r="DL3" s="115"/>
      <c r="DM3" s="115"/>
      <c r="DN3" s="115"/>
      <c r="DO3" s="115"/>
      <c r="DP3" s="115"/>
      <c r="DQ3" s="115"/>
      <c r="DR3" s="115"/>
      <c r="DS3" s="115"/>
      <c r="DT3" s="115"/>
      <c r="DU3" s="115"/>
      <c r="DV3" s="115"/>
      <c r="DW3" s="115"/>
      <c r="DX3" s="115"/>
      <c r="DY3" s="115"/>
      <c r="DZ3" s="115"/>
      <c r="EA3" s="115"/>
      <c r="EB3" s="115"/>
      <c r="EC3" s="115"/>
      <c r="ED3" s="115"/>
      <c r="EE3" s="115"/>
      <c r="EF3" s="115"/>
      <c r="EG3" s="115"/>
      <c r="EH3" s="115"/>
      <c r="EI3" s="115"/>
      <c r="EJ3" s="115"/>
      <c r="EK3" s="115"/>
      <c r="EL3" s="115"/>
      <c r="EM3" s="115"/>
      <c r="EN3" s="115"/>
      <c r="EO3" s="115"/>
      <c r="EP3" s="115"/>
      <c r="EQ3" s="115"/>
      <c r="ER3" s="115"/>
      <c r="ES3" s="115"/>
      <c r="ET3" s="115"/>
      <c r="EU3" s="115"/>
      <c r="EV3" s="115"/>
      <c r="EW3" s="115"/>
      <c r="EX3" s="115"/>
      <c r="EY3" s="115"/>
      <c r="EZ3" s="115"/>
      <c r="FA3" s="115"/>
      <c r="FB3" s="115"/>
      <c r="FC3" s="115"/>
      <c r="FD3" s="115"/>
      <c r="FE3" s="115"/>
      <c r="FF3" s="115"/>
      <c r="FG3" s="115"/>
      <c r="FH3" s="115"/>
      <c r="FI3" s="115"/>
      <c r="FJ3" s="115"/>
      <c r="FK3" s="115"/>
      <c r="FL3" s="115"/>
      <c r="FM3" s="115"/>
      <c r="FN3" s="115"/>
      <c r="FO3" s="115"/>
      <c r="FP3" s="115"/>
      <c r="FQ3" s="115"/>
      <c r="FR3" s="115"/>
      <c r="FS3" s="115"/>
      <c r="FT3" s="115"/>
      <c r="FU3" s="115"/>
      <c r="FV3" s="115"/>
      <c r="FW3" s="115"/>
      <c r="FX3" s="115"/>
      <c r="FY3" s="115"/>
      <c r="FZ3" s="115"/>
      <c r="GA3" s="115"/>
      <c r="GB3" s="115"/>
      <c r="GC3" s="115"/>
      <c r="GD3" s="115"/>
      <c r="GE3" s="115"/>
      <c r="GF3" s="115"/>
      <c r="GG3" s="115"/>
      <c r="GH3" s="115"/>
      <c r="GI3" s="115"/>
      <c r="GJ3" s="115"/>
      <c r="GK3" s="115"/>
      <c r="GL3" s="115"/>
      <c r="GM3" s="115"/>
      <c r="GN3" s="115"/>
      <c r="GO3" s="115"/>
      <c r="GP3" s="115"/>
      <c r="GQ3" s="115"/>
      <c r="GR3" s="115"/>
      <c r="GS3" s="115"/>
      <c r="GT3" s="115"/>
      <c r="GU3" s="115"/>
      <c r="GV3" s="115"/>
      <c r="GW3" s="115"/>
      <c r="GX3" s="115"/>
      <c r="GY3" s="115"/>
      <c r="GZ3" s="115"/>
      <c r="HA3" s="115"/>
      <c r="HB3" s="115"/>
      <c r="HC3" s="115"/>
      <c r="HD3" s="115"/>
      <c r="HE3" s="115"/>
      <c r="HF3" s="115"/>
      <c r="HG3" s="115"/>
      <c r="HH3" s="115"/>
      <c r="HI3" s="115"/>
      <c r="HJ3" s="115"/>
      <c r="HK3" s="115"/>
      <c r="HL3" s="115"/>
      <c r="HM3" s="115"/>
      <c r="HN3" s="115"/>
      <c r="HO3" s="115"/>
      <c r="HP3" s="115"/>
      <c r="HQ3" s="115"/>
      <c r="HR3" s="115"/>
      <c r="HS3" s="115"/>
      <c r="HT3" s="115"/>
      <c r="HU3" s="115"/>
      <c r="HV3" s="115"/>
      <c r="HW3" s="115"/>
      <c r="HX3" s="115"/>
      <c r="HY3" s="115"/>
      <c r="HZ3" s="115"/>
      <c r="IA3" s="115"/>
      <c r="IB3" s="115"/>
      <c r="IC3" s="115"/>
      <c r="ID3" s="115"/>
      <c r="IE3" s="115"/>
      <c r="IF3" s="115"/>
      <c r="IG3" s="115"/>
      <c r="IH3" s="115"/>
      <c r="II3" s="115"/>
      <c r="IJ3" s="115"/>
      <c r="IK3" s="115"/>
      <c r="IL3" s="115"/>
      <c r="IM3" s="115"/>
      <c r="IN3" s="115"/>
      <c r="IO3" s="115"/>
      <c r="IP3" s="115"/>
      <c r="IQ3" s="115"/>
      <c r="IR3" s="115"/>
      <c r="IS3" s="115"/>
      <c r="IT3" s="115"/>
      <c r="IU3" s="115"/>
      <c r="IV3" s="115"/>
      <c r="IW3" s="115"/>
      <c r="IX3" s="115"/>
      <c r="IY3" s="115"/>
      <c r="IZ3" s="115"/>
      <c r="JA3" s="115"/>
      <c r="JB3" s="115"/>
    </row>
    <row r="4" spans="1:262" s="115" customFormat="1" x14ac:dyDescent="0.3">
      <c r="A4" s="632"/>
      <c r="B4" s="632"/>
      <c r="C4" s="632"/>
      <c r="D4" s="632"/>
      <c r="E4" s="632"/>
      <c r="F4" s="632"/>
      <c r="G4" s="632"/>
      <c r="H4" s="632"/>
      <c r="I4" s="632"/>
      <c r="J4" s="632"/>
      <c r="K4" s="632"/>
      <c r="L4" s="632"/>
      <c r="M4" s="632"/>
      <c r="N4" s="632"/>
      <c r="O4" s="632"/>
      <c r="P4" s="632"/>
      <c r="Q4" s="632"/>
      <c r="R4" s="632"/>
      <c r="S4" s="632"/>
      <c r="T4" s="632"/>
    </row>
    <row r="5" spans="1:262" s="125" customFormat="1" ht="10.199999999999999" x14ac:dyDescent="0.2">
      <c r="A5" s="633" t="s">
        <v>143</v>
      </c>
      <c r="B5" s="634"/>
      <c r="C5" s="634" t="s">
        <v>7</v>
      </c>
      <c r="D5" s="635" t="str">
        <f>CARAT_!$F$47</f>
        <v>ESPECIFICO Nº SP-2022-012</v>
      </c>
      <c r="E5" s="634"/>
      <c r="F5" s="631"/>
      <c r="G5" s="631"/>
      <c r="H5" s="631"/>
      <c r="I5" s="631"/>
      <c r="J5" s="631"/>
      <c r="K5" s="631"/>
      <c r="L5" s="631"/>
      <c r="M5" s="631"/>
      <c r="N5" s="631"/>
      <c r="O5" s="631"/>
      <c r="P5" s="631"/>
      <c r="Q5" s="631"/>
      <c r="R5" s="631"/>
      <c r="S5" s="631"/>
      <c r="T5" s="631"/>
    </row>
    <row r="6" spans="1:262" s="125" customFormat="1" ht="10.199999999999999" x14ac:dyDescent="0.2">
      <c r="A6" s="633" t="s">
        <v>18</v>
      </c>
      <c r="B6" s="634"/>
      <c r="C6" s="634" t="s">
        <v>7</v>
      </c>
      <c r="D6" s="2064" t="str">
        <f>+VAL_RES.!D8</f>
        <v>“CREACION DEL PUENTE VEHICULAR CCANCHIS SOBRE EL RIO PAMPAS, DISTRITO DE CHUNGUI - PROVINCIA LA MAR - DEPARTAMENTO AYACUCHO”.</v>
      </c>
      <c r="E6" s="2064"/>
      <c r="F6" s="2064"/>
      <c r="G6" s="2064"/>
      <c r="H6" s="2064"/>
      <c r="I6" s="2064"/>
      <c r="J6" s="2064"/>
      <c r="K6" s="2064"/>
      <c r="L6" s="2064"/>
      <c r="M6" s="2064"/>
      <c r="N6" s="2064"/>
      <c r="O6" s="2064"/>
      <c r="P6" s="2064"/>
      <c r="Q6" s="2064"/>
      <c r="R6" s="1668"/>
      <c r="S6" s="1668"/>
      <c r="T6" s="1668"/>
    </row>
    <row r="7" spans="1:262" s="125" customFormat="1" ht="10.199999999999999" x14ac:dyDescent="0.2">
      <c r="A7" s="634" t="s">
        <v>1</v>
      </c>
      <c r="B7" s="634"/>
      <c r="C7" s="634" t="s">
        <v>7</v>
      </c>
      <c r="D7" s="635" t="str">
        <f>CARAT_!$F$52</f>
        <v>SIMA PERU S.A.</v>
      </c>
      <c r="E7" s="634"/>
      <c r="F7" s="631"/>
      <c r="G7" s="631"/>
      <c r="H7" s="631"/>
      <c r="I7" s="631"/>
      <c r="J7" s="631"/>
      <c r="K7" s="631"/>
      <c r="L7" s="631"/>
      <c r="M7" s="631"/>
      <c r="N7" s="631"/>
      <c r="O7" s="631"/>
      <c r="P7" s="631"/>
      <c r="Q7" s="631"/>
      <c r="R7" s="631"/>
      <c r="S7" s="631"/>
      <c r="T7" s="631"/>
    </row>
    <row r="8" spans="1:262" s="125" customFormat="1" ht="10.199999999999999" x14ac:dyDescent="0.2">
      <c r="A8" s="634" t="s">
        <v>25</v>
      </c>
      <c r="B8" s="634"/>
      <c r="C8" s="634" t="s">
        <v>7</v>
      </c>
      <c r="D8" s="635" t="str">
        <f>CARAT_!$F$53</f>
        <v>SUB GERENCIA DE SUPERVISION Y LIQUIDACION</v>
      </c>
      <c r="E8" s="634"/>
      <c r="F8" s="631"/>
      <c r="G8" s="631"/>
      <c r="H8" s="631"/>
      <c r="I8" s="631"/>
      <c r="J8" s="631"/>
      <c r="K8" s="631"/>
      <c r="L8" s="631"/>
      <c r="M8" s="631"/>
      <c r="N8" s="631"/>
      <c r="O8" s="631"/>
      <c r="P8" s="631"/>
      <c r="Q8" s="631"/>
      <c r="R8" s="631"/>
      <c r="S8" s="631"/>
      <c r="T8" s="631"/>
    </row>
    <row r="9" spans="1:262" s="125" customFormat="1" ht="10.199999999999999" x14ac:dyDescent="0.2">
      <c r="A9" s="634" t="s">
        <v>3</v>
      </c>
      <c r="B9" s="634"/>
      <c r="C9" s="634" t="s">
        <v>7</v>
      </c>
      <c r="D9" s="635" t="str">
        <f>CARAT_!$F$54</f>
        <v>MES DE DICIEMBRE DE 2022</v>
      </c>
      <c r="E9" s="634"/>
      <c r="F9" s="631"/>
      <c r="G9" s="631"/>
      <c r="H9" s="631"/>
      <c r="I9" s="631"/>
      <c r="J9" s="631"/>
      <c r="K9" s="631"/>
      <c r="L9" s="631"/>
      <c r="M9" s="631"/>
      <c r="N9" s="631"/>
      <c r="O9" s="631"/>
      <c r="P9" s="631"/>
      <c r="Q9" s="631"/>
      <c r="R9" s="631"/>
      <c r="S9" s="631"/>
      <c r="T9" s="631"/>
    </row>
    <row r="10" spans="1:262" ht="9" customHeight="1" x14ac:dyDescent="0.3">
      <c r="A10" s="636"/>
      <c r="B10" s="636"/>
      <c r="C10" s="636"/>
      <c r="D10" s="636"/>
      <c r="E10" s="636"/>
      <c r="F10" s="636"/>
      <c r="G10" s="636"/>
      <c r="H10" s="636"/>
      <c r="I10" s="636"/>
      <c r="J10" s="636"/>
      <c r="K10" s="636"/>
      <c r="L10" s="636"/>
      <c r="M10" s="636"/>
      <c r="N10" s="636"/>
      <c r="O10" s="636"/>
      <c r="P10" s="636"/>
      <c r="Q10" s="637"/>
      <c r="R10" s="637"/>
      <c r="S10" s="637"/>
      <c r="T10" s="637"/>
    </row>
    <row r="11" spans="1:262" ht="11.1" customHeight="1" x14ac:dyDescent="0.3">
      <c r="A11" s="638" t="s">
        <v>603</v>
      </c>
      <c r="B11" s="639"/>
      <c r="C11" s="639"/>
      <c r="D11" s="639"/>
      <c r="E11" s="639"/>
      <c r="F11" s="639"/>
      <c r="G11" s="639"/>
      <c r="H11" s="639"/>
      <c r="I11" s="639"/>
      <c r="J11" s="1413"/>
      <c r="K11" s="1413"/>
      <c r="L11" s="639"/>
      <c r="M11" s="639"/>
      <c r="N11" s="639"/>
      <c r="O11" s="639"/>
      <c r="P11" s="639"/>
      <c r="Q11" s="637"/>
      <c r="R11" s="637"/>
      <c r="S11" s="637"/>
      <c r="T11" s="637"/>
    </row>
    <row r="12" spans="1:262" ht="11.1" customHeight="1" x14ac:dyDescent="0.3">
      <c r="A12" s="638"/>
      <c r="B12" s="639"/>
      <c r="C12" s="639"/>
      <c r="D12" s="639"/>
      <c r="E12" s="639"/>
      <c r="F12" s="639"/>
      <c r="G12" s="639"/>
      <c r="H12" s="639"/>
      <c r="I12" s="639"/>
      <c r="J12" s="639"/>
      <c r="K12" s="639"/>
      <c r="L12" s="639"/>
      <c r="M12" s="639"/>
      <c r="N12" s="639"/>
      <c r="O12" s="639"/>
      <c r="P12" s="639"/>
      <c r="Q12" s="637"/>
      <c r="R12" s="637"/>
      <c r="S12" s="637"/>
      <c r="T12" s="637"/>
    </row>
    <row r="13" spans="1:262" ht="21.75" customHeight="1" x14ac:dyDescent="0.3">
      <c r="A13" s="2070" t="s">
        <v>128</v>
      </c>
      <c r="B13" s="640"/>
      <c r="C13" s="641"/>
      <c r="D13" s="642" t="str">
        <f>+CALEND_!F29</f>
        <v>20 AL 30 ABRIL             2022</v>
      </c>
      <c r="E13" s="642" t="str">
        <f>+CALEND_!G29</f>
        <v>01 AL 31 MAY. 2022</v>
      </c>
      <c r="F13" s="642" t="str">
        <f>+CALEND_!H29</f>
        <v>01 AL 30  JUN. 2022</v>
      </c>
      <c r="G13" s="642" t="str">
        <f>+CALEND_!I29</f>
        <v>01 AL 31 JUL.      2022</v>
      </c>
      <c r="H13" s="642" t="str">
        <f>+CALEND_!J29</f>
        <v>01 AL 31 AGOS. 2022</v>
      </c>
      <c r="I13" s="642" t="str">
        <f>+CALEND_!K29</f>
        <v>01 AL 30 SEPT. 2022</v>
      </c>
      <c r="J13" s="642" t="str">
        <f>+CALEND_!L29</f>
        <v>01 AL 31 OCT. 2022</v>
      </c>
      <c r="K13" s="642" t="str">
        <f>+CALEND_!M29</f>
        <v>01 AL 30 NOV. 2022</v>
      </c>
      <c r="L13" s="642" t="str">
        <f>+CALEND_!N29</f>
        <v>01 AL 31 DIC.   2022</v>
      </c>
      <c r="M13" s="642" t="str">
        <f>+CALEND_!O29</f>
        <v>01 AL 31 ENE.    2023</v>
      </c>
      <c r="N13" s="642" t="str">
        <f>+CALEND_!P29</f>
        <v>01 AL 28 FEB.   2023</v>
      </c>
      <c r="O13" s="642" t="str">
        <f>+CALEND_!Q29</f>
        <v>01 AL 31 MARZ 2023</v>
      </c>
      <c r="P13" s="642" t="str">
        <f>+CALEND_!R29</f>
        <v>01 AL 30 DE ABRIL 2023</v>
      </c>
      <c r="Q13" s="642" t="str">
        <f>+CALEND_!S29</f>
        <v>01 AL 31 DE MAYO 2023</v>
      </c>
      <c r="R13" s="642" t="str">
        <f>+CALEND_!T29</f>
        <v>01 AL 30 DE JUNIO 2023</v>
      </c>
      <c r="S13" s="642" t="str">
        <f>+CALEND_!U29</f>
        <v>01 AL 27 DE JULIO 2023</v>
      </c>
      <c r="T13" s="2062" t="s">
        <v>16</v>
      </c>
    </row>
    <row r="14" spans="1:262" ht="11.1" customHeight="1" x14ac:dyDescent="0.3">
      <c r="A14" s="2071"/>
      <c r="B14" s="643"/>
      <c r="C14" s="644"/>
      <c r="D14" s="645">
        <f>+CALEND_!F31</f>
        <v>11</v>
      </c>
      <c r="E14" s="645">
        <f>+CALEND_!G31</f>
        <v>31</v>
      </c>
      <c r="F14" s="645">
        <f>+CALEND_!H31</f>
        <v>30</v>
      </c>
      <c r="G14" s="645">
        <f>+CALEND_!I31</f>
        <v>31</v>
      </c>
      <c r="H14" s="645">
        <f>+CALEND_!J31</f>
        <v>31</v>
      </c>
      <c r="I14" s="645">
        <f>+CALEND_!K31</f>
        <v>30</v>
      </c>
      <c r="J14" s="645">
        <f>+CALEND_!L31</f>
        <v>31</v>
      </c>
      <c r="K14" s="645">
        <f>+CALEND_!M31</f>
        <v>30</v>
      </c>
      <c r="L14" s="645">
        <f>+CALEND_!N31</f>
        <v>31</v>
      </c>
      <c r="M14" s="645">
        <f>+CALEND_!O31</f>
        <v>31</v>
      </c>
      <c r="N14" s="645">
        <f>+CALEND_!P31</f>
        <v>28</v>
      </c>
      <c r="O14" s="645">
        <f>+CALEND_!Q31</f>
        <v>31</v>
      </c>
      <c r="P14" s="645">
        <f>+CALEND_!R31</f>
        <v>30</v>
      </c>
      <c r="Q14" s="645">
        <f>+CALEND_!S31</f>
        <v>31</v>
      </c>
      <c r="R14" s="645">
        <v>30</v>
      </c>
      <c r="S14" s="645">
        <f>+CALEND_!U31</f>
        <v>27</v>
      </c>
      <c r="T14" s="2063"/>
    </row>
    <row r="15" spans="1:262" ht="11.1" customHeight="1" x14ac:dyDescent="0.3">
      <c r="A15" s="2066" t="str">
        <f>+CALEND_!C33</f>
        <v>PUENTE VEHICULAR CCANCHI</v>
      </c>
      <c r="B15" s="646"/>
      <c r="C15" s="641"/>
      <c r="D15" s="647"/>
      <c r="E15" s="647"/>
      <c r="F15" s="647"/>
      <c r="G15" s="647"/>
      <c r="H15" s="647"/>
      <c r="I15" s="647"/>
      <c r="J15" s="647"/>
      <c r="K15" s="647"/>
      <c r="L15" s="647"/>
      <c r="M15" s="647"/>
      <c r="N15" s="647"/>
      <c r="O15" s="647"/>
      <c r="P15" s="647"/>
      <c r="Q15" s="647"/>
      <c r="R15" s="647"/>
      <c r="S15" s="647"/>
      <c r="T15" s="648"/>
    </row>
    <row r="16" spans="1:262" ht="11.1" customHeight="1" x14ac:dyDescent="0.3">
      <c r="A16" s="2067"/>
      <c r="B16" s="1289" t="s">
        <v>137</v>
      </c>
      <c r="C16" s="1287" t="s">
        <v>105</v>
      </c>
      <c r="D16" s="650">
        <f>+CALEND_!F33</f>
        <v>1994.0265400000001</v>
      </c>
      <c r="E16" s="650">
        <f>+CALEND_!G33</f>
        <v>167932.07678263262</v>
      </c>
      <c r="F16" s="650">
        <f>+CALEND_!H33</f>
        <v>205472.9607050773</v>
      </c>
      <c r="G16" s="650">
        <f>+CALEND_!I33</f>
        <v>803227.70744939614</v>
      </c>
      <c r="H16" s="650">
        <f>+CALEND_!J33</f>
        <v>1841216.7080780719</v>
      </c>
      <c r="I16" s="650">
        <f>+CALEND_!K33</f>
        <v>1969783.1343799999</v>
      </c>
      <c r="J16" s="650">
        <f>+CALEND_!L33</f>
        <v>158708.93328</v>
      </c>
      <c r="K16" s="650">
        <f>+CALEND_!M33</f>
        <v>1668106.96</v>
      </c>
      <c r="L16" s="650">
        <f>+CALEND_!N33</f>
        <v>145063.26999999999</v>
      </c>
      <c r="M16" s="650">
        <f>+CALEND_!O33</f>
        <v>1091208.18</v>
      </c>
      <c r="N16" s="650">
        <f>+CALEND_!P33</f>
        <v>1775182.88</v>
      </c>
      <c r="O16" s="650">
        <f>+CALEND_!Q33</f>
        <v>1671775.26</v>
      </c>
      <c r="P16" s="650">
        <f>+CALEND_!R33</f>
        <v>2059559.98</v>
      </c>
      <c r="Q16" s="650">
        <f>+CALEND_!S33</f>
        <v>1490298.67</v>
      </c>
      <c r="R16" s="650">
        <f>CALEND_!T33</f>
        <v>1417317.76</v>
      </c>
      <c r="S16" s="650">
        <f>CALEND_!U33</f>
        <v>1411423.6</v>
      </c>
      <c r="T16" s="650">
        <f>SUM(D16:S16)</f>
        <v>17878272.107215177</v>
      </c>
    </row>
    <row r="17" spans="1:21" ht="11.1" customHeight="1" x14ac:dyDescent="0.3">
      <c r="A17" s="2067"/>
      <c r="B17" s="1289"/>
      <c r="C17" s="1287" t="s">
        <v>17</v>
      </c>
      <c r="D17" s="651">
        <f t="shared" ref="D17:T17" si="0">+D16/$T$16</f>
        <v>1.1153351554568106E-4</v>
      </c>
      <c r="E17" s="651">
        <f t="shared" si="0"/>
        <v>9.393082048172869E-3</v>
      </c>
      <c r="F17" s="651">
        <f t="shared" si="0"/>
        <v>1.1492886978834721E-2</v>
      </c>
      <c r="G17" s="651">
        <f t="shared" si="0"/>
        <v>4.4927591583374303E-2</v>
      </c>
      <c r="H17" s="651">
        <f t="shared" si="0"/>
        <v>0.10298627837390437</v>
      </c>
      <c r="I17" s="651">
        <f t="shared" si="0"/>
        <v>0.11017748933271072</v>
      </c>
      <c r="J17" s="651">
        <f t="shared" si="0"/>
        <v>8.877196427497569E-3</v>
      </c>
      <c r="K17" s="651">
        <f t="shared" si="0"/>
        <v>9.3303589407099249E-2</v>
      </c>
      <c r="L17" s="651">
        <f t="shared" si="0"/>
        <v>8.1139423949955682E-3</v>
      </c>
      <c r="M17" s="651">
        <f t="shared" si="0"/>
        <v>6.1035438629419812E-2</v>
      </c>
      <c r="N17" s="651">
        <f t="shared" si="0"/>
        <v>9.929275431956229E-2</v>
      </c>
      <c r="O17" s="651">
        <f t="shared" si="0"/>
        <v>9.3508771427934456E-2</v>
      </c>
      <c r="P17" s="651">
        <f t="shared" si="0"/>
        <v>0.11519905098484425</v>
      </c>
      <c r="Q17" s="651">
        <f t="shared" si="0"/>
        <v>8.3358093056350585E-2</v>
      </c>
      <c r="R17" s="651">
        <f t="shared" si="0"/>
        <v>7.9275992193228201E-2</v>
      </c>
      <c r="S17" s="651">
        <f t="shared" si="0"/>
        <v>7.8946309326525382E-2</v>
      </c>
      <c r="T17" s="651">
        <f t="shared" si="0"/>
        <v>1</v>
      </c>
    </row>
    <row r="18" spans="1:21" ht="11.1" customHeight="1" x14ac:dyDescent="0.3">
      <c r="A18" s="2067"/>
      <c r="B18" s="1289" t="s">
        <v>138</v>
      </c>
      <c r="C18" s="1287" t="s">
        <v>105</v>
      </c>
      <c r="D18" s="1290">
        <f>+VAL_RES.!E88</f>
        <v>1994.0229999999997</v>
      </c>
      <c r="E18" s="1290">
        <f>+VAL_RES.!F88</f>
        <v>167932.07759999999</v>
      </c>
      <c r="F18" s="1290">
        <f>+VAL_RES.!G88</f>
        <v>205472.96340000001</v>
      </c>
      <c r="G18" s="1290">
        <f>+VAL_RES.!H88</f>
        <v>803227.71099999989</v>
      </c>
      <c r="H18" s="1290">
        <f>+VAL_RES.!I88</f>
        <v>1841216.7169999997</v>
      </c>
      <c r="I18" s="1290">
        <f>+VAL_RES.!J88</f>
        <v>1969783.1331999998</v>
      </c>
      <c r="J18" s="1290">
        <f>+VAL_RES.!K88</f>
        <v>158708.93799999999</v>
      </c>
      <c r="K18" s="1290">
        <f>+VAL_RES.!L88</f>
        <v>1668106.9645999998</v>
      </c>
      <c r="L18" s="1290">
        <f>+VAL_RES.!M88</f>
        <v>252039.50399999999</v>
      </c>
      <c r="M18" s="1290">
        <f>+VAL_RES.!N88</f>
        <v>0</v>
      </c>
      <c r="N18" s="1290">
        <f>+VAL_RES.!O88</f>
        <v>0</v>
      </c>
      <c r="O18" s="1290">
        <f>+VAL_RES.!P88</f>
        <v>0</v>
      </c>
      <c r="P18" s="1290">
        <f>+VAL_RES.!Q88</f>
        <v>0</v>
      </c>
      <c r="Q18" s="1290">
        <f>+VAL_RES.!R88</f>
        <v>0</v>
      </c>
      <c r="R18" s="1290">
        <f>+VAL_RES.!R88</f>
        <v>0</v>
      </c>
      <c r="S18" s="1290">
        <f>+VAL_RES.!S88</f>
        <v>0</v>
      </c>
      <c r="T18" s="1290">
        <f>SUM(D18:S18)</f>
        <v>7068482.0317999991</v>
      </c>
    </row>
    <row r="19" spans="1:21" ht="11.1" customHeight="1" thickBot="1" x14ac:dyDescent="0.35">
      <c r="A19" s="2068"/>
      <c r="B19" s="1291"/>
      <c r="C19" s="1292" t="s">
        <v>17</v>
      </c>
      <c r="D19" s="1293">
        <f t="shared" ref="D19:T19" si="1">+D18/$T$16</f>
        <v>1.1153331753996892E-4</v>
      </c>
      <c r="E19" s="1293">
        <f t="shared" si="1"/>
        <v>9.3930820938913466E-3</v>
      </c>
      <c r="F19" s="1293">
        <f t="shared" si="1"/>
        <v>1.1492887129572034E-2</v>
      </c>
      <c r="G19" s="1293">
        <f t="shared" si="1"/>
        <v>4.4927591781973121E-2</v>
      </c>
      <c r="H19" s="1293">
        <f t="shared" si="1"/>
        <v>0.10298627887294183</v>
      </c>
      <c r="I19" s="1293">
        <f t="shared" si="1"/>
        <v>0.11017748926670881</v>
      </c>
      <c r="J19" s="1293">
        <f t="shared" si="1"/>
        <v>8.8771966915051851E-3</v>
      </c>
      <c r="K19" s="1293">
        <f t="shared" si="1"/>
        <v>9.3303589664394795E-2</v>
      </c>
      <c r="L19" s="1293">
        <f t="shared" si="1"/>
        <v>1.4097531488978949E-2</v>
      </c>
      <c r="M19" s="1293">
        <f t="shared" si="1"/>
        <v>0</v>
      </c>
      <c r="N19" s="1293">
        <f t="shared" si="1"/>
        <v>0</v>
      </c>
      <c r="O19" s="1293">
        <f t="shared" si="1"/>
        <v>0</v>
      </c>
      <c r="P19" s="1293">
        <f t="shared" si="1"/>
        <v>0</v>
      </c>
      <c r="Q19" s="1293">
        <f t="shared" si="1"/>
        <v>0</v>
      </c>
      <c r="R19" s="1293">
        <f t="shared" si="1"/>
        <v>0</v>
      </c>
      <c r="S19" s="1293">
        <f t="shared" si="1"/>
        <v>0</v>
      </c>
      <c r="T19" s="1294">
        <f t="shared" si="1"/>
        <v>0.39536718030750606</v>
      </c>
    </row>
    <row r="20" spans="1:21" ht="11.1" customHeight="1" x14ac:dyDescent="0.3">
      <c r="A20" s="1286"/>
      <c r="B20" s="659" t="s">
        <v>137</v>
      </c>
      <c r="C20" s="1287" t="s">
        <v>105</v>
      </c>
      <c r="D20" s="1288">
        <f>+D16</f>
        <v>1994.0265400000001</v>
      </c>
      <c r="E20" s="1288">
        <f t="shared" ref="E20:P20" si="2">+E16</f>
        <v>167932.07678263262</v>
      </c>
      <c r="F20" s="1288">
        <f t="shared" si="2"/>
        <v>205472.9607050773</v>
      </c>
      <c r="G20" s="1288">
        <f t="shared" si="2"/>
        <v>803227.70744939614</v>
      </c>
      <c r="H20" s="1288">
        <f t="shared" si="2"/>
        <v>1841216.7080780719</v>
      </c>
      <c r="I20" s="1288">
        <f t="shared" si="2"/>
        <v>1969783.1343799999</v>
      </c>
      <c r="J20" s="1288">
        <f t="shared" si="2"/>
        <v>158708.93328</v>
      </c>
      <c r="K20" s="1288">
        <f t="shared" si="2"/>
        <v>1668106.96</v>
      </c>
      <c r="L20" s="1288">
        <f t="shared" si="2"/>
        <v>145063.26999999999</v>
      </c>
      <c r="M20" s="1288">
        <f t="shared" si="2"/>
        <v>1091208.18</v>
      </c>
      <c r="N20" s="1288">
        <f t="shared" si="2"/>
        <v>1775182.88</v>
      </c>
      <c r="O20" s="1288">
        <f t="shared" si="2"/>
        <v>1671775.26</v>
      </c>
      <c r="P20" s="1288">
        <f t="shared" si="2"/>
        <v>2059559.98</v>
      </c>
      <c r="Q20" s="1288">
        <f t="shared" ref="Q20:S20" si="3">+Q16</f>
        <v>1490298.67</v>
      </c>
      <c r="R20" s="1288">
        <f t="shared" ref="R20" si="4">+R16</f>
        <v>1417317.76</v>
      </c>
      <c r="S20" s="1288">
        <f t="shared" si="3"/>
        <v>1411423.6</v>
      </c>
      <c r="T20" s="1288">
        <f>SUM(D20:S20)</f>
        <v>17878272.107215177</v>
      </c>
      <c r="U20" s="123"/>
    </row>
    <row r="21" spans="1:21" ht="11.1" customHeight="1" x14ac:dyDescent="0.3">
      <c r="A21" s="658"/>
      <c r="B21" s="659"/>
      <c r="C21" s="649" t="s">
        <v>17</v>
      </c>
      <c r="D21" s="655">
        <f t="shared" ref="D21:T21" si="5">+D20/$T$28</f>
        <v>1.1153351554568106E-4</v>
      </c>
      <c r="E21" s="655">
        <f t="shared" si="5"/>
        <v>9.393082048172869E-3</v>
      </c>
      <c r="F21" s="655">
        <f t="shared" si="5"/>
        <v>1.1492886978834721E-2</v>
      </c>
      <c r="G21" s="655">
        <f t="shared" si="5"/>
        <v>4.4927591583374303E-2</v>
      </c>
      <c r="H21" s="655">
        <f t="shared" si="5"/>
        <v>0.10298627837390437</v>
      </c>
      <c r="I21" s="655">
        <f t="shared" si="5"/>
        <v>0.11017748933271072</v>
      </c>
      <c r="J21" s="655">
        <f t="shared" si="5"/>
        <v>8.877196427497569E-3</v>
      </c>
      <c r="K21" s="655">
        <f t="shared" si="5"/>
        <v>9.3303589407099249E-2</v>
      </c>
      <c r="L21" s="655">
        <f t="shared" si="5"/>
        <v>8.1139423949955682E-3</v>
      </c>
      <c r="M21" s="655">
        <f t="shared" si="5"/>
        <v>6.1035438629419812E-2</v>
      </c>
      <c r="N21" s="655">
        <f t="shared" si="5"/>
        <v>9.929275431956229E-2</v>
      </c>
      <c r="O21" s="655">
        <f t="shared" si="5"/>
        <v>9.3508771427934456E-2</v>
      </c>
      <c r="P21" s="655">
        <f t="shared" si="5"/>
        <v>0.11519905098484425</v>
      </c>
      <c r="Q21" s="655">
        <f t="shared" si="5"/>
        <v>8.3358093056350585E-2</v>
      </c>
      <c r="R21" s="655">
        <f t="shared" si="5"/>
        <v>7.9275992193228201E-2</v>
      </c>
      <c r="S21" s="655">
        <f t="shared" si="5"/>
        <v>7.8946309326525382E-2</v>
      </c>
      <c r="T21" s="655">
        <f t="shared" si="5"/>
        <v>1</v>
      </c>
    </row>
    <row r="22" spans="1:21" ht="11.1" customHeight="1" x14ac:dyDescent="0.3">
      <c r="A22" s="658"/>
      <c r="B22" s="659" t="s">
        <v>138</v>
      </c>
      <c r="C22" s="649" t="s">
        <v>105</v>
      </c>
      <c r="D22" s="652">
        <f>+D18</f>
        <v>1994.0229999999997</v>
      </c>
      <c r="E22" s="652">
        <f t="shared" ref="E22:P22" si="6">+E18</f>
        <v>167932.07759999999</v>
      </c>
      <c r="F22" s="652">
        <f t="shared" si="6"/>
        <v>205472.96340000001</v>
      </c>
      <c r="G22" s="652">
        <f t="shared" si="6"/>
        <v>803227.71099999989</v>
      </c>
      <c r="H22" s="652">
        <f t="shared" si="6"/>
        <v>1841216.7169999997</v>
      </c>
      <c r="I22" s="652">
        <f t="shared" si="6"/>
        <v>1969783.1331999998</v>
      </c>
      <c r="J22" s="652">
        <f t="shared" si="6"/>
        <v>158708.93799999999</v>
      </c>
      <c r="K22" s="652">
        <f t="shared" si="6"/>
        <v>1668106.9645999998</v>
      </c>
      <c r="L22" s="652">
        <f t="shared" si="6"/>
        <v>252039.50399999999</v>
      </c>
      <c r="M22" s="652">
        <f t="shared" si="6"/>
        <v>0</v>
      </c>
      <c r="N22" s="652">
        <f t="shared" si="6"/>
        <v>0</v>
      </c>
      <c r="O22" s="652">
        <f t="shared" si="6"/>
        <v>0</v>
      </c>
      <c r="P22" s="652">
        <f t="shared" si="6"/>
        <v>0</v>
      </c>
      <c r="Q22" s="652">
        <f t="shared" ref="Q22:S22" si="7">+Q18</f>
        <v>0</v>
      </c>
      <c r="R22" s="652">
        <f t="shared" ref="R22" si="8">+R18</f>
        <v>0</v>
      </c>
      <c r="S22" s="652">
        <f t="shared" si="7"/>
        <v>0</v>
      </c>
      <c r="T22" s="652"/>
    </row>
    <row r="23" spans="1:21" ht="11.1" customHeight="1" x14ac:dyDescent="0.3">
      <c r="A23" s="658" t="s">
        <v>1390</v>
      </c>
      <c r="B23" s="660"/>
      <c r="C23" s="656" t="s">
        <v>17</v>
      </c>
      <c r="D23" s="655">
        <f t="shared" ref="D23:S23" si="9">+D22/$T$28</f>
        <v>1.1153331753996892E-4</v>
      </c>
      <c r="E23" s="655">
        <f t="shared" si="9"/>
        <v>9.3930820938913466E-3</v>
      </c>
      <c r="F23" s="655">
        <f t="shared" si="9"/>
        <v>1.1492887129572034E-2</v>
      </c>
      <c r="G23" s="655">
        <f t="shared" si="9"/>
        <v>4.4927591781973121E-2</v>
      </c>
      <c r="H23" s="655">
        <f t="shared" si="9"/>
        <v>0.10298627887294183</v>
      </c>
      <c r="I23" s="655">
        <f t="shared" si="9"/>
        <v>0.11017748926670881</v>
      </c>
      <c r="J23" s="655">
        <f t="shared" si="9"/>
        <v>8.8771966915051851E-3</v>
      </c>
      <c r="K23" s="655">
        <f t="shared" si="9"/>
        <v>9.3303589664394795E-2</v>
      </c>
      <c r="L23" s="655">
        <f t="shared" si="9"/>
        <v>1.4097531488978949E-2</v>
      </c>
      <c r="M23" s="655">
        <f t="shared" si="9"/>
        <v>0</v>
      </c>
      <c r="N23" s="655">
        <f t="shared" si="9"/>
        <v>0</v>
      </c>
      <c r="O23" s="655">
        <f t="shared" si="9"/>
        <v>0</v>
      </c>
      <c r="P23" s="655">
        <f t="shared" si="9"/>
        <v>0</v>
      </c>
      <c r="Q23" s="655">
        <f t="shared" si="9"/>
        <v>0</v>
      </c>
      <c r="R23" s="655">
        <f t="shared" si="9"/>
        <v>0</v>
      </c>
      <c r="S23" s="655">
        <f t="shared" si="9"/>
        <v>0</v>
      </c>
      <c r="T23" s="655"/>
    </row>
    <row r="24" spans="1:21" ht="11.1" customHeight="1" x14ac:dyDescent="0.3">
      <c r="A24" s="658" t="s">
        <v>139</v>
      </c>
      <c r="B24" s="657" t="s">
        <v>140</v>
      </c>
      <c r="C24" s="649" t="s">
        <v>105</v>
      </c>
      <c r="D24" s="650">
        <f>+D20</f>
        <v>1994.0265400000001</v>
      </c>
      <c r="E24" s="650">
        <f>+D20+E20</f>
        <v>169926.10332263261</v>
      </c>
      <c r="F24" s="650">
        <f>+D20+E20+F20</f>
        <v>375399.06402770989</v>
      </c>
      <c r="G24" s="650">
        <f>+D20+E20+F20+G20</f>
        <v>1178626.771477106</v>
      </c>
      <c r="H24" s="650">
        <f>+D20+E20+F20+G20+H20</f>
        <v>3019843.479555178</v>
      </c>
      <c r="I24" s="650">
        <f>D20+E20+F20+G20+H20+I20</f>
        <v>4989626.6139351781</v>
      </c>
      <c r="J24" s="650">
        <f>+D20+E20+F20+G20+H20+I20+J20</f>
        <v>5148335.5472151786</v>
      </c>
      <c r="K24" s="650">
        <f>+E20+F20+G20+H20+I20+J20+K20+D20</f>
        <v>6816442.5072151786</v>
      </c>
      <c r="L24" s="650">
        <f>+F20+G20+H20+I20+J20+K20+L20+E20+D20</f>
        <v>6961505.7772151781</v>
      </c>
      <c r="M24" s="650">
        <f>+G20+H20+I20+J20+K20+L20+M20+F20+E20+D20</f>
        <v>8052713.9572151778</v>
      </c>
      <c r="N24" s="650">
        <f>+H20+I20+J20+K20+L20+M20+N20+G20+F20+E20+D20</f>
        <v>9827896.8372151759</v>
      </c>
      <c r="O24" s="650">
        <f>+I20+J20+K20+L20+M20+N20+O20+H20+G20+F20+E20+D20</f>
        <v>11499672.097215177</v>
      </c>
      <c r="P24" s="650">
        <f>+J20+K20+L20+M20+N20+O20+P20+I20+H20+G20+F20+E20+D20</f>
        <v>13559232.077215178</v>
      </c>
      <c r="Q24" s="650">
        <f>+K20+L20+M20+N20+O20+P20+Q20+J20+I20+H20+G20+F20+E20+D20</f>
        <v>15049530.747215176</v>
      </c>
      <c r="R24" s="650">
        <f>SUM(C20:R20)</f>
        <v>16466848.507215178</v>
      </c>
      <c r="S24" s="650">
        <f>SUM(D20:S20)</f>
        <v>17878272.107215177</v>
      </c>
      <c r="T24" s="661"/>
    </row>
    <row r="25" spans="1:21" ht="11.1" customHeight="1" x14ac:dyDescent="0.3">
      <c r="A25" s="658"/>
      <c r="B25" s="659"/>
      <c r="C25" s="649" t="s">
        <v>17</v>
      </c>
      <c r="D25" s="662">
        <f t="shared" ref="D25:S25" si="10">+D24/$T$28</f>
        <v>1.1153351554568106E-4</v>
      </c>
      <c r="E25" s="662">
        <f t="shared" si="10"/>
        <v>9.5046155637185503E-3</v>
      </c>
      <c r="F25" s="662">
        <f t="shared" si="10"/>
        <v>2.0997502542553271E-2</v>
      </c>
      <c r="G25" s="662">
        <f t="shared" si="10"/>
        <v>6.5925094125927577E-2</v>
      </c>
      <c r="H25" s="662">
        <f t="shared" si="10"/>
        <v>0.16891137249983193</v>
      </c>
      <c r="I25" s="662">
        <f t="shared" si="10"/>
        <v>0.27908886183254267</v>
      </c>
      <c r="J25" s="662">
        <f t="shared" si="10"/>
        <v>0.28796605826004029</v>
      </c>
      <c r="K25" s="662">
        <f t="shared" si="10"/>
        <v>0.3812696476671395</v>
      </c>
      <c r="L25" s="662">
        <f>+L24/$T$28</f>
        <v>0.38938359006213508</v>
      </c>
      <c r="M25" s="662">
        <f t="shared" si="10"/>
        <v>0.45041902869155487</v>
      </c>
      <c r="N25" s="662">
        <f t="shared" si="10"/>
        <v>0.54971178301111701</v>
      </c>
      <c r="O25" s="662">
        <f t="shared" si="10"/>
        <v>0.64322055443905157</v>
      </c>
      <c r="P25" s="662">
        <f t="shared" si="10"/>
        <v>0.75841960542389586</v>
      </c>
      <c r="Q25" s="662">
        <f t="shared" si="10"/>
        <v>0.84177769848024631</v>
      </c>
      <c r="R25" s="662">
        <f t="shared" si="10"/>
        <v>0.92105369067347465</v>
      </c>
      <c r="S25" s="662">
        <f t="shared" si="10"/>
        <v>1</v>
      </c>
      <c r="T25" s="651"/>
    </row>
    <row r="26" spans="1:21" ht="11.1" customHeight="1" x14ac:dyDescent="0.3">
      <c r="A26" s="658"/>
      <c r="B26" s="659" t="s">
        <v>141</v>
      </c>
      <c r="C26" s="649" t="s">
        <v>105</v>
      </c>
      <c r="D26" s="652">
        <f>+D22</f>
        <v>1994.0229999999997</v>
      </c>
      <c r="E26" s="652">
        <f>+D22+E22</f>
        <v>169926.10059999998</v>
      </c>
      <c r="F26" s="652">
        <f>SUM(D22:F22)</f>
        <v>375399.06400000001</v>
      </c>
      <c r="G26" s="652">
        <f>SUM(D22:G22)</f>
        <v>1178626.7749999999</v>
      </c>
      <c r="H26" s="652">
        <f>SUM(D22:H22)</f>
        <v>3019843.4919999996</v>
      </c>
      <c r="I26" s="652">
        <f>SUM(D22:I22)-0.01</f>
        <v>4989626.6151999999</v>
      </c>
      <c r="J26" s="652">
        <f>SUM(D22:J22)</f>
        <v>5148335.5631999997</v>
      </c>
      <c r="K26" s="652">
        <f>SUM(D22:K22)</f>
        <v>6816442.5277999993</v>
      </c>
      <c r="L26" s="652">
        <f>SUM(D22:L22)</f>
        <v>7068482.0317999991</v>
      </c>
      <c r="M26" s="652"/>
      <c r="N26" s="652"/>
      <c r="O26" s="652"/>
      <c r="P26" s="652"/>
      <c r="Q26" s="652"/>
      <c r="R26" s="1290"/>
      <c r="S26" s="652"/>
      <c r="T26" s="663"/>
    </row>
    <row r="27" spans="1:21" ht="11.1" customHeight="1" x14ac:dyDescent="0.3">
      <c r="A27" s="653"/>
      <c r="B27" s="660"/>
      <c r="C27" s="654" t="s">
        <v>17</v>
      </c>
      <c r="D27" s="664">
        <f t="shared" ref="D27:K27" si="11">+D26/$T$28</f>
        <v>1.1153331753996892E-4</v>
      </c>
      <c r="E27" s="664">
        <f t="shared" si="11"/>
        <v>9.5046154114313153E-3</v>
      </c>
      <c r="F27" s="664">
        <f t="shared" si="11"/>
        <v>2.0997502541003351E-2</v>
      </c>
      <c r="G27" s="664">
        <f t="shared" si="11"/>
        <v>6.5925094322976469E-2</v>
      </c>
      <c r="H27" s="664">
        <f t="shared" si="11"/>
        <v>0.16891137319591831</v>
      </c>
      <c r="I27" s="664">
        <f t="shared" si="11"/>
        <v>0.27908886190328897</v>
      </c>
      <c r="J27" s="664">
        <f t="shared" si="11"/>
        <v>0.28796605915413231</v>
      </c>
      <c r="K27" s="664">
        <f t="shared" si="11"/>
        <v>0.3812696488185271</v>
      </c>
      <c r="L27" s="664">
        <f>+L26/$T$28</f>
        <v>0.39536718030750606</v>
      </c>
      <c r="M27" s="664"/>
      <c r="N27" s="664"/>
      <c r="O27" s="664"/>
      <c r="P27" s="664"/>
      <c r="Q27" s="664"/>
      <c r="R27" s="1800"/>
      <c r="S27" s="664"/>
      <c r="T27" s="665"/>
    </row>
    <row r="28" spans="1:21" ht="11.85" customHeight="1" x14ac:dyDescent="0.3">
      <c r="A28" s="127"/>
      <c r="B28" s="128"/>
      <c r="C28" s="127"/>
      <c r="D28" s="127"/>
      <c r="E28" s="127"/>
      <c r="F28" s="127"/>
      <c r="G28" s="127"/>
      <c r="H28" s="127"/>
      <c r="I28" s="127"/>
      <c r="J28" s="127"/>
      <c r="K28" s="127"/>
      <c r="L28" s="127"/>
      <c r="M28" s="127"/>
      <c r="N28" s="127"/>
      <c r="O28" s="127"/>
      <c r="P28" s="127"/>
      <c r="S28" s="1095"/>
      <c r="T28" s="1095">
        <f>+T16</f>
        <v>17878272.107215177</v>
      </c>
    </row>
    <row r="29" spans="1:21" ht="11.85" customHeight="1" x14ac:dyDescent="0.3">
      <c r="A29" s="127"/>
      <c r="B29" s="128"/>
      <c r="C29" s="127"/>
      <c r="D29" s="123"/>
      <c r="E29" s="123"/>
      <c r="F29" s="123"/>
      <c r="G29" s="123"/>
      <c r="H29" s="123"/>
      <c r="I29" s="123"/>
      <c r="J29" s="123"/>
      <c r="K29" s="123"/>
      <c r="L29" s="123"/>
      <c r="M29" s="123"/>
      <c r="N29" s="123"/>
      <c r="O29" s="123"/>
      <c r="P29" s="123"/>
    </row>
    <row r="30" spans="1:21" ht="12" customHeight="1" x14ac:dyDescent="0.3">
      <c r="A30" s="664">
        <f>(D25+E25)/2</f>
        <v>4.8080745396321158E-3</v>
      </c>
      <c r="B30" s="128"/>
      <c r="C30" s="127"/>
      <c r="D30" s="184">
        <f>+D27/D25</f>
        <v>0.99999822469765098</v>
      </c>
      <c r="E30" s="184">
        <f t="shared" ref="E30:P30" si="12">+E27/E25</f>
        <v>0.99999998397754919</v>
      </c>
      <c r="F30" s="184">
        <f t="shared" si="12"/>
        <v>0.99999999992618549</v>
      </c>
      <c r="G30" s="184">
        <f t="shared" si="12"/>
        <v>1.0000000029889815</v>
      </c>
      <c r="H30" s="184">
        <f t="shared" si="12"/>
        <v>1.0000000041210155</v>
      </c>
      <c r="I30" s="184">
        <f t="shared" si="12"/>
        <v>1.0000000002534901</v>
      </c>
      <c r="J30" s="184">
        <f t="shared" si="12"/>
        <v>1.0000000031048522</v>
      </c>
      <c r="K30" s="184">
        <f t="shared" si="12"/>
        <v>1.0000000030198775</v>
      </c>
      <c r="L30" s="184">
        <f t="shared" si="12"/>
        <v>1.0153668269492717</v>
      </c>
      <c r="M30" s="703">
        <f t="shared" si="12"/>
        <v>0</v>
      </c>
      <c r="N30" s="184">
        <f t="shared" si="12"/>
        <v>0</v>
      </c>
      <c r="O30" s="184">
        <f t="shared" si="12"/>
        <v>0</v>
      </c>
      <c r="P30" s="184">
        <f t="shared" si="12"/>
        <v>0</v>
      </c>
    </row>
    <row r="31" spans="1:21" x14ac:dyDescent="0.3">
      <c r="A31" s="127"/>
      <c r="B31" s="128"/>
      <c r="C31" s="127"/>
      <c r="D31" s="128"/>
      <c r="E31" s="128"/>
      <c r="F31" s="128"/>
      <c r="G31" s="150"/>
      <c r="H31" s="151"/>
      <c r="I31" s="128"/>
      <c r="J31" s="128"/>
      <c r="K31" s="128"/>
      <c r="L31" s="128"/>
      <c r="M31" s="128"/>
      <c r="N31" s="128"/>
      <c r="O31" s="128"/>
      <c r="P31" s="128"/>
    </row>
    <row r="32" spans="1:21" x14ac:dyDescent="0.3">
      <c r="A32" s="127"/>
      <c r="B32" s="128"/>
      <c r="C32" s="127"/>
      <c r="D32" s="184">
        <f>+D25*0.8</f>
        <v>8.9226812436544854E-5</v>
      </c>
      <c r="E32" s="222"/>
      <c r="F32" s="666">
        <f>+F27-F25</f>
        <v>-1.5499199146340459E-12</v>
      </c>
      <c r="G32" s="128"/>
      <c r="H32" s="128"/>
      <c r="I32" s="126"/>
      <c r="J32" s="184"/>
      <c r="K32" s="348">
        <f>+K25-K27</f>
        <v>-1.1513875963764519E-9</v>
      </c>
      <c r="L32" s="348">
        <f>+L25-L27</f>
        <v>-5.9835902453709844E-3</v>
      </c>
      <c r="M32" s="348">
        <f>+M25-M27</f>
        <v>0.45041902869155487</v>
      </c>
      <c r="N32" s="348">
        <f>+N25-N27</f>
        <v>0.54971178301111701</v>
      </c>
      <c r="O32" s="348">
        <f>+O25-O27</f>
        <v>0.64322055443905157</v>
      </c>
      <c r="P32" s="348"/>
    </row>
    <row r="33" spans="1:19" x14ac:dyDescent="0.3">
      <c r="A33" s="128"/>
      <c r="B33" s="128"/>
      <c r="C33" s="128"/>
      <c r="D33" s="128"/>
      <c r="E33" s="159">
        <f>E25+D27</f>
        <v>9.616148881258519E-3</v>
      </c>
      <c r="F33" s="128"/>
      <c r="G33" s="128"/>
      <c r="H33" s="128"/>
      <c r="I33" s="128"/>
      <c r="J33" s="128"/>
      <c r="K33" s="348">
        <f>+K27/K25</f>
        <v>1.0000000030198775</v>
      </c>
      <c r="L33" s="128"/>
      <c r="M33" s="128"/>
      <c r="N33" s="128"/>
      <c r="O33" s="128"/>
      <c r="P33" s="128"/>
    </row>
    <row r="34" spans="1:19" x14ac:dyDescent="0.3">
      <c r="A34" s="128"/>
      <c r="B34" s="128"/>
      <c r="C34" s="128"/>
      <c r="D34" s="128"/>
      <c r="E34" s="128"/>
      <c r="F34" s="128"/>
      <c r="G34" s="152"/>
      <c r="H34" s="128"/>
      <c r="I34" s="128"/>
      <c r="J34" s="128"/>
      <c r="K34" s="128"/>
      <c r="L34" s="128"/>
      <c r="M34" s="650"/>
      <c r="N34" s="128"/>
      <c r="O34" s="128"/>
      <c r="P34" s="128"/>
    </row>
    <row r="35" spans="1:19" x14ac:dyDescent="0.3">
      <c r="A35" s="128"/>
      <c r="B35" s="128"/>
      <c r="C35" s="128"/>
      <c r="D35" s="128"/>
      <c r="E35" s="128"/>
      <c r="F35" s="128"/>
      <c r="G35" s="128"/>
      <c r="H35" s="128"/>
      <c r="I35" s="128"/>
      <c r="J35" s="128"/>
      <c r="K35" s="128"/>
      <c r="L35" s="128"/>
      <c r="M35" s="128"/>
      <c r="N35" s="128"/>
      <c r="O35" s="128"/>
      <c r="P35" s="128"/>
    </row>
    <row r="36" spans="1:19" x14ac:dyDescent="0.3">
      <c r="A36" s="130"/>
      <c r="B36" s="129"/>
      <c r="C36" s="129"/>
      <c r="D36" s="129"/>
      <c r="E36" s="151"/>
      <c r="F36" s="129"/>
      <c r="G36" s="129"/>
      <c r="H36" s="129"/>
      <c r="I36" s="129"/>
      <c r="J36" s="129"/>
      <c r="K36" s="129"/>
      <c r="L36" s="129"/>
      <c r="M36" s="129"/>
      <c r="N36" s="129"/>
      <c r="O36" s="129"/>
      <c r="P36" s="129"/>
    </row>
    <row r="37" spans="1:19" x14ac:dyDescent="0.3">
      <c r="A37" s="126" t="str">
        <f t="shared" ref="A37:B40" si="13">+B24</f>
        <v>Prog. Acum.</v>
      </c>
      <c r="B37" s="126" t="str">
        <f t="shared" si="13"/>
        <v>S/.</v>
      </c>
      <c r="C37" s="222">
        <v>0</v>
      </c>
      <c r="D37" s="222">
        <f t="shared" ref="D37:S37" si="14">+D24</f>
        <v>1994.0265400000001</v>
      </c>
      <c r="E37" s="222">
        <f t="shared" si="14"/>
        <v>169926.10332263261</v>
      </c>
      <c r="F37" s="222">
        <f t="shared" si="14"/>
        <v>375399.06402770989</v>
      </c>
      <c r="G37" s="222">
        <f t="shared" si="14"/>
        <v>1178626.771477106</v>
      </c>
      <c r="H37" s="222">
        <f t="shared" si="14"/>
        <v>3019843.479555178</v>
      </c>
      <c r="I37" s="222">
        <f t="shared" si="14"/>
        <v>4989626.6139351781</v>
      </c>
      <c r="J37" s="222">
        <f t="shared" si="14"/>
        <v>5148335.5472151786</v>
      </c>
      <c r="K37" s="222">
        <f t="shared" si="14"/>
        <v>6816442.5072151786</v>
      </c>
      <c r="L37" s="222">
        <f t="shared" si="14"/>
        <v>6961505.7772151781</v>
      </c>
      <c r="M37" s="222">
        <f t="shared" si="14"/>
        <v>8052713.9572151778</v>
      </c>
      <c r="N37" s="222">
        <f t="shared" si="14"/>
        <v>9827896.8372151759</v>
      </c>
      <c r="O37" s="222">
        <f t="shared" si="14"/>
        <v>11499672.097215177</v>
      </c>
      <c r="P37" s="222">
        <f t="shared" si="14"/>
        <v>13559232.077215178</v>
      </c>
      <c r="Q37" s="222">
        <f t="shared" si="14"/>
        <v>15049530.747215176</v>
      </c>
      <c r="R37" s="222">
        <f t="shared" ref="R37" si="15">+R24</f>
        <v>16466848.507215178</v>
      </c>
      <c r="S37" s="222">
        <f t="shared" si="14"/>
        <v>17878272.107215177</v>
      </c>
    </row>
    <row r="38" spans="1:19" x14ac:dyDescent="0.3">
      <c r="A38" s="126">
        <f t="shared" si="13"/>
        <v>0</v>
      </c>
      <c r="B38" s="126" t="str">
        <f t="shared" si="13"/>
        <v>%</v>
      </c>
      <c r="C38" s="223">
        <v>0</v>
      </c>
      <c r="D38" s="223">
        <f>+D25</f>
        <v>1.1153351554568106E-4</v>
      </c>
      <c r="E38" s="223">
        <f t="shared" ref="E38:S38" si="16">+E25</f>
        <v>9.5046155637185503E-3</v>
      </c>
      <c r="F38" s="223">
        <f t="shared" si="16"/>
        <v>2.0997502542553271E-2</v>
      </c>
      <c r="G38" s="223">
        <f t="shared" si="16"/>
        <v>6.5925094125927577E-2</v>
      </c>
      <c r="H38" s="223">
        <f t="shared" si="16"/>
        <v>0.16891137249983193</v>
      </c>
      <c r="I38" s="223">
        <f t="shared" si="16"/>
        <v>0.27908886183254267</v>
      </c>
      <c r="J38" s="223">
        <f t="shared" si="16"/>
        <v>0.28796605826004029</v>
      </c>
      <c r="K38" s="223">
        <f t="shared" si="16"/>
        <v>0.3812696476671395</v>
      </c>
      <c r="L38" s="223">
        <f t="shared" si="16"/>
        <v>0.38938359006213508</v>
      </c>
      <c r="M38" s="223">
        <f t="shared" si="16"/>
        <v>0.45041902869155487</v>
      </c>
      <c r="N38" s="223">
        <f t="shared" si="16"/>
        <v>0.54971178301111701</v>
      </c>
      <c r="O38" s="223">
        <f t="shared" si="16"/>
        <v>0.64322055443905157</v>
      </c>
      <c r="P38" s="223">
        <f t="shared" si="16"/>
        <v>0.75841960542389586</v>
      </c>
      <c r="Q38" s="223">
        <f t="shared" si="16"/>
        <v>0.84177769848024631</v>
      </c>
      <c r="R38" s="223">
        <f t="shared" ref="R38" si="17">+R25</f>
        <v>0.92105369067347465</v>
      </c>
      <c r="S38" s="223">
        <f t="shared" si="16"/>
        <v>1</v>
      </c>
    </row>
    <row r="39" spans="1:19" x14ac:dyDescent="0.3">
      <c r="A39" s="126" t="str">
        <f t="shared" si="13"/>
        <v>Ejec. Acum.</v>
      </c>
      <c r="B39" s="126" t="str">
        <f t="shared" si="13"/>
        <v>S/.</v>
      </c>
      <c r="C39" s="222">
        <v>0</v>
      </c>
      <c r="D39" s="222">
        <f>+D26</f>
        <v>1994.0229999999997</v>
      </c>
      <c r="E39" s="222">
        <f t="shared" ref="E39:J39" si="18">E26</f>
        <v>169926.10059999998</v>
      </c>
      <c r="F39" s="974">
        <f t="shared" si="18"/>
        <v>375399.06400000001</v>
      </c>
      <c r="G39" s="222">
        <f t="shared" si="18"/>
        <v>1178626.7749999999</v>
      </c>
      <c r="H39" s="222">
        <f t="shared" si="18"/>
        <v>3019843.4919999996</v>
      </c>
      <c r="I39" s="222">
        <f t="shared" si="18"/>
        <v>4989626.6151999999</v>
      </c>
      <c r="J39" s="222">
        <f t="shared" si="18"/>
        <v>5148335.5631999997</v>
      </c>
      <c r="K39" s="222">
        <f t="shared" ref="K39:O40" si="19">K26</f>
        <v>6816442.5277999993</v>
      </c>
      <c r="L39" s="222">
        <f t="shared" si="19"/>
        <v>7068482.0317999991</v>
      </c>
      <c r="M39" s="222">
        <f t="shared" si="19"/>
        <v>0</v>
      </c>
      <c r="N39" s="222">
        <f t="shared" si="19"/>
        <v>0</v>
      </c>
      <c r="O39" s="222">
        <f>O26</f>
        <v>0</v>
      </c>
      <c r="P39" s="222">
        <f>P26</f>
        <v>0</v>
      </c>
      <c r="Q39" s="222">
        <f t="shared" ref="Q39:S39" si="20">Q26</f>
        <v>0</v>
      </c>
      <c r="R39" s="222">
        <f t="shared" ref="R39" si="21">R26</f>
        <v>0</v>
      </c>
      <c r="S39" s="222">
        <f t="shared" si="20"/>
        <v>0</v>
      </c>
    </row>
    <row r="40" spans="1:19" x14ac:dyDescent="0.3">
      <c r="A40" s="126">
        <f t="shared" si="13"/>
        <v>0</v>
      </c>
      <c r="B40" s="126" t="str">
        <f t="shared" si="13"/>
        <v>%</v>
      </c>
      <c r="C40" s="223">
        <v>0</v>
      </c>
      <c r="D40" s="223">
        <f>+D27</f>
        <v>1.1153331753996892E-4</v>
      </c>
      <c r="E40" s="223">
        <f>+E27</f>
        <v>9.5046154114313153E-3</v>
      </c>
      <c r="F40" s="223">
        <f>+F27</f>
        <v>2.0997502541003351E-2</v>
      </c>
      <c r="G40" s="223">
        <f>+G27</f>
        <v>6.5925094322976469E-2</v>
      </c>
      <c r="H40" s="223">
        <f>+H27</f>
        <v>0.16891137319591831</v>
      </c>
      <c r="I40" s="223">
        <f>+I27</f>
        <v>0.27908886190328897</v>
      </c>
      <c r="J40" s="223">
        <f>J27</f>
        <v>0.28796605915413231</v>
      </c>
      <c r="K40" s="223">
        <f t="shared" si="19"/>
        <v>0.3812696488185271</v>
      </c>
      <c r="L40" s="223">
        <f t="shared" si="19"/>
        <v>0.39536718030750606</v>
      </c>
      <c r="M40" s="223">
        <f t="shared" si="19"/>
        <v>0</v>
      </c>
      <c r="N40" s="223">
        <f t="shared" si="19"/>
        <v>0</v>
      </c>
      <c r="O40" s="223">
        <f t="shared" si="19"/>
        <v>0</v>
      </c>
      <c r="P40" s="223">
        <f>P27</f>
        <v>0</v>
      </c>
      <c r="Q40" s="223">
        <f t="shared" ref="Q40:S40" si="22">Q27</f>
        <v>0</v>
      </c>
      <c r="R40" s="223">
        <f t="shared" ref="R40" si="23">R27</f>
        <v>0</v>
      </c>
      <c r="S40" s="223">
        <f t="shared" si="22"/>
        <v>0</v>
      </c>
    </row>
    <row r="41" spans="1:19" x14ac:dyDescent="0.3">
      <c r="A41" s="130"/>
      <c r="B41" s="129"/>
      <c r="C41" s="129"/>
      <c r="D41" s="129"/>
      <c r="E41" s="129"/>
      <c r="F41" s="129"/>
      <c r="G41" s="129"/>
      <c r="H41" s="129"/>
      <c r="I41" s="129"/>
      <c r="J41" s="129"/>
      <c r="K41" s="129"/>
      <c r="L41" s="129"/>
      <c r="M41" s="129"/>
      <c r="N41" s="129"/>
      <c r="O41" s="129"/>
      <c r="P41" s="129"/>
    </row>
    <row r="42" spans="1:19" x14ac:dyDescent="0.3">
      <c r="A42" s="130"/>
      <c r="B42" s="129"/>
      <c r="C42" s="129"/>
      <c r="D42" s="129"/>
      <c r="E42" s="491"/>
      <c r="F42" s="491"/>
      <c r="G42" s="491"/>
      <c r="H42" s="491"/>
      <c r="I42" s="491"/>
      <c r="J42" s="491"/>
      <c r="K42" s="491"/>
      <c r="L42" s="129"/>
      <c r="M42" s="129"/>
      <c r="N42" s="129"/>
      <c r="O42" s="129"/>
      <c r="P42" s="129"/>
    </row>
    <row r="43" spans="1:19" x14ac:dyDescent="0.3">
      <c r="A43" s="130"/>
      <c r="B43" s="129"/>
      <c r="C43" s="129"/>
      <c r="D43" s="2072" t="s">
        <v>18</v>
      </c>
      <c r="E43" s="2073"/>
      <c r="F43" s="2088" t="s">
        <v>1163</v>
      </c>
      <c r="G43" s="2088"/>
      <c r="H43" s="2088" t="s">
        <v>296</v>
      </c>
      <c r="I43" s="2088"/>
      <c r="J43" s="2087" t="s">
        <v>297</v>
      </c>
      <c r="K43" s="2087"/>
      <c r="L43" s="129"/>
      <c r="M43" s="129"/>
      <c r="N43" s="129"/>
      <c r="O43" s="129"/>
      <c r="P43" s="129"/>
    </row>
    <row r="44" spans="1:19" ht="3.75" hidden="1" customHeight="1" x14ac:dyDescent="0.3">
      <c r="A44" s="130"/>
      <c r="B44" s="129"/>
      <c r="C44" s="129"/>
      <c r="D44" s="2074"/>
      <c r="E44" s="2075"/>
      <c r="F44" s="765"/>
      <c r="G44" s="765"/>
      <c r="H44" s="765"/>
      <c r="I44" s="765"/>
      <c r="J44" s="2087"/>
      <c r="K44" s="2087"/>
      <c r="L44" s="129"/>
      <c r="M44" s="129"/>
      <c r="N44" s="129"/>
      <c r="O44" s="129"/>
      <c r="P44" s="129"/>
    </row>
    <row r="45" spans="1:19" x14ac:dyDescent="0.3">
      <c r="A45" s="130"/>
      <c r="B45" s="129"/>
      <c r="C45" s="129"/>
      <c r="D45" s="2076"/>
      <c r="E45" s="2077"/>
      <c r="F45" s="765" t="s">
        <v>298</v>
      </c>
      <c r="G45" s="765" t="s">
        <v>299</v>
      </c>
      <c r="H45" s="765" t="s">
        <v>298</v>
      </c>
      <c r="I45" s="765" t="s">
        <v>299</v>
      </c>
      <c r="J45" s="2087"/>
      <c r="K45" s="2087"/>
      <c r="L45" s="129"/>
      <c r="M45" s="129"/>
      <c r="N45" s="129"/>
      <c r="O45" s="129"/>
      <c r="P45" s="129"/>
    </row>
    <row r="46" spans="1:19" ht="13.5" customHeight="1" x14ac:dyDescent="0.3">
      <c r="A46" s="130"/>
      <c r="B46" s="129"/>
      <c r="C46" s="129"/>
      <c r="D46" s="2078" t="s">
        <v>486</v>
      </c>
      <c r="E46" s="2079"/>
      <c r="F46" s="2084">
        <f>+G17</f>
        <v>4.4927591583374303E-2</v>
      </c>
      <c r="G46" s="2084">
        <f>+G25</f>
        <v>6.5925094125927577E-2</v>
      </c>
      <c r="H46" s="2084">
        <f>+G19</f>
        <v>4.4927591781973121E-2</v>
      </c>
      <c r="I46" s="2084">
        <f>+G27</f>
        <v>6.5925094322976469E-2</v>
      </c>
      <c r="J46" s="2078" t="s">
        <v>1458</v>
      </c>
      <c r="K46" s="2079"/>
      <c r="L46" s="129"/>
      <c r="M46" s="129"/>
      <c r="N46" s="129"/>
      <c r="O46" s="129"/>
      <c r="P46" s="129"/>
    </row>
    <row r="47" spans="1:19" x14ac:dyDescent="0.3">
      <c r="A47" s="130"/>
      <c r="B47" s="129"/>
      <c r="C47" s="129"/>
      <c r="D47" s="2080"/>
      <c r="E47" s="2081"/>
      <c r="F47" s="2085"/>
      <c r="G47" s="2085"/>
      <c r="H47" s="2085"/>
      <c r="I47" s="2085"/>
      <c r="J47" s="2091"/>
      <c r="K47" s="2081"/>
      <c r="L47" s="129"/>
      <c r="M47" s="129"/>
      <c r="N47" s="129"/>
      <c r="O47" s="129"/>
      <c r="P47" s="129"/>
    </row>
    <row r="48" spans="1:19" x14ac:dyDescent="0.3">
      <c r="A48" s="130"/>
      <c r="B48" s="129"/>
      <c r="C48" s="129"/>
      <c r="D48" s="2080"/>
      <c r="E48" s="2081"/>
      <c r="F48" s="2085"/>
      <c r="G48" s="2085"/>
      <c r="H48" s="2085"/>
      <c r="I48" s="2085"/>
      <c r="J48" s="2091"/>
      <c r="K48" s="2081"/>
      <c r="L48" s="129"/>
      <c r="M48" s="129"/>
      <c r="N48" s="129"/>
      <c r="O48" s="129"/>
      <c r="P48" s="129"/>
    </row>
    <row r="49" spans="1:16" x14ac:dyDescent="0.3">
      <c r="A49" s="130"/>
      <c r="B49" s="129"/>
      <c r="C49" s="129"/>
      <c r="D49" s="2080"/>
      <c r="E49" s="2081"/>
      <c r="F49" s="2085"/>
      <c r="G49" s="2085"/>
      <c r="H49" s="2085"/>
      <c r="I49" s="2085"/>
      <c r="J49" s="2091"/>
      <c r="K49" s="2081"/>
      <c r="L49" s="129"/>
      <c r="M49" s="151">
        <f>+I46-G46</f>
        <v>1.9704889109295465E-10</v>
      </c>
      <c r="N49" s="129"/>
      <c r="O49" s="129"/>
      <c r="P49" s="129"/>
    </row>
    <row r="50" spans="1:16" x14ac:dyDescent="0.3">
      <c r="A50" s="130"/>
      <c r="B50" s="129"/>
      <c r="C50" s="129"/>
      <c r="D50" s="2080"/>
      <c r="E50" s="2081"/>
      <c r="F50" s="2085"/>
      <c r="G50" s="2085"/>
      <c r="H50" s="2085"/>
      <c r="I50" s="2085"/>
      <c r="J50" s="2091"/>
      <c r="K50" s="2081"/>
      <c r="L50" s="129"/>
      <c r="M50" s="129"/>
      <c r="N50" s="129"/>
      <c r="O50" s="129"/>
      <c r="P50" s="129"/>
    </row>
    <row r="51" spans="1:16" ht="34.5" customHeight="1" x14ac:dyDescent="0.3">
      <c r="A51" s="130"/>
      <c r="B51" s="129"/>
      <c r="C51" s="129"/>
      <c r="D51" s="2082"/>
      <c r="E51" s="2083"/>
      <c r="F51" s="2086"/>
      <c r="G51" s="2086"/>
      <c r="H51" s="2086"/>
      <c r="I51" s="2086"/>
      <c r="J51" s="2089">
        <f>+I46-G46</f>
        <v>1.9704889109295465E-10</v>
      </c>
      <c r="K51" s="2090">
        <f t="shared" ref="K51" si="24">+G48-E48</f>
        <v>0</v>
      </c>
      <c r="L51" s="129"/>
      <c r="M51" s="129"/>
      <c r="N51" s="129"/>
      <c r="O51" s="129"/>
      <c r="P51" s="129"/>
    </row>
    <row r="52" spans="1:16" x14ac:dyDescent="0.3">
      <c r="A52" s="129"/>
      <c r="B52" s="129"/>
      <c r="C52" s="129"/>
      <c r="D52" s="129"/>
      <c r="E52" s="491"/>
      <c r="F52" s="491"/>
      <c r="G52" s="491"/>
      <c r="H52" s="491"/>
      <c r="I52" s="491"/>
      <c r="J52" s="491"/>
      <c r="K52" s="491"/>
      <c r="L52" s="129"/>
      <c r="M52" s="129"/>
      <c r="N52" s="129"/>
      <c r="O52" s="129"/>
      <c r="P52" s="129"/>
    </row>
    <row r="53" spans="1:16" x14ac:dyDescent="0.3">
      <c r="A53" s="129"/>
      <c r="B53" s="129"/>
      <c r="C53" s="129"/>
      <c r="D53" s="129"/>
      <c r="E53" s="491"/>
      <c r="F53" s="491"/>
      <c r="G53" s="491"/>
      <c r="H53" s="491"/>
      <c r="I53" s="491"/>
      <c r="J53" s="491"/>
      <c r="K53" s="491"/>
      <c r="L53" s="129"/>
      <c r="M53" s="129"/>
      <c r="N53" s="129"/>
      <c r="O53" s="129"/>
      <c r="P53" s="129"/>
    </row>
    <row r="54" spans="1:16" x14ac:dyDescent="0.3">
      <c r="A54" s="129"/>
      <c r="B54" s="129"/>
      <c r="C54" s="129"/>
      <c r="D54" s="129"/>
      <c r="E54" s="491"/>
      <c r="F54" s="491"/>
      <c r="G54" s="491"/>
      <c r="H54" s="491"/>
      <c r="I54" s="491"/>
      <c r="J54" s="491"/>
      <c r="K54" s="491"/>
      <c r="L54" s="129"/>
      <c r="M54" s="129"/>
      <c r="N54" s="129"/>
      <c r="O54" s="129"/>
      <c r="P54" s="129"/>
    </row>
    <row r="55" spans="1:16" x14ac:dyDescent="0.3">
      <c r="A55" s="129"/>
      <c r="B55" s="129"/>
      <c r="C55" s="129"/>
      <c r="D55" s="129"/>
      <c r="E55" s="491"/>
      <c r="F55" s="491"/>
      <c r="G55" s="491"/>
      <c r="H55" s="491"/>
      <c r="I55" s="491"/>
      <c r="J55" s="491"/>
      <c r="K55" s="491"/>
      <c r="L55" s="129"/>
      <c r="M55" s="129"/>
      <c r="N55" s="129"/>
      <c r="O55" s="129"/>
      <c r="P55" s="129"/>
    </row>
    <row r="56" spans="1:16" x14ac:dyDescent="0.3">
      <c r="A56" s="129"/>
      <c r="B56" s="129"/>
      <c r="C56" s="129"/>
      <c r="D56" s="129"/>
      <c r="E56" s="129"/>
      <c r="F56" s="129"/>
      <c r="G56" s="129"/>
      <c r="H56" s="129"/>
      <c r="I56" s="129"/>
      <c r="J56" s="129"/>
      <c r="K56" s="129"/>
      <c r="L56" s="129"/>
      <c r="M56" s="129"/>
      <c r="N56" s="129"/>
      <c r="O56" s="129"/>
      <c r="P56" s="129"/>
    </row>
    <row r="57" spans="1:16" x14ac:dyDescent="0.3">
      <c r="A57" s="129"/>
      <c r="B57" s="129"/>
      <c r="C57" s="129"/>
      <c r="D57" s="129"/>
      <c r="E57" s="129"/>
      <c r="F57" s="129"/>
      <c r="G57" s="129"/>
      <c r="H57" s="129"/>
      <c r="I57" s="129"/>
      <c r="J57" s="129"/>
      <c r="K57" s="129"/>
      <c r="L57" s="129"/>
      <c r="M57" s="129"/>
      <c r="N57" s="129"/>
      <c r="O57" s="129"/>
      <c r="P57" s="129"/>
    </row>
    <row r="58" spans="1:16" x14ac:dyDescent="0.3">
      <c r="A58" s="129"/>
      <c r="B58" s="129"/>
      <c r="C58" s="129"/>
      <c r="D58" s="129"/>
      <c r="E58" s="129"/>
      <c r="F58" s="129"/>
      <c r="G58" s="129"/>
      <c r="H58" s="129"/>
      <c r="I58" s="129"/>
      <c r="J58" s="129"/>
      <c r="K58" s="129"/>
      <c r="L58" s="129"/>
      <c r="M58" s="129"/>
      <c r="N58" s="129"/>
      <c r="O58" s="129"/>
      <c r="P58" s="129"/>
    </row>
    <row r="59" spans="1:16" x14ac:dyDescent="0.3">
      <c r="A59" s="129"/>
      <c r="B59" s="129"/>
      <c r="C59" s="129"/>
      <c r="D59" s="129"/>
      <c r="E59" s="129"/>
      <c r="F59" s="129"/>
      <c r="G59" s="129"/>
      <c r="H59" s="129"/>
      <c r="I59" s="129"/>
      <c r="J59" s="129"/>
      <c r="K59" s="129"/>
      <c r="L59" s="129"/>
      <c r="M59" s="129"/>
      <c r="N59" s="129"/>
      <c r="O59" s="129"/>
      <c r="P59" s="129"/>
    </row>
    <row r="60" spans="1:16" x14ac:dyDescent="0.3">
      <c r="A60" s="129"/>
      <c r="B60" s="129"/>
      <c r="C60" s="129"/>
      <c r="D60" s="129"/>
      <c r="E60" s="129"/>
      <c r="F60" s="129"/>
      <c r="G60" s="129"/>
      <c r="H60" s="129"/>
      <c r="I60" s="129"/>
      <c r="J60" s="129"/>
      <c r="K60" s="129"/>
      <c r="L60" s="129"/>
      <c r="M60" s="129"/>
      <c r="N60" s="129"/>
      <c r="O60" s="129"/>
      <c r="P60" s="129"/>
    </row>
    <row r="61" spans="1:16" x14ac:dyDescent="0.3">
      <c r="A61" s="129"/>
      <c r="B61" s="129"/>
      <c r="C61" s="129"/>
      <c r="D61" s="129"/>
      <c r="E61" s="129"/>
      <c r="F61" s="129"/>
      <c r="G61" s="129"/>
      <c r="H61" s="129"/>
      <c r="I61" s="129"/>
      <c r="J61" s="129"/>
      <c r="K61" s="129"/>
      <c r="L61" s="129"/>
      <c r="M61" s="129"/>
      <c r="N61" s="129"/>
      <c r="O61" s="129"/>
      <c r="P61" s="129"/>
    </row>
    <row r="62" spans="1:16" x14ac:dyDescent="0.3">
      <c r="A62" s="129"/>
      <c r="B62" s="129"/>
      <c r="C62" s="129"/>
      <c r="D62" s="129"/>
      <c r="E62" s="129"/>
      <c r="F62" s="129"/>
      <c r="G62" s="129"/>
      <c r="H62" s="129"/>
      <c r="I62" s="129"/>
      <c r="J62" s="129"/>
      <c r="K62" s="129"/>
      <c r="L62" s="129"/>
      <c r="M62" s="129"/>
      <c r="N62" s="129"/>
      <c r="O62" s="129"/>
      <c r="P62" s="129"/>
    </row>
    <row r="63" spans="1:16" x14ac:dyDescent="0.3">
      <c r="A63" s="129"/>
    </row>
    <row r="64" spans="1:16" x14ac:dyDescent="0.3">
      <c r="A64" s="129"/>
    </row>
    <row r="65" spans="1:16" x14ac:dyDescent="0.3">
      <c r="A65" s="129"/>
    </row>
    <row r="66" spans="1:16" x14ac:dyDescent="0.3">
      <c r="A66" s="129"/>
    </row>
    <row r="67" spans="1:16" x14ac:dyDescent="0.3">
      <c r="A67" s="129"/>
      <c r="B67" s="129"/>
      <c r="C67" s="129"/>
      <c r="D67" s="129"/>
      <c r="E67" s="129"/>
      <c r="F67" s="129"/>
      <c r="G67" s="129"/>
      <c r="H67" s="129"/>
      <c r="I67" s="129"/>
      <c r="J67" s="129"/>
      <c r="K67" s="129"/>
      <c r="L67" s="129"/>
      <c r="M67" s="129"/>
      <c r="N67" s="129"/>
      <c r="O67" s="129"/>
      <c r="P67" s="129"/>
    </row>
    <row r="68" spans="1:16" x14ac:dyDescent="0.3">
      <c r="A68" s="129"/>
      <c r="B68" s="129"/>
      <c r="C68" s="129"/>
      <c r="D68" s="129"/>
      <c r="E68" s="129"/>
      <c r="F68" s="129"/>
      <c r="G68" s="129"/>
      <c r="H68" s="129"/>
      <c r="I68" s="129"/>
      <c r="J68" s="129"/>
      <c r="K68" s="129"/>
      <c r="L68" s="129"/>
      <c r="M68" s="129"/>
      <c r="N68" s="129"/>
      <c r="O68" s="129"/>
      <c r="P68" s="129"/>
    </row>
    <row r="69" spans="1:16" x14ac:dyDescent="0.3">
      <c r="A69" s="129"/>
      <c r="B69" s="129"/>
      <c r="C69" s="129"/>
      <c r="D69" s="129"/>
      <c r="E69" s="129"/>
      <c r="F69" s="129"/>
      <c r="G69" s="129"/>
      <c r="H69" s="129"/>
      <c r="I69" s="129"/>
      <c r="J69" s="129"/>
      <c r="K69" s="129"/>
      <c r="L69" s="129"/>
      <c r="M69" s="129"/>
      <c r="N69" s="129"/>
      <c r="O69" s="129"/>
      <c r="P69" s="129"/>
    </row>
    <row r="70" spans="1:16" x14ac:dyDescent="0.3">
      <c r="A70" s="129"/>
      <c r="B70" s="129"/>
      <c r="C70" s="129"/>
      <c r="D70" s="129"/>
      <c r="E70" s="129"/>
      <c r="F70" s="129"/>
      <c r="G70" s="129"/>
      <c r="H70" s="129"/>
      <c r="I70" s="129"/>
      <c r="J70" s="129"/>
      <c r="K70" s="129"/>
      <c r="L70" s="129"/>
      <c r="M70" s="129"/>
      <c r="N70" s="129"/>
      <c r="O70" s="129"/>
      <c r="P70" s="129"/>
    </row>
    <row r="71" spans="1:16" x14ac:dyDescent="0.3">
      <c r="A71" s="129"/>
      <c r="B71" s="129"/>
      <c r="C71" s="129"/>
      <c r="D71" s="129"/>
      <c r="E71" s="129"/>
      <c r="F71" s="129"/>
      <c r="G71" s="129"/>
      <c r="H71" s="129"/>
      <c r="I71" s="129"/>
      <c r="J71" s="129"/>
      <c r="K71" s="129"/>
      <c r="L71" s="129"/>
      <c r="M71" s="129"/>
      <c r="N71" s="129"/>
      <c r="O71" s="129"/>
      <c r="P71" s="129"/>
    </row>
    <row r="72" spans="1:16" x14ac:dyDescent="0.3">
      <c r="A72" s="129"/>
      <c r="B72" s="129"/>
      <c r="C72" s="129"/>
      <c r="D72" s="129"/>
      <c r="E72" s="129"/>
      <c r="F72" s="129"/>
      <c r="G72" s="129"/>
      <c r="H72" s="129"/>
      <c r="I72" s="129"/>
      <c r="J72" s="129"/>
      <c r="K72" s="129"/>
      <c r="L72" s="129"/>
      <c r="M72" s="129"/>
      <c r="N72" s="129"/>
      <c r="O72" s="129"/>
      <c r="P72" s="129"/>
    </row>
    <row r="73" spans="1:16" x14ac:dyDescent="0.3">
      <c r="A73" s="129"/>
      <c r="B73" s="129"/>
      <c r="C73" s="129"/>
      <c r="D73" s="129"/>
      <c r="E73" s="129"/>
      <c r="F73" s="129"/>
      <c r="G73" s="129"/>
      <c r="H73" s="129"/>
      <c r="I73" s="129"/>
      <c r="J73" s="129"/>
      <c r="K73" s="129"/>
      <c r="L73" s="129"/>
      <c r="M73" s="129"/>
      <c r="N73" s="129"/>
      <c r="O73" s="129"/>
      <c r="P73" s="129"/>
    </row>
    <row r="74" spans="1:16" x14ac:dyDescent="0.3">
      <c r="A74" s="129"/>
      <c r="B74" s="129"/>
      <c r="C74" s="129"/>
      <c r="D74" s="129"/>
      <c r="E74" s="129"/>
      <c r="F74" s="129"/>
      <c r="G74" s="129"/>
      <c r="H74" s="129"/>
      <c r="I74" s="129"/>
      <c r="J74" s="129"/>
      <c r="K74" s="129"/>
      <c r="L74" s="129"/>
      <c r="M74" s="129"/>
      <c r="N74" s="129"/>
      <c r="O74" s="129"/>
      <c r="P74" s="129"/>
    </row>
    <row r="75" spans="1:16" x14ac:dyDescent="0.3">
      <c r="A75" s="129"/>
      <c r="B75" s="129"/>
      <c r="C75" s="129"/>
      <c r="D75" s="129"/>
      <c r="E75" s="129"/>
      <c r="F75" s="129"/>
      <c r="G75" s="129"/>
      <c r="H75" s="129"/>
      <c r="I75" s="129"/>
      <c r="J75" s="129"/>
      <c r="K75" s="129"/>
      <c r="L75" s="129"/>
      <c r="M75" s="129"/>
      <c r="N75" s="129"/>
      <c r="O75" s="129"/>
      <c r="P75" s="129"/>
    </row>
    <row r="76" spans="1:16" x14ac:dyDescent="0.3">
      <c r="A76" s="129"/>
      <c r="B76" s="129"/>
      <c r="C76" s="129"/>
      <c r="D76" s="129"/>
      <c r="E76" s="129"/>
      <c r="F76" s="129"/>
      <c r="G76" s="129"/>
      <c r="H76" s="129"/>
      <c r="I76" s="129"/>
      <c r="J76" s="129"/>
      <c r="K76" s="129"/>
      <c r="L76" s="129"/>
      <c r="M76" s="129"/>
      <c r="N76" s="129"/>
      <c r="O76" s="129"/>
      <c r="P76" s="129"/>
    </row>
    <row r="77" spans="1:16" x14ac:dyDescent="0.3">
      <c r="A77" s="129"/>
      <c r="B77" s="129"/>
      <c r="C77" s="129"/>
      <c r="D77" s="129"/>
      <c r="E77" s="129"/>
      <c r="F77" s="129"/>
      <c r="G77" s="129"/>
      <c r="H77" s="129"/>
      <c r="I77" s="129"/>
      <c r="J77" s="129"/>
      <c r="K77" s="129"/>
      <c r="L77" s="129"/>
      <c r="M77" s="129"/>
      <c r="N77" s="129"/>
      <c r="O77" s="129"/>
      <c r="P77" s="129"/>
    </row>
    <row r="78" spans="1:16" x14ac:dyDescent="0.3">
      <c r="A78" s="129"/>
      <c r="B78" s="129"/>
      <c r="C78" s="129"/>
      <c r="D78" s="129"/>
      <c r="E78" s="129"/>
      <c r="F78" s="129"/>
      <c r="G78" s="129"/>
      <c r="H78" s="129"/>
      <c r="I78" s="129"/>
      <c r="J78" s="129"/>
      <c r="K78" s="129"/>
      <c r="L78" s="129"/>
      <c r="M78" s="129"/>
      <c r="N78" s="129"/>
      <c r="O78" s="129"/>
      <c r="P78" s="129"/>
    </row>
    <row r="79" spans="1:16" x14ac:dyDescent="0.3">
      <c r="A79" s="129"/>
      <c r="B79" s="129"/>
      <c r="C79" s="129"/>
      <c r="D79" s="129"/>
      <c r="E79" s="129"/>
      <c r="F79" s="129"/>
      <c r="G79" s="129"/>
      <c r="H79" s="129"/>
      <c r="I79" s="129"/>
      <c r="J79" s="129"/>
      <c r="K79" s="129"/>
      <c r="L79" s="129"/>
      <c r="M79" s="129"/>
      <c r="N79" s="129"/>
      <c r="O79" s="129"/>
      <c r="P79" s="129"/>
    </row>
    <row r="80" spans="1:16" x14ac:dyDescent="0.3">
      <c r="A80" s="129"/>
      <c r="B80" s="129"/>
      <c r="C80" s="129"/>
      <c r="D80" s="129"/>
      <c r="E80" s="129"/>
      <c r="F80" s="129"/>
      <c r="G80" s="129"/>
      <c r="H80" s="129"/>
      <c r="I80" s="129"/>
      <c r="J80" s="129"/>
      <c r="K80" s="129"/>
      <c r="L80" s="129"/>
      <c r="M80" s="129"/>
      <c r="N80" s="129"/>
      <c r="O80" s="129"/>
      <c r="P80" s="129"/>
    </row>
    <row r="81" spans="1:27" x14ac:dyDescent="0.3">
      <c r="A81" s="129"/>
      <c r="B81" s="129"/>
      <c r="C81" s="129"/>
      <c r="D81" s="129"/>
      <c r="E81" s="129"/>
      <c r="F81" s="129"/>
      <c r="G81" s="129"/>
      <c r="H81" s="129"/>
      <c r="I81" s="129"/>
      <c r="J81" s="129"/>
      <c r="K81" s="129"/>
      <c r="L81" s="129"/>
      <c r="M81" s="129"/>
      <c r="N81" s="129"/>
      <c r="O81" s="129"/>
      <c r="P81" s="129"/>
    </row>
    <row r="82" spans="1:27" x14ac:dyDescent="0.3">
      <c r="A82" s="129"/>
      <c r="B82" s="129"/>
      <c r="C82" s="129"/>
      <c r="D82" s="129"/>
      <c r="E82" s="129"/>
      <c r="F82" s="129"/>
      <c r="G82" s="129"/>
      <c r="H82" s="129"/>
      <c r="I82" s="129"/>
      <c r="J82" s="129"/>
      <c r="K82" s="129"/>
      <c r="L82" s="129"/>
      <c r="M82" s="129"/>
      <c r="N82" s="129"/>
      <c r="O82" s="129"/>
      <c r="P82" s="129"/>
    </row>
    <row r="83" spans="1:27" x14ac:dyDescent="0.3">
      <c r="A83" s="129"/>
      <c r="B83" s="129"/>
      <c r="C83" s="129"/>
      <c r="D83" s="129"/>
      <c r="E83" s="129"/>
      <c r="F83" s="129"/>
      <c r="G83" s="129"/>
      <c r="H83" s="129"/>
      <c r="I83" s="129"/>
      <c r="J83" s="129"/>
      <c r="K83" s="129"/>
      <c r="L83" s="129"/>
      <c r="M83" s="129"/>
      <c r="N83" s="129"/>
      <c r="O83" s="129"/>
      <c r="P83" s="129"/>
    </row>
    <row r="84" spans="1:27" x14ac:dyDescent="0.3">
      <c r="A84" s="129"/>
      <c r="B84" s="129"/>
      <c r="C84" s="129"/>
      <c r="D84" s="129"/>
      <c r="E84" s="129"/>
      <c r="F84" s="129"/>
      <c r="G84" s="129"/>
      <c r="H84" s="129"/>
      <c r="I84" s="129"/>
      <c r="J84" s="129"/>
      <c r="K84" s="129"/>
      <c r="L84" s="129"/>
      <c r="M84" s="129"/>
      <c r="N84" s="129"/>
      <c r="O84" s="129"/>
      <c r="P84" s="129"/>
    </row>
    <row r="85" spans="1:27" x14ac:dyDescent="0.3">
      <c r="A85" s="129"/>
      <c r="B85" s="129"/>
      <c r="C85" s="129"/>
      <c r="D85" s="129"/>
      <c r="E85" s="129"/>
      <c r="F85" s="129"/>
      <c r="G85" s="129"/>
      <c r="H85" s="129"/>
      <c r="I85" s="129"/>
      <c r="J85" s="129"/>
      <c r="K85" s="129"/>
      <c r="L85" s="129"/>
      <c r="M85" s="129"/>
      <c r="N85" s="129"/>
      <c r="O85" s="129"/>
      <c r="P85" s="129"/>
    </row>
    <row r="86" spans="1:27" x14ac:dyDescent="0.3">
      <c r="A86" s="129"/>
      <c r="B86" s="129"/>
      <c r="C86" s="129"/>
      <c r="D86" s="129"/>
      <c r="E86" s="129"/>
      <c r="F86" s="129"/>
      <c r="G86" s="129"/>
      <c r="H86" s="129"/>
      <c r="I86" s="129"/>
      <c r="J86" s="129"/>
      <c r="K86" s="129"/>
      <c r="L86" s="129"/>
      <c r="M86" s="129"/>
      <c r="N86" s="129"/>
      <c r="O86" s="129"/>
      <c r="P86" s="129"/>
    </row>
    <row r="87" spans="1:27" x14ac:dyDescent="0.3">
      <c r="A87" s="129"/>
      <c r="B87" s="129"/>
      <c r="C87" s="129"/>
      <c r="D87" s="129"/>
      <c r="E87" s="129"/>
      <c r="F87" s="129"/>
      <c r="G87" s="129"/>
      <c r="H87" s="129"/>
      <c r="I87" s="129"/>
      <c r="J87" s="129"/>
      <c r="K87" s="129"/>
      <c r="L87" s="129"/>
      <c r="M87" s="129"/>
      <c r="N87" s="129"/>
      <c r="O87" s="129"/>
      <c r="P87" s="129"/>
    </row>
    <row r="88" spans="1:27" x14ac:dyDescent="0.3">
      <c r="A88" s="129"/>
      <c r="B88" s="129"/>
      <c r="C88" s="129"/>
      <c r="D88" s="129"/>
      <c r="E88" s="129"/>
      <c r="F88" s="129"/>
      <c r="G88" s="129"/>
      <c r="H88" s="129"/>
      <c r="I88" s="129"/>
      <c r="J88" s="129"/>
      <c r="K88" s="129"/>
      <c r="L88" s="129"/>
      <c r="M88" s="129"/>
      <c r="N88" s="129"/>
      <c r="O88" s="129"/>
      <c r="P88" s="129"/>
    </row>
    <row r="89" spans="1:27" x14ac:dyDescent="0.3">
      <c r="A89" s="126"/>
      <c r="B89" s="126"/>
      <c r="C89" s="126"/>
      <c r="D89" s="126"/>
      <c r="E89" s="126"/>
      <c r="F89" s="126"/>
      <c r="G89" s="126"/>
      <c r="H89" s="126"/>
      <c r="I89" s="126"/>
      <c r="J89" s="126"/>
      <c r="K89" s="126"/>
      <c r="L89" s="126"/>
      <c r="M89" s="126"/>
      <c r="N89" s="126"/>
      <c r="O89" s="126"/>
      <c r="P89" s="126"/>
    </row>
    <row r="90" spans="1:27" ht="16.5" customHeight="1" x14ac:dyDescent="0.3">
      <c r="A90" s="126"/>
      <c r="U90" s="126"/>
      <c r="V90" s="126"/>
      <c r="W90" s="126"/>
      <c r="X90" s="126"/>
      <c r="Y90" s="126"/>
      <c r="Z90" s="126"/>
      <c r="AA90" s="126"/>
    </row>
    <row r="91" spans="1:27" x14ac:dyDescent="0.3">
      <c r="A91" s="126"/>
      <c r="U91" s="126"/>
      <c r="V91" s="126"/>
      <c r="W91" s="126"/>
      <c r="X91" s="126"/>
      <c r="Y91" s="126"/>
      <c r="Z91" s="126"/>
      <c r="AA91" s="126"/>
    </row>
    <row r="92" spans="1:27" x14ac:dyDescent="0.3">
      <c r="A92" s="126"/>
      <c r="U92" s="126"/>
      <c r="V92" s="126"/>
      <c r="W92" s="126"/>
      <c r="X92" s="126"/>
      <c r="Y92" s="126"/>
      <c r="Z92" s="126"/>
      <c r="AA92" s="126"/>
    </row>
    <row r="93" spans="1:27" x14ac:dyDescent="0.3">
      <c r="A93" s="126"/>
      <c r="U93" s="126"/>
      <c r="V93" s="126"/>
      <c r="W93" s="126"/>
      <c r="X93" s="126"/>
      <c r="Y93" s="126"/>
      <c r="Z93" s="126"/>
      <c r="AA93" s="126"/>
    </row>
    <row r="94" spans="1:27" x14ac:dyDescent="0.3">
      <c r="A94" s="126"/>
      <c r="B94" s="126"/>
      <c r="C94" s="126"/>
      <c r="D94" s="126"/>
      <c r="E94" s="126"/>
      <c r="F94" s="126"/>
      <c r="G94" s="126"/>
      <c r="H94" s="126"/>
      <c r="I94" s="126"/>
      <c r="J94" s="126"/>
      <c r="K94" s="126"/>
      <c r="L94" s="126"/>
      <c r="M94" s="126"/>
      <c r="N94" s="126"/>
      <c r="O94" s="126"/>
      <c r="P94" s="126"/>
    </row>
    <row r="95" spans="1:27" x14ac:dyDescent="0.3">
      <c r="A95" s="126"/>
      <c r="B95" s="126"/>
      <c r="C95" s="126"/>
      <c r="D95" s="126"/>
      <c r="E95" s="126"/>
      <c r="F95" s="126"/>
      <c r="G95" s="126"/>
      <c r="H95" s="126"/>
      <c r="I95" s="126"/>
      <c r="J95" s="126"/>
      <c r="K95" s="126"/>
      <c r="L95" s="126"/>
      <c r="M95" s="126"/>
      <c r="N95" s="126"/>
      <c r="O95" s="126"/>
      <c r="P95" s="126"/>
    </row>
    <row r="96" spans="1:27" x14ac:dyDescent="0.3">
      <c r="A96" s="126"/>
      <c r="B96" s="126"/>
      <c r="C96" s="126"/>
      <c r="D96" s="126"/>
      <c r="E96" s="126"/>
      <c r="F96" s="126"/>
      <c r="G96" s="126"/>
      <c r="H96" s="126"/>
      <c r="I96" s="126"/>
      <c r="J96" s="126"/>
      <c r="K96" s="126"/>
      <c r="L96" s="126"/>
      <c r="M96" s="126"/>
      <c r="N96" s="126"/>
      <c r="O96" s="126"/>
      <c r="P96" s="126"/>
    </row>
    <row r="97" spans="1:16" x14ac:dyDescent="0.3">
      <c r="A97" s="126"/>
      <c r="B97" s="126"/>
      <c r="C97" s="126"/>
      <c r="D97" s="126"/>
      <c r="E97" s="126"/>
      <c r="F97" s="126"/>
      <c r="G97" s="126"/>
      <c r="H97" s="126"/>
      <c r="I97" s="126"/>
      <c r="J97" s="126"/>
      <c r="K97" s="126"/>
      <c r="L97" s="126"/>
      <c r="M97" s="126"/>
      <c r="N97" s="126"/>
      <c r="O97" s="126"/>
      <c r="P97" s="126"/>
    </row>
    <row r="98" spans="1:16" x14ac:dyDescent="0.3">
      <c r="A98" s="126"/>
      <c r="B98" s="126"/>
      <c r="C98" s="126"/>
      <c r="D98" s="126"/>
      <c r="E98" s="126"/>
      <c r="F98" s="126"/>
      <c r="G98" s="126"/>
      <c r="H98" s="126"/>
      <c r="I98" s="126"/>
      <c r="J98" s="126"/>
      <c r="K98" s="126"/>
      <c r="L98" s="126"/>
      <c r="M98" s="126"/>
      <c r="N98" s="126"/>
      <c r="O98" s="126"/>
      <c r="P98" s="126"/>
    </row>
    <row r="99" spans="1:16" x14ac:dyDescent="0.3">
      <c r="A99" s="126"/>
      <c r="B99" s="126"/>
      <c r="C99" s="126"/>
      <c r="D99" s="126"/>
      <c r="E99" s="126"/>
      <c r="F99" s="126"/>
      <c r="G99" s="126"/>
      <c r="H99" s="126"/>
      <c r="I99" s="126"/>
      <c r="J99" s="126"/>
      <c r="K99" s="126"/>
      <c r="L99" s="126"/>
      <c r="M99" s="126"/>
      <c r="N99" s="126"/>
      <c r="O99" s="126"/>
      <c r="P99" s="126"/>
    </row>
    <row r="100" spans="1:16" x14ac:dyDescent="0.3">
      <c r="A100" s="126"/>
      <c r="B100" s="126"/>
      <c r="C100" s="126"/>
      <c r="D100" s="126"/>
      <c r="E100" s="126"/>
      <c r="F100" s="126"/>
      <c r="G100" s="126"/>
      <c r="H100" s="126"/>
      <c r="I100" s="126"/>
      <c r="J100" s="126"/>
      <c r="K100" s="126"/>
      <c r="L100" s="126"/>
      <c r="M100" s="126"/>
      <c r="N100" s="126"/>
      <c r="O100" s="126"/>
      <c r="P100" s="126"/>
    </row>
    <row r="101" spans="1:16" x14ac:dyDescent="0.3">
      <c r="A101" s="126"/>
      <c r="B101" s="126"/>
      <c r="C101" s="126"/>
      <c r="D101" s="126"/>
      <c r="E101" s="126"/>
      <c r="F101" s="126"/>
      <c r="G101" s="126"/>
      <c r="H101" s="126"/>
      <c r="I101" s="126"/>
      <c r="J101" s="126"/>
      <c r="K101" s="126"/>
      <c r="L101" s="126"/>
      <c r="M101" s="126"/>
      <c r="N101" s="126"/>
      <c r="O101" s="126"/>
      <c r="P101" s="126"/>
    </row>
    <row r="102" spans="1:16" x14ac:dyDescent="0.3">
      <c r="A102" s="126"/>
      <c r="B102" s="126"/>
      <c r="C102" s="126"/>
      <c r="D102" s="126"/>
      <c r="E102" s="126"/>
      <c r="F102" s="126"/>
      <c r="G102" s="126"/>
      <c r="H102" s="126"/>
      <c r="I102" s="126"/>
      <c r="J102" s="126"/>
      <c r="K102" s="126"/>
      <c r="L102" s="126"/>
      <c r="M102" s="126"/>
      <c r="N102" s="126"/>
      <c r="O102" s="126"/>
      <c r="P102" s="126"/>
    </row>
    <row r="103" spans="1:16" x14ac:dyDescent="0.3">
      <c r="A103" s="126"/>
      <c r="B103" s="126"/>
      <c r="C103" s="126"/>
      <c r="D103" s="126"/>
      <c r="E103" s="126"/>
      <c r="F103" s="126"/>
      <c r="G103" s="126"/>
      <c r="H103" s="126"/>
      <c r="I103" s="126"/>
      <c r="J103" s="126"/>
      <c r="K103" s="126"/>
      <c r="L103" s="126"/>
      <c r="M103" s="126"/>
      <c r="N103" s="126"/>
      <c r="O103" s="126"/>
      <c r="P103" s="126"/>
    </row>
    <row r="104" spans="1:16" x14ac:dyDescent="0.3">
      <c r="A104" s="126"/>
      <c r="B104" s="126"/>
      <c r="C104" s="126"/>
      <c r="D104" s="126"/>
      <c r="E104" s="126"/>
      <c r="F104" s="126"/>
      <c r="G104" s="126"/>
      <c r="H104" s="126"/>
      <c r="I104" s="126"/>
      <c r="J104" s="126"/>
      <c r="K104" s="126"/>
      <c r="L104" s="126"/>
      <c r="M104" s="126"/>
      <c r="N104" s="126"/>
      <c r="O104" s="126"/>
      <c r="P104" s="126"/>
    </row>
    <row r="105" spans="1:16" x14ac:dyDescent="0.3">
      <c r="A105" s="126"/>
      <c r="B105" s="126"/>
      <c r="C105" s="126"/>
      <c r="D105" s="126"/>
      <c r="E105" s="126"/>
      <c r="F105" s="126"/>
      <c r="G105" s="126"/>
      <c r="H105" s="126"/>
      <c r="I105" s="126"/>
      <c r="J105" s="126"/>
      <c r="K105" s="126"/>
      <c r="L105" s="126"/>
      <c r="M105" s="126"/>
      <c r="N105" s="126"/>
      <c r="O105" s="126"/>
      <c r="P105" s="126"/>
    </row>
    <row r="106" spans="1:16" x14ac:dyDescent="0.3">
      <c r="A106" s="126"/>
      <c r="B106" s="126"/>
      <c r="C106" s="126"/>
      <c r="D106" s="126"/>
      <c r="E106" s="126"/>
      <c r="F106" s="126"/>
      <c r="G106" s="126"/>
      <c r="H106" s="126"/>
      <c r="I106" s="126"/>
      <c r="J106" s="126"/>
      <c r="K106" s="126"/>
      <c r="L106" s="126"/>
      <c r="M106" s="126"/>
      <c r="N106" s="126"/>
      <c r="O106" s="126"/>
      <c r="P106" s="126"/>
    </row>
    <row r="107" spans="1:16" x14ac:dyDescent="0.3">
      <c r="A107" s="126"/>
      <c r="B107" s="126"/>
      <c r="C107" s="126"/>
      <c r="D107" s="126"/>
      <c r="E107" s="126"/>
      <c r="F107" s="126"/>
      <c r="G107" s="126"/>
      <c r="H107" s="126"/>
      <c r="I107" s="126"/>
      <c r="J107" s="126"/>
      <c r="K107" s="126"/>
      <c r="L107" s="126"/>
      <c r="M107" s="126"/>
      <c r="N107" s="126"/>
      <c r="O107" s="126"/>
      <c r="P107" s="126"/>
    </row>
    <row r="108" spans="1:16" x14ac:dyDescent="0.3">
      <c r="A108" s="126"/>
      <c r="B108" s="126"/>
      <c r="C108" s="126"/>
      <c r="D108" s="126"/>
      <c r="E108" s="126"/>
      <c r="F108" s="126"/>
      <c r="G108" s="126"/>
      <c r="H108" s="126"/>
      <c r="I108" s="126"/>
      <c r="J108" s="126"/>
      <c r="K108" s="126"/>
      <c r="L108" s="126"/>
      <c r="M108" s="126"/>
      <c r="N108" s="126"/>
      <c r="O108" s="126"/>
      <c r="P108" s="126"/>
    </row>
    <row r="109" spans="1:16" x14ac:dyDescent="0.3">
      <c r="A109" s="126"/>
      <c r="B109" s="126"/>
      <c r="C109" s="126"/>
      <c r="D109" s="126"/>
      <c r="E109" s="126"/>
      <c r="F109" s="126"/>
      <c r="G109" s="126"/>
      <c r="H109" s="126"/>
      <c r="I109" s="126"/>
      <c r="J109" s="126"/>
      <c r="K109" s="126"/>
      <c r="L109" s="126"/>
      <c r="M109" s="126"/>
      <c r="N109" s="126"/>
      <c r="O109" s="126"/>
      <c r="P109" s="126"/>
    </row>
    <row r="110" spans="1:16" x14ac:dyDescent="0.3">
      <c r="A110" s="126"/>
      <c r="B110" s="126"/>
      <c r="C110" s="126"/>
      <c r="D110" s="126"/>
      <c r="E110" s="126"/>
      <c r="F110" s="126"/>
      <c r="G110" s="126"/>
      <c r="H110" s="126"/>
      <c r="I110" s="126"/>
      <c r="J110" s="126"/>
      <c r="K110" s="126"/>
      <c r="L110" s="126"/>
      <c r="M110" s="126"/>
      <c r="N110" s="126"/>
      <c r="O110" s="126"/>
      <c r="P110" s="126"/>
    </row>
    <row r="111" spans="1:16" x14ac:dyDescent="0.3">
      <c r="A111" s="126"/>
      <c r="B111" s="126"/>
      <c r="C111" s="126"/>
      <c r="D111" s="126"/>
      <c r="E111" s="126"/>
      <c r="F111" s="126"/>
      <c r="G111" s="126"/>
      <c r="H111" s="126"/>
      <c r="I111" s="126"/>
      <c r="J111" s="126"/>
      <c r="K111" s="126"/>
      <c r="L111" s="126"/>
      <c r="M111" s="126"/>
      <c r="N111" s="126"/>
      <c r="O111" s="126"/>
      <c r="P111" s="126"/>
    </row>
    <row r="112" spans="1:16" x14ac:dyDescent="0.3">
      <c r="A112" s="126"/>
      <c r="B112" s="126"/>
      <c r="C112" s="126"/>
      <c r="D112" s="126"/>
      <c r="E112" s="126"/>
      <c r="F112" s="126"/>
      <c r="G112" s="126"/>
      <c r="H112" s="126"/>
      <c r="I112" s="126"/>
      <c r="J112" s="126"/>
      <c r="K112" s="126"/>
      <c r="L112" s="126"/>
      <c r="M112" s="126"/>
      <c r="N112" s="126"/>
      <c r="O112" s="126"/>
      <c r="P112" s="126"/>
    </row>
    <row r="113" spans="1:16" x14ac:dyDescent="0.3">
      <c r="A113" s="126"/>
      <c r="B113" s="126"/>
      <c r="C113" s="126"/>
      <c r="D113" s="126"/>
      <c r="E113" s="126"/>
      <c r="F113" s="126"/>
      <c r="G113" s="126"/>
      <c r="H113" s="126"/>
      <c r="I113" s="126"/>
      <c r="J113" s="126"/>
      <c r="K113" s="126"/>
      <c r="L113" s="126"/>
      <c r="M113" s="126"/>
      <c r="N113" s="126"/>
      <c r="O113" s="126"/>
      <c r="P113" s="126"/>
    </row>
    <row r="114" spans="1:16" x14ac:dyDescent="0.3">
      <c r="A114" s="126"/>
      <c r="B114" s="126"/>
      <c r="C114" s="126"/>
      <c r="D114" s="126"/>
      <c r="E114" s="126"/>
      <c r="F114" s="126"/>
      <c r="G114" s="126"/>
      <c r="H114" s="126"/>
      <c r="I114" s="126"/>
      <c r="J114" s="126"/>
      <c r="K114" s="126"/>
      <c r="L114" s="126"/>
      <c r="M114" s="126"/>
      <c r="N114" s="126"/>
      <c r="O114" s="126"/>
      <c r="P114" s="126"/>
    </row>
    <row r="115" spans="1:16" x14ac:dyDescent="0.3">
      <c r="A115" s="126"/>
      <c r="B115" s="126"/>
      <c r="C115" s="126"/>
      <c r="D115" s="126"/>
      <c r="E115" s="126"/>
      <c r="F115" s="126"/>
      <c r="G115" s="126"/>
      <c r="H115" s="126"/>
      <c r="I115" s="126"/>
      <c r="J115" s="126"/>
      <c r="K115" s="126"/>
      <c r="L115" s="126"/>
      <c r="M115" s="126"/>
      <c r="N115" s="126"/>
      <c r="O115" s="126"/>
      <c r="P115" s="126"/>
    </row>
    <row r="116" spans="1:16" x14ac:dyDescent="0.3">
      <c r="A116" s="126"/>
      <c r="B116" s="126"/>
      <c r="C116" s="126"/>
      <c r="D116" s="126"/>
      <c r="E116" s="126"/>
      <c r="F116" s="126"/>
      <c r="G116" s="126"/>
      <c r="H116" s="126"/>
      <c r="I116" s="126"/>
      <c r="J116" s="126"/>
      <c r="K116" s="126"/>
      <c r="L116" s="126"/>
      <c r="M116" s="126"/>
      <c r="N116" s="126"/>
      <c r="O116" s="126"/>
      <c r="P116" s="126"/>
    </row>
    <row r="117" spans="1:16" x14ac:dyDescent="0.3">
      <c r="A117" s="126"/>
      <c r="B117" s="126"/>
      <c r="C117" s="126"/>
      <c r="D117" s="126"/>
      <c r="E117" s="126"/>
      <c r="F117" s="126"/>
      <c r="G117" s="126"/>
      <c r="H117" s="126"/>
      <c r="I117" s="126"/>
      <c r="J117" s="126"/>
      <c r="K117" s="126"/>
      <c r="L117" s="126"/>
      <c r="M117" s="126"/>
      <c r="N117" s="126"/>
      <c r="O117" s="126"/>
      <c r="P117" s="126"/>
    </row>
    <row r="118" spans="1:16" x14ac:dyDescent="0.3">
      <c r="A118" s="126"/>
      <c r="B118" s="126"/>
      <c r="C118" s="126"/>
      <c r="D118" s="126"/>
      <c r="E118" s="126"/>
      <c r="F118" s="126"/>
      <c r="G118" s="126"/>
      <c r="H118" s="126"/>
      <c r="I118" s="126"/>
      <c r="J118" s="126"/>
      <c r="K118" s="126"/>
      <c r="L118" s="126"/>
      <c r="M118" s="126"/>
      <c r="N118" s="126"/>
      <c r="O118" s="126"/>
      <c r="P118" s="126"/>
    </row>
    <row r="119" spans="1:16" x14ac:dyDescent="0.3">
      <c r="A119" s="126"/>
      <c r="B119" s="126"/>
      <c r="C119" s="126"/>
      <c r="D119" s="126"/>
      <c r="E119" s="126"/>
      <c r="F119" s="126"/>
      <c r="G119" s="126"/>
      <c r="H119" s="126"/>
      <c r="I119" s="126"/>
      <c r="J119" s="126"/>
      <c r="K119" s="126"/>
      <c r="L119" s="126"/>
      <c r="M119" s="126"/>
      <c r="N119" s="126"/>
      <c r="O119" s="126"/>
      <c r="P119" s="126"/>
    </row>
    <row r="120" spans="1:16" x14ac:dyDescent="0.3">
      <c r="A120" s="126"/>
      <c r="B120" s="126"/>
      <c r="C120" s="126"/>
      <c r="D120" s="126"/>
      <c r="E120" s="126"/>
      <c r="F120" s="126"/>
      <c r="G120" s="126"/>
      <c r="H120" s="126"/>
      <c r="I120" s="126"/>
      <c r="J120" s="126"/>
      <c r="K120" s="126"/>
      <c r="L120" s="126"/>
      <c r="M120" s="126"/>
      <c r="N120" s="126"/>
      <c r="O120" s="126"/>
      <c r="P120" s="126"/>
    </row>
    <row r="121" spans="1:16" x14ac:dyDescent="0.3">
      <c r="A121" s="126"/>
      <c r="B121" s="126"/>
      <c r="C121" s="126"/>
      <c r="D121" s="126"/>
      <c r="E121" s="126"/>
      <c r="F121" s="126"/>
      <c r="G121" s="126"/>
      <c r="H121" s="126"/>
      <c r="I121" s="126"/>
      <c r="J121" s="126"/>
      <c r="K121" s="126"/>
      <c r="L121" s="126"/>
      <c r="M121" s="126"/>
      <c r="N121" s="126"/>
      <c r="O121" s="126"/>
      <c r="P121" s="126"/>
    </row>
    <row r="122" spans="1:16" x14ac:dyDescent="0.3">
      <c r="A122" s="126"/>
      <c r="B122" s="126"/>
      <c r="C122" s="126"/>
      <c r="D122" s="126"/>
      <c r="E122" s="126"/>
      <c r="F122" s="126"/>
      <c r="G122" s="126"/>
      <c r="H122" s="126"/>
      <c r="I122" s="126"/>
      <c r="J122" s="126"/>
      <c r="K122" s="126"/>
      <c r="L122" s="126"/>
      <c r="M122" s="126"/>
      <c r="N122" s="126"/>
      <c r="O122" s="126"/>
      <c r="P122" s="126"/>
    </row>
    <row r="123" spans="1:16" x14ac:dyDescent="0.3">
      <c r="A123" s="126"/>
      <c r="B123" s="126"/>
      <c r="C123" s="126"/>
      <c r="D123" s="126"/>
      <c r="E123" s="126"/>
      <c r="F123" s="126"/>
      <c r="G123" s="126"/>
      <c r="H123" s="126"/>
      <c r="I123" s="126"/>
      <c r="J123" s="126"/>
      <c r="K123" s="126"/>
      <c r="L123" s="126"/>
      <c r="M123" s="126"/>
      <c r="N123" s="126"/>
      <c r="O123" s="126"/>
      <c r="P123" s="126"/>
    </row>
    <row r="124" spans="1:16" x14ac:dyDescent="0.3">
      <c r="A124" s="126"/>
      <c r="B124" s="126"/>
      <c r="C124" s="126"/>
      <c r="D124" s="126"/>
      <c r="E124" s="126"/>
      <c r="F124" s="126"/>
      <c r="G124" s="126"/>
      <c r="H124" s="126"/>
      <c r="I124" s="126"/>
      <c r="J124" s="126"/>
      <c r="K124" s="126"/>
      <c r="L124" s="126"/>
      <c r="M124" s="126"/>
      <c r="N124" s="126"/>
      <c r="O124" s="126"/>
      <c r="P124" s="126"/>
    </row>
    <row r="125" spans="1:16" x14ac:dyDescent="0.3">
      <c r="A125" s="126"/>
      <c r="B125" s="126"/>
      <c r="C125" s="126"/>
      <c r="D125" s="126"/>
      <c r="E125" s="126"/>
      <c r="F125" s="126"/>
      <c r="G125" s="126"/>
      <c r="H125" s="126"/>
      <c r="I125" s="126"/>
      <c r="J125" s="126"/>
      <c r="K125" s="126"/>
      <c r="L125" s="126"/>
      <c r="M125" s="126"/>
      <c r="N125" s="126"/>
      <c r="O125" s="126"/>
      <c r="P125" s="126"/>
    </row>
    <row r="126" spans="1:16" x14ac:dyDescent="0.3">
      <c r="A126" s="126"/>
      <c r="B126" s="126"/>
      <c r="C126" s="126"/>
      <c r="D126" s="126"/>
      <c r="E126" s="126"/>
      <c r="F126" s="126"/>
      <c r="G126" s="126"/>
      <c r="H126" s="126"/>
      <c r="I126" s="126"/>
      <c r="J126" s="126"/>
      <c r="K126" s="126"/>
      <c r="L126" s="126"/>
      <c r="M126" s="126"/>
      <c r="N126" s="126"/>
      <c r="O126" s="126"/>
      <c r="P126" s="126"/>
    </row>
    <row r="127" spans="1:16" x14ac:dyDescent="0.3">
      <c r="A127" s="126"/>
      <c r="B127" s="126"/>
      <c r="C127" s="126"/>
      <c r="D127" s="126"/>
      <c r="E127" s="126"/>
      <c r="F127" s="126"/>
      <c r="G127" s="126"/>
      <c r="H127" s="126"/>
      <c r="I127" s="126"/>
      <c r="J127" s="126"/>
      <c r="K127" s="126"/>
      <c r="L127" s="126"/>
      <c r="M127" s="126"/>
      <c r="N127" s="126"/>
      <c r="O127" s="126"/>
      <c r="P127" s="126"/>
    </row>
    <row r="128" spans="1:16" x14ac:dyDescent="0.3">
      <c r="A128" s="126"/>
      <c r="B128" s="126"/>
      <c r="C128" s="126"/>
      <c r="D128" s="126"/>
      <c r="E128" s="126"/>
      <c r="F128" s="126"/>
      <c r="G128" s="126"/>
      <c r="H128" s="126"/>
      <c r="I128" s="126"/>
      <c r="J128" s="126"/>
      <c r="K128" s="126"/>
      <c r="L128" s="126"/>
      <c r="M128" s="126"/>
      <c r="N128" s="126"/>
      <c r="O128" s="126"/>
      <c r="P128" s="126"/>
    </row>
    <row r="129" spans="1:16" x14ac:dyDescent="0.3">
      <c r="A129" s="126"/>
      <c r="B129" s="126"/>
      <c r="C129" s="126"/>
      <c r="D129" s="126"/>
      <c r="E129" s="126"/>
      <c r="F129" s="126"/>
      <c r="G129" s="126"/>
      <c r="H129" s="126"/>
      <c r="I129" s="126"/>
      <c r="J129" s="126"/>
      <c r="K129" s="126"/>
      <c r="L129" s="126"/>
      <c r="M129" s="126"/>
      <c r="N129" s="126"/>
      <c r="O129" s="126"/>
      <c r="P129" s="126"/>
    </row>
    <row r="130" spans="1:16" x14ac:dyDescent="0.3">
      <c r="A130" s="126"/>
      <c r="B130" s="126"/>
      <c r="C130" s="126"/>
      <c r="D130" s="126"/>
      <c r="E130" s="126"/>
      <c r="F130" s="126"/>
      <c r="G130" s="126"/>
      <c r="H130" s="126"/>
      <c r="I130" s="126"/>
      <c r="J130" s="126"/>
      <c r="K130" s="126"/>
      <c r="L130" s="126"/>
      <c r="M130" s="126"/>
      <c r="N130" s="126"/>
      <c r="O130" s="126"/>
      <c r="P130" s="126"/>
    </row>
    <row r="131" spans="1:16" x14ac:dyDescent="0.3">
      <c r="A131" s="126"/>
      <c r="B131" s="126"/>
      <c r="C131" s="126"/>
      <c r="D131" s="126"/>
      <c r="E131" s="126"/>
      <c r="F131" s="126"/>
      <c r="G131" s="126"/>
      <c r="H131" s="126"/>
      <c r="I131" s="126"/>
      <c r="J131" s="126"/>
      <c r="K131" s="126"/>
      <c r="L131" s="126"/>
      <c r="M131" s="126"/>
      <c r="N131" s="126"/>
      <c r="O131" s="126"/>
      <c r="P131" s="126"/>
    </row>
    <row r="132" spans="1:16" x14ac:dyDescent="0.3">
      <c r="A132" s="126"/>
      <c r="B132" s="126"/>
      <c r="C132" s="126"/>
      <c r="D132" s="126"/>
      <c r="E132" s="126"/>
      <c r="F132" s="126"/>
      <c r="G132" s="126"/>
      <c r="H132" s="126"/>
      <c r="I132" s="126"/>
      <c r="J132" s="126"/>
      <c r="K132" s="126"/>
      <c r="L132" s="126"/>
      <c r="M132" s="126"/>
      <c r="N132" s="126"/>
      <c r="O132" s="126"/>
      <c r="P132" s="126"/>
    </row>
    <row r="133" spans="1:16" x14ac:dyDescent="0.3">
      <c r="A133" s="126"/>
      <c r="B133" s="126"/>
      <c r="C133" s="126"/>
      <c r="D133" s="126"/>
      <c r="E133" s="126"/>
      <c r="F133" s="126"/>
      <c r="G133" s="126"/>
      <c r="H133" s="126"/>
      <c r="I133" s="126"/>
      <c r="J133" s="126"/>
      <c r="K133" s="126"/>
      <c r="L133" s="126"/>
      <c r="M133" s="126"/>
      <c r="N133" s="126"/>
      <c r="O133" s="126"/>
      <c r="P133" s="126"/>
    </row>
    <row r="134" spans="1:16" x14ac:dyDescent="0.3">
      <c r="A134" s="126"/>
      <c r="B134" s="126"/>
      <c r="C134" s="126"/>
      <c r="D134" s="126"/>
      <c r="E134" s="126"/>
      <c r="F134" s="126"/>
      <c r="G134" s="126"/>
      <c r="H134" s="126"/>
      <c r="I134" s="126"/>
      <c r="J134" s="126"/>
      <c r="K134" s="126"/>
      <c r="L134" s="126"/>
      <c r="M134" s="126"/>
      <c r="N134" s="126"/>
      <c r="O134" s="126"/>
      <c r="P134" s="126"/>
    </row>
    <row r="135" spans="1:16" x14ac:dyDescent="0.3">
      <c r="A135" s="126"/>
      <c r="B135" s="126"/>
      <c r="C135" s="126"/>
      <c r="D135" s="126"/>
      <c r="E135" s="126"/>
      <c r="F135" s="126"/>
      <c r="G135" s="126"/>
      <c r="H135" s="126"/>
      <c r="I135" s="126"/>
      <c r="J135" s="126"/>
      <c r="K135" s="126"/>
      <c r="L135" s="126"/>
      <c r="M135" s="126"/>
      <c r="N135" s="126"/>
      <c r="O135" s="126"/>
      <c r="P135" s="126"/>
    </row>
    <row r="136" spans="1:16" x14ac:dyDescent="0.3">
      <c r="A136" s="126"/>
      <c r="B136" s="126"/>
      <c r="C136" s="126"/>
      <c r="D136" s="126"/>
      <c r="E136" s="126"/>
      <c r="F136" s="126"/>
      <c r="G136" s="126"/>
      <c r="H136" s="126"/>
      <c r="I136" s="126"/>
      <c r="J136" s="126"/>
      <c r="K136" s="126"/>
      <c r="L136" s="126"/>
      <c r="M136" s="126"/>
      <c r="N136" s="126"/>
      <c r="O136" s="126"/>
      <c r="P136" s="126"/>
    </row>
    <row r="137" spans="1:16" x14ac:dyDescent="0.3">
      <c r="A137" s="126"/>
      <c r="B137" s="126"/>
      <c r="C137" s="126"/>
      <c r="D137" s="126"/>
      <c r="E137" s="126"/>
      <c r="F137" s="126"/>
      <c r="G137" s="126"/>
      <c r="H137" s="126"/>
      <c r="I137" s="126"/>
      <c r="J137" s="126"/>
      <c r="K137" s="126"/>
      <c r="L137" s="126"/>
      <c r="M137" s="126"/>
      <c r="N137" s="126"/>
      <c r="O137" s="126"/>
      <c r="P137" s="126"/>
    </row>
    <row r="138" spans="1:16" x14ac:dyDescent="0.3">
      <c r="A138" s="126"/>
      <c r="B138" s="126"/>
      <c r="C138" s="126"/>
      <c r="D138" s="126"/>
      <c r="E138" s="126"/>
      <c r="F138" s="126"/>
      <c r="G138" s="126"/>
      <c r="H138" s="126"/>
      <c r="I138" s="126"/>
      <c r="J138" s="126"/>
      <c r="K138" s="126"/>
      <c r="L138" s="126"/>
      <c r="M138" s="126"/>
      <c r="N138" s="126"/>
      <c r="O138" s="126"/>
      <c r="P138" s="126"/>
    </row>
    <row r="139" spans="1:16" x14ac:dyDescent="0.3">
      <c r="A139" s="126"/>
      <c r="B139" s="126"/>
      <c r="C139" s="126"/>
      <c r="D139" s="126"/>
      <c r="E139" s="126"/>
      <c r="F139" s="126"/>
      <c r="G139" s="126"/>
      <c r="H139" s="126"/>
      <c r="I139" s="126"/>
      <c r="J139" s="126"/>
      <c r="K139" s="126"/>
      <c r="L139" s="126"/>
      <c r="M139" s="126"/>
      <c r="N139" s="126"/>
      <c r="O139" s="126"/>
      <c r="P139" s="126"/>
    </row>
    <row r="140" spans="1:16" x14ac:dyDescent="0.3">
      <c r="A140" s="126"/>
      <c r="B140" s="126"/>
      <c r="C140" s="126"/>
      <c r="D140" s="126"/>
      <c r="E140" s="126"/>
      <c r="F140" s="126"/>
      <c r="G140" s="126"/>
      <c r="H140" s="126"/>
      <c r="I140" s="126"/>
      <c r="J140" s="126"/>
      <c r="K140" s="126"/>
      <c r="L140" s="126"/>
      <c r="M140" s="126"/>
      <c r="N140" s="126"/>
      <c r="O140" s="126"/>
      <c r="P140" s="126"/>
    </row>
    <row r="141" spans="1:16" x14ac:dyDescent="0.3">
      <c r="A141" s="126"/>
      <c r="B141" s="126"/>
      <c r="C141" s="126"/>
      <c r="D141" s="126"/>
      <c r="E141" s="126"/>
      <c r="F141" s="126"/>
      <c r="G141" s="126"/>
      <c r="H141" s="126"/>
      <c r="I141" s="126"/>
      <c r="J141" s="126"/>
      <c r="K141" s="126"/>
      <c r="L141" s="126"/>
      <c r="M141" s="126"/>
      <c r="N141" s="126"/>
      <c r="O141" s="126"/>
      <c r="P141" s="126"/>
    </row>
    <row r="142" spans="1:16" x14ac:dyDescent="0.3">
      <c r="A142" s="126"/>
      <c r="B142" s="126"/>
      <c r="C142" s="126"/>
      <c r="D142" s="126"/>
      <c r="E142" s="126"/>
      <c r="F142" s="126"/>
      <c r="G142" s="126"/>
      <c r="H142" s="126"/>
      <c r="I142" s="126"/>
      <c r="J142" s="126"/>
      <c r="K142" s="126"/>
      <c r="L142" s="126"/>
      <c r="M142" s="126"/>
      <c r="N142" s="126"/>
      <c r="O142" s="126"/>
      <c r="P142" s="126"/>
    </row>
    <row r="143" spans="1:16" x14ac:dyDescent="0.3">
      <c r="A143" s="126"/>
      <c r="B143" s="126"/>
      <c r="C143" s="126"/>
      <c r="D143" s="126"/>
      <c r="E143" s="126"/>
      <c r="F143" s="126"/>
      <c r="G143" s="126"/>
      <c r="H143" s="126"/>
      <c r="I143" s="126"/>
      <c r="J143" s="126"/>
      <c r="K143" s="126"/>
      <c r="L143" s="126"/>
      <c r="M143" s="126"/>
      <c r="N143" s="126"/>
      <c r="O143" s="126"/>
      <c r="P143" s="126"/>
    </row>
    <row r="144" spans="1:16" x14ac:dyDescent="0.3">
      <c r="A144" s="126"/>
      <c r="B144" s="126"/>
      <c r="C144" s="126"/>
      <c r="D144" s="126"/>
      <c r="E144" s="126"/>
      <c r="F144" s="126"/>
      <c r="G144" s="126"/>
      <c r="H144" s="126"/>
      <c r="I144" s="126"/>
      <c r="J144" s="126"/>
      <c r="K144" s="126"/>
      <c r="L144" s="126"/>
      <c r="M144" s="126"/>
      <c r="N144" s="126"/>
      <c r="O144" s="126"/>
      <c r="P144" s="126"/>
    </row>
    <row r="145" spans="1:16" x14ac:dyDescent="0.3">
      <c r="A145" s="126"/>
      <c r="B145" s="126"/>
      <c r="C145" s="126"/>
      <c r="D145" s="126"/>
      <c r="E145" s="126"/>
      <c r="F145" s="126"/>
      <c r="G145" s="126"/>
      <c r="H145" s="126"/>
      <c r="I145" s="126"/>
      <c r="J145" s="126"/>
      <c r="K145" s="126"/>
      <c r="L145" s="126"/>
      <c r="M145" s="126"/>
      <c r="N145" s="126"/>
      <c r="O145" s="126"/>
      <c r="P145" s="126"/>
    </row>
    <row r="146" spans="1:16" x14ac:dyDescent="0.3">
      <c r="A146" s="126"/>
      <c r="B146" s="126"/>
      <c r="C146" s="126"/>
      <c r="D146" s="126"/>
      <c r="E146" s="126"/>
      <c r="F146" s="126"/>
      <c r="G146" s="126"/>
      <c r="H146" s="126"/>
      <c r="I146" s="126"/>
      <c r="J146" s="126"/>
      <c r="K146" s="126"/>
      <c r="L146" s="126"/>
      <c r="M146" s="126"/>
      <c r="N146" s="126"/>
      <c r="O146" s="126"/>
      <c r="P146" s="126"/>
    </row>
    <row r="147" spans="1:16" x14ac:dyDescent="0.3">
      <c r="A147" s="126"/>
      <c r="B147" s="126"/>
      <c r="C147" s="126"/>
      <c r="D147" s="126"/>
      <c r="E147" s="126"/>
      <c r="F147" s="126"/>
      <c r="G147" s="126"/>
      <c r="H147" s="126"/>
      <c r="I147" s="126"/>
      <c r="J147" s="126"/>
      <c r="K147" s="126"/>
      <c r="L147" s="126"/>
      <c r="M147" s="126"/>
      <c r="N147" s="126"/>
      <c r="O147" s="126"/>
      <c r="P147" s="126"/>
    </row>
    <row r="148" spans="1:16" x14ac:dyDescent="0.3">
      <c r="A148" s="126"/>
      <c r="B148" s="126"/>
      <c r="C148" s="126"/>
      <c r="D148" s="126"/>
      <c r="E148" s="126"/>
      <c r="F148" s="126"/>
      <c r="G148" s="126"/>
      <c r="H148" s="126"/>
      <c r="I148" s="126"/>
      <c r="J148" s="126"/>
      <c r="K148" s="126"/>
      <c r="L148" s="126"/>
      <c r="M148" s="126"/>
      <c r="N148" s="126"/>
      <c r="O148" s="126"/>
      <c r="P148" s="126"/>
    </row>
    <row r="149" spans="1:16" x14ac:dyDescent="0.3">
      <c r="A149" s="126"/>
      <c r="B149" s="126"/>
      <c r="C149" s="126"/>
      <c r="D149" s="126"/>
      <c r="E149" s="126"/>
      <c r="F149" s="126"/>
      <c r="G149" s="126"/>
      <c r="H149" s="126"/>
      <c r="I149" s="126"/>
      <c r="J149" s="126"/>
      <c r="K149" s="126"/>
      <c r="L149" s="126"/>
      <c r="M149" s="126"/>
      <c r="N149" s="126"/>
      <c r="O149" s="126"/>
      <c r="P149" s="126"/>
    </row>
    <row r="150" spans="1:16" x14ac:dyDescent="0.3">
      <c r="A150" s="126"/>
      <c r="B150" s="126"/>
      <c r="C150" s="126"/>
      <c r="D150" s="126"/>
      <c r="E150" s="126"/>
      <c r="F150" s="126"/>
      <c r="G150" s="126"/>
      <c r="H150" s="126"/>
      <c r="I150" s="126"/>
      <c r="J150" s="126"/>
      <c r="K150" s="126"/>
      <c r="L150" s="126"/>
      <c r="M150" s="126"/>
      <c r="N150" s="126"/>
      <c r="O150" s="126"/>
      <c r="P150" s="126"/>
    </row>
    <row r="151" spans="1:16" x14ac:dyDescent="0.3">
      <c r="A151" s="126"/>
      <c r="B151" s="126"/>
      <c r="C151" s="126"/>
      <c r="D151" s="126"/>
      <c r="E151" s="126"/>
      <c r="F151" s="126"/>
      <c r="G151" s="126"/>
      <c r="H151" s="126"/>
      <c r="I151" s="126"/>
      <c r="J151" s="126"/>
      <c r="K151" s="126"/>
      <c r="L151" s="126"/>
      <c r="M151" s="126"/>
      <c r="N151" s="126"/>
      <c r="O151" s="126"/>
      <c r="P151" s="126"/>
    </row>
    <row r="152" spans="1:16" x14ac:dyDescent="0.3">
      <c r="A152" s="126"/>
      <c r="B152" s="126"/>
      <c r="C152" s="126"/>
      <c r="D152" s="126"/>
      <c r="E152" s="126"/>
      <c r="F152" s="126"/>
      <c r="G152" s="126"/>
      <c r="H152" s="126"/>
      <c r="I152" s="126"/>
      <c r="J152" s="126"/>
      <c r="K152" s="126"/>
      <c r="L152" s="126"/>
      <c r="M152" s="126"/>
      <c r="N152" s="126"/>
      <c r="O152" s="126"/>
      <c r="P152" s="126"/>
    </row>
    <row r="153" spans="1:16" x14ac:dyDescent="0.3">
      <c r="A153" s="126"/>
      <c r="B153" s="126"/>
      <c r="C153" s="126"/>
      <c r="D153" s="126"/>
      <c r="E153" s="126"/>
      <c r="F153" s="126"/>
      <c r="G153" s="126"/>
      <c r="H153" s="126"/>
      <c r="I153" s="126"/>
      <c r="J153" s="126"/>
      <c r="K153" s="126"/>
      <c r="L153" s="126"/>
      <c r="M153" s="126"/>
      <c r="N153" s="126"/>
      <c r="O153" s="126"/>
      <c r="P153" s="126"/>
    </row>
    <row r="154" spans="1:16" x14ac:dyDescent="0.3">
      <c r="A154" s="126"/>
      <c r="B154" s="126"/>
      <c r="C154" s="126"/>
      <c r="D154" s="126"/>
      <c r="E154" s="126"/>
      <c r="F154" s="126"/>
      <c r="G154" s="126"/>
      <c r="H154" s="126"/>
      <c r="I154" s="126"/>
      <c r="J154" s="126"/>
      <c r="K154" s="126"/>
      <c r="L154" s="126"/>
      <c r="M154" s="126"/>
      <c r="N154" s="126"/>
      <c r="O154" s="126"/>
      <c r="P154" s="126"/>
    </row>
    <row r="155" spans="1:16" x14ac:dyDescent="0.3">
      <c r="A155" s="126"/>
      <c r="B155" s="126"/>
      <c r="C155" s="126"/>
      <c r="D155" s="126"/>
      <c r="E155" s="126"/>
      <c r="F155" s="126"/>
      <c r="G155" s="126"/>
      <c r="H155" s="126"/>
      <c r="I155" s="126"/>
      <c r="J155" s="126"/>
      <c r="K155" s="126"/>
      <c r="L155" s="126"/>
      <c r="M155" s="126"/>
      <c r="N155" s="126"/>
      <c r="O155" s="126"/>
      <c r="P155" s="126"/>
    </row>
    <row r="156" spans="1:16" x14ac:dyDescent="0.3">
      <c r="A156" s="126"/>
      <c r="B156" s="126"/>
      <c r="C156" s="126"/>
      <c r="D156" s="126"/>
      <c r="E156" s="126"/>
      <c r="F156" s="126"/>
      <c r="G156" s="126"/>
      <c r="H156" s="126"/>
      <c r="I156" s="126"/>
      <c r="J156" s="126"/>
      <c r="K156" s="126"/>
      <c r="L156" s="126"/>
      <c r="M156" s="126"/>
      <c r="N156" s="126"/>
      <c r="O156" s="126"/>
      <c r="P156" s="126"/>
    </row>
    <row r="157" spans="1:16" x14ac:dyDescent="0.3">
      <c r="A157" s="126"/>
      <c r="B157" s="126"/>
      <c r="C157" s="126"/>
      <c r="D157" s="126"/>
      <c r="E157" s="126"/>
      <c r="F157" s="126"/>
      <c r="G157" s="126"/>
      <c r="H157" s="126"/>
      <c r="I157" s="126"/>
      <c r="J157" s="126"/>
      <c r="K157" s="126"/>
      <c r="L157" s="126"/>
      <c r="M157" s="126"/>
      <c r="N157" s="126"/>
      <c r="O157" s="126"/>
      <c r="P157" s="126"/>
    </row>
    <row r="158" spans="1:16" x14ac:dyDescent="0.3">
      <c r="A158" s="126"/>
      <c r="B158" s="126"/>
      <c r="C158" s="126"/>
      <c r="D158" s="126"/>
      <c r="E158" s="126"/>
      <c r="F158" s="126"/>
      <c r="G158" s="126"/>
      <c r="H158" s="126"/>
      <c r="I158" s="126"/>
      <c r="J158" s="126"/>
      <c r="K158" s="126"/>
      <c r="L158" s="126"/>
      <c r="M158" s="126"/>
      <c r="N158" s="126"/>
      <c r="O158" s="126"/>
      <c r="P158" s="126"/>
    </row>
    <row r="159" spans="1:16" x14ac:dyDescent="0.3">
      <c r="A159" s="126"/>
      <c r="B159" s="126"/>
      <c r="C159" s="126"/>
      <c r="D159" s="126"/>
      <c r="E159" s="126"/>
      <c r="F159" s="126"/>
      <c r="G159" s="126"/>
      <c r="H159" s="126"/>
      <c r="I159" s="126"/>
      <c r="J159" s="126"/>
      <c r="K159" s="126"/>
      <c r="L159" s="126"/>
      <c r="M159" s="126"/>
      <c r="N159" s="126"/>
      <c r="O159" s="126"/>
      <c r="P159" s="126"/>
    </row>
    <row r="160" spans="1:16" x14ac:dyDescent="0.3">
      <c r="A160" s="126"/>
      <c r="B160" s="126"/>
      <c r="C160" s="126"/>
      <c r="D160" s="126"/>
      <c r="E160" s="126"/>
      <c r="F160" s="126"/>
      <c r="G160" s="126"/>
      <c r="H160" s="126"/>
      <c r="I160" s="126"/>
      <c r="J160" s="126"/>
      <c r="K160" s="126"/>
      <c r="L160" s="126"/>
      <c r="M160" s="126"/>
      <c r="N160" s="126"/>
      <c r="O160" s="126"/>
      <c r="P160" s="126"/>
    </row>
    <row r="161" spans="1:16" x14ac:dyDescent="0.3">
      <c r="A161" s="126"/>
      <c r="B161" s="126"/>
      <c r="C161" s="126"/>
      <c r="D161" s="126"/>
      <c r="E161" s="126"/>
      <c r="F161" s="126"/>
      <c r="G161" s="126"/>
      <c r="H161" s="126"/>
      <c r="I161" s="126"/>
      <c r="J161" s="126"/>
      <c r="K161" s="126"/>
      <c r="L161" s="126"/>
      <c r="M161" s="126"/>
      <c r="N161" s="126"/>
      <c r="O161" s="126"/>
      <c r="P161" s="126"/>
    </row>
    <row r="162" spans="1:16" x14ac:dyDescent="0.3">
      <c r="A162" s="126"/>
      <c r="B162" s="126"/>
      <c r="C162" s="126"/>
      <c r="D162" s="126"/>
      <c r="E162" s="126"/>
      <c r="F162" s="126"/>
      <c r="G162" s="126"/>
      <c r="H162" s="126"/>
      <c r="I162" s="126"/>
      <c r="J162" s="126"/>
      <c r="K162" s="126"/>
      <c r="L162" s="126"/>
      <c r="M162" s="126"/>
      <c r="N162" s="126"/>
      <c r="O162" s="126"/>
      <c r="P162" s="126"/>
    </row>
    <row r="163" spans="1:16" x14ac:dyDescent="0.3">
      <c r="A163" s="126"/>
      <c r="B163" s="126"/>
      <c r="C163" s="126"/>
      <c r="D163" s="126"/>
      <c r="E163" s="126"/>
      <c r="F163" s="126"/>
      <c r="G163" s="126"/>
      <c r="H163" s="126"/>
      <c r="I163" s="126"/>
      <c r="J163" s="126"/>
      <c r="K163" s="126"/>
      <c r="L163" s="126"/>
      <c r="M163" s="126"/>
      <c r="N163" s="126"/>
      <c r="O163" s="126"/>
      <c r="P163" s="126"/>
    </row>
    <row r="164" spans="1:16" x14ac:dyDescent="0.3">
      <c r="A164" s="126"/>
      <c r="B164" s="126"/>
      <c r="C164" s="126"/>
      <c r="D164" s="126"/>
      <c r="E164" s="126"/>
      <c r="F164" s="126"/>
      <c r="G164" s="126"/>
      <c r="H164" s="126"/>
      <c r="I164" s="126"/>
      <c r="J164" s="126"/>
      <c r="K164" s="126"/>
      <c r="L164" s="126"/>
      <c r="M164" s="126"/>
      <c r="N164" s="126"/>
      <c r="O164" s="126"/>
      <c r="P164" s="126"/>
    </row>
    <row r="165" spans="1:16" x14ac:dyDescent="0.3">
      <c r="A165" s="126"/>
      <c r="B165" s="126"/>
      <c r="C165" s="126"/>
      <c r="D165" s="126"/>
      <c r="E165" s="126"/>
      <c r="F165" s="126"/>
      <c r="G165" s="126"/>
      <c r="H165" s="126"/>
      <c r="I165" s="126"/>
      <c r="J165" s="126"/>
      <c r="K165" s="126"/>
      <c r="L165" s="126"/>
      <c r="M165" s="126"/>
      <c r="N165" s="126"/>
      <c r="O165" s="126"/>
      <c r="P165" s="126"/>
    </row>
    <row r="166" spans="1:16" x14ac:dyDescent="0.3">
      <c r="A166" s="126"/>
      <c r="B166" s="126"/>
      <c r="C166" s="126"/>
      <c r="D166" s="126"/>
      <c r="E166" s="126"/>
      <c r="F166" s="126"/>
      <c r="G166" s="126"/>
      <c r="H166" s="126"/>
      <c r="I166" s="126"/>
      <c r="J166" s="126"/>
      <c r="K166" s="126"/>
      <c r="L166" s="126"/>
      <c r="M166" s="126"/>
      <c r="N166" s="126"/>
      <c r="O166" s="126"/>
      <c r="P166" s="126"/>
    </row>
    <row r="167" spans="1:16" x14ac:dyDescent="0.3">
      <c r="A167" s="126"/>
      <c r="B167" s="126"/>
      <c r="C167" s="126"/>
      <c r="D167" s="126"/>
      <c r="E167" s="126"/>
      <c r="F167" s="126"/>
      <c r="G167" s="126"/>
      <c r="H167" s="126"/>
      <c r="I167" s="126"/>
      <c r="J167" s="126"/>
      <c r="K167" s="126"/>
      <c r="L167" s="126"/>
      <c r="M167" s="126"/>
      <c r="N167" s="126"/>
      <c r="O167" s="126"/>
      <c r="P167" s="126"/>
    </row>
    <row r="168" spans="1:16" x14ac:dyDescent="0.3">
      <c r="A168" s="126"/>
      <c r="B168" s="126"/>
      <c r="C168" s="126"/>
      <c r="D168" s="126"/>
      <c r="E168" s="126"/>
      <c r="F168" s="126"/>
      <c r="G168" s="126"/>
      <c r="H168" s="126"/>
      <c r="I168" s="126"/>
      <c r="J168" s="126"/>
      <c r="K168" s="126"/>
      <c r="L168" s="126"/>
      <c r="M168" s="126"/>
      <c r="N168" s="126"/>
      <c r="O168" s="126"/>
      <c r="P168" s="126"/>
    </row>
    <row r="169" spans="1:16" x14ac:dyDescent="0.3">
      <c r="A169" s="126"/>
      <c r="B169" s="126"/>
      <c r="C169" s="126"/>
      <c r="D169" s="126"/>
      <c r="E169" s="126"/>
      <c r="F169" s="126"/>
      <c r="G169" s="126"/>
      <c r="H169" s="126"/>
      <c r="I169" s="126"/>
      <c r="J169" s="126"/>
      <c r="K169" s="126"/>
      <c r="L169" s="126"/>
      <c r="M169" s="126"/>
      <c r="N169" s="126"/>
      <c r="O169" s="126"/>
      <c r="P169" s="126"/>
    </row>
    <row r="170" spans="1:16" x14ac:dyDescent="0.3">
      <c r="A170" s="126"/>
      <c r="B170" s="126"/>
      <c r="C170" s="126"/>
      <c r="D170" s="126"/>
      <c r="E170" s="126"/>
      <c r="F170" s="126"/>
      <c r="G170" s="126"/>
      <c r="H170" s="126"/>
      <c r="I170" s="126"/>
      <c r="J170" s="126"/>
      <c r="K170" s="126"/>
      <c r="L170" s="126"/>
      <c r="M170" s="126"/>
      <c r="N170" s="126"/>
      <c r="O170" s="126"/>
      <c r="P170" s="126"/>
    </row>
  </sheetData>
  <mergeCells count="18">
    <mergeCell ref="J43:K45"/>
    <mergeCell ref="F43:G43"/>
    <mergeCell ref="H43:I43"/>
    <mergeCell ref="I46:I51"/>
    <mergeCell ref="J51:K51"/>
    <mergeCell ref="J46:K50"/>
    <mergeCell ref="D43:E45"/>
    <mergeCell ref="D46:E51"/>
    <mergeCell ref="F46:F51"/>
    <mergeCell ref="G46:G51"/>
    <mergeCell ref="H46:H51"/>
    <mergeCell ref="T13:T14"/>
    <mergeCell ref="D6:Q6"/>
    <mergeCell ref="A3:Q3"/>
    <mergeCell ref="A15:A19"/>
    <mergeCell ref="A1:F1"/>
    <mergeCell ref="A2:F2"/>
    <mergeCell ref="A13:A14"/>
  </mergeCells>
  <phoneticPr fontId="29" type="noConversion"/>
  <printOptions horizontalCentered="1" verticalCentered="1"/>
  <pageMargins left="0.48" right="0.11811023622047245" top="0.78740157480314965" bottom="0.35433070866141736" header="0.31496062992125984" footer="0.31496062992125984"/>
  <pageSetup paperSize="9" scale="60" orientation="portrait"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rgb="FFFFC000"/>
  </sheetPr>
  <dimension ref="A1:JA63"/>
  <sheetViews>
    <sheetView view="pageBreakPreview" topLeftCell="A21" zoomScale="85" zoomScaleNormal="75" zoomScaleSheetLayoutView="85" workbookViewId="0">
      <selection activeCell="D33" sqref="D33"/>
    </sheetView>
  </sheetViews>
  <sheetFormatPr baseColWidth="10" defaultColWidth="10.5546875" defaultRowHeight="13.2" x14ac:dyDescent="0.25"/>
  <cols>
    <col min="1" max="1" width="6.6640625" style="2" customWidth="1"/>
    <col min="2" max="2" width="20.5546875" style="2" customWidth="1"/>
    <col min="3" max="3" width="3.109375" style="2" customWidth="1"/>
    <col min="4" max="4" width="14" style="2" customWidth="1"/>
    <col min="5" max="5" width="15.109375" style="2" customWidth="1"/>
    <col min="6" max="7" width="14.33203125" style="2" customWidth="1"/>
    <col min="8" max="8" width="14.5546875" style="2" bestFit="1" customWidth="1"/>
    <col min="9" max="9" width="14.5546875" style="2" customWidth="1"/>
    <col min="10" max="11" width="15.88671875" style="2" customWidth="1"/>
    <col min="12" max="12" width="15.109375" style="2" customWidth="1"/>
    <col min="13" max="13" width="13.44140625" style="2" customWidth="1"/>
    <col min="14" max="14" width="13.5546875" style="2" customWidth="1"/>
    <col min="15" max="15" width="13.109375" style="2" customWidth="1"/>
    <col min="16" max="16384" width="10.5546875" style="2"/>
  </cols>
  <sheetData>
    <row r="1" spans="2:261" x14ac:dyDescent="0.25">
      <c r="F1" s="31"/>
      <c r="G1" s="31"/>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c r="AL1" s="27"/>
      <c r="AM1" s="27"/>
      <c r="AN1" s="27"/>
      <c r="AO1" s="27"/>
      <c r="AP1" s="27"/>
      <c r="AQ1" s="27"/>
      <c r="AR1" s="27"/>
      <c r="AS1" s="27"/>
      <c r="AT1" s="27"/>
      <c r="AU1" s="27"/>
      <c r="AV1" s="27"/>
      <c r="AW1" s="27"/>
      <c r="AX1" s="27"/>
      <c r="AY1" s="27"/>
      <c r="AZ1" s="27"/>
      <c r="BA1" s="27"/>
      <c r="BB1" s="27"/>
      <c r="BC1" s="27"/>
      <c r="BD1" s="27"/>
      <c r="BE1" s="27"/>
      <c r="BF1" s="27"/>
      <c r="BG1" s="27"/>
      <c r="BH1" s="27"/>
      <c r="BI1" s="27"/>
      <c r="BJ1" s="27"/>
      <c r="BK1" s="27"/>
      <c r="BL1" s="27"/>
      <c r="BM1" s="27"/>
      <c r="BN1" s="27"/>
      <c r="BO1" s="27"/>
      <c r="BP1" s="27"/>
      <c r="BQ1" s="27"/>
      <c r="BR1" s="27"/>
      <c r="BS1" s="27"/>
      <c r="BT1" s="27"/>
      <c r="BU1" s="27"/>
      <c r="BV1" s="27"/>
      <c r="BW1" s="27"/>
      <c r="BX1" s="27"/>
      <c r="BY1" s="27"/>
      <c r="BZ1" s="27"/>
      <c r="CA1" s="27"/>
      <c r="CB1" s="27"/>
      <c r="CC1" s="27"/>
      <c r="CD1" s="27"/>
      <c r="CE1" s="27"/>
      <c r="CF1" s="27"/>
      <c r="CG1" s="27"/>
      <c r="CH1" s="27"/>
      <c r="CI1" s="27"/>
      <c r="CJ1" s="27"/>
      <c r="CK1" s="27"/>
      <c r="CL1" s="27"/>
      <c r="CM1" s="27"/>
      <c r="CN1" s="27"/>
      <c r="CO1" s="27"/>
      <c r="CP1" s="27"/>
      <c r="CQ1" s="27"/>
      <c r="CR1" s="27"/>
      <c r="CS1" s="27"/>
      <c r="CT1" s="27"/>
      <c r="CU1" s="27"/>
      <c r="CV1" s="27"/>
      <c r="CW1" s="27"/>
      <c r="CX1" s="27"/>
      <c r="CY1" s="27"/>
      <c r="CZ1" s="27"/>
      <c r="DA1" s="27"/>
      <c r="DB1" s="27"/>
      <c r="DC1" s="27"/>
      <c r="DD1" s="27"/>
      <c r="DE1" s="27"/>
      <c r="DF1" s="27"/>
      <c r="DG1" s="27"/>
      <c r="DH1" s="27"/>
      <c r="DI1" s="27"/>
      <c r="DJ1" s="27"/>
      <c r="DK1" s="27"/>
      <c r="DL1" s="27"/>
      <c r="DM1" s="27"/>
      <c r="DN1" s="27"/>
      <c r="DO1" s="27"/>
      <c r="DP1" s="27"/>
      <c r="DQ1" s="27"/>
      <c r="DR1" s="27"/>
      <c r="DS1" s="27"/>
      <c r="DT1" s="27"/>
      <c r="DU1" s="27"/>
      <c r="DV1" s="27"/>
      <c r="DW1" s="27"/>
      <c r="DX1" s="27"/>
      <c r="DY1" s="27"/>
      <c r="DZ1" s="27"/>
      <c r="EA1" s="27"/>
      <c r="EB1" s="27"/>
      <c r="EC1" s="27"/>
      <c r="ED1" s="27"/>
      <c r="EE1" s="27"/>
      <c r="EF1" s="27"/>
      <c r="EG1" s="27"/>
      <c r="EH1" s="27"/>
      <c r="EI1" s="27"/>
      <c r="EJ1" s="27"/>
      <c r="EK1" s="27"/>
      <c r="EL1" s="27"/>
      <c r="EM1" s="27"/>
      <c r="EN1" s="27"/>
      <c r="EO1" s="27"/>
      <c r="EP1" s="27"/>
      <c r="EQ1" s="27"/>
      <c r="ER1" s="27"/>
      <c r="ES1" s="27"/>
      <c r="ET1" s="27"/>
      <c r="EU1" s="27"/>
      <c r="EV1" s="27"/>
      <c r="EW1" s="27"/>
      <c r="EX1" s="27"/>
      <c r="EY1" s="27"/>
      <c r="EZ1" s="27"/>
      <c r="FA1" s="27"/>
      <c r="FB1" s="27"/>
      <c r="FC1" s="27"/>
      <c r="FD1" s="27"/>
      <c r="FE1" s="27"/>
      <c r="FF1" s="27"/>
      <c r="FG1" s="27"/>
      <c r="FH1" s="27"/>
      <c r="FI1" s="27"/>
      <c r="FJ1" s="27"/>
      <c r="FK1" s="27"/>
      <c r="FL1" s="27"/>
      <c r="FM1" s="27"/>
      <c r="FN1" s="27"/>
      <c r="FO1" s="27"/>
      <c r="FP1" s="27"/>
      <c r="FQ1" s="27"/>
      <c r="FR1" s="27"/>
      <c r="FS1" s="27"/>
      <c r="FT1" s="27"/>
      <c r="FU1" s="27"/>
      <c r="FV1" s="27"/>
      <c r="FW1" s="27"/>
      <c r="FX1" s="27"/>
      <c r="FY1" s="27"/>
      <c r="FZ1" s="27"/>
      <c r="GA1" s="27"/>
      <c r="GB1" s="27"/>
      <c r="GC1" s="27"/>
      <c r="GD1" s="27"/>
      <c r="GE1" s="27"/>
      <c r="GF1" s="27"/>
      <c r="GG1" s="27"/>
      <c r="GH1" s="27"/>
      <c r="GI1" s="27"/>
      <c r="GJ1" s="27"/>
      <c r="GK1" s="27"/>
      <c r="GL1" s="27"/>
      <c r="GM1" s="27"/>
      <c r="GN1" s="27"/>
      <c r="GO1" s="27"/>
      <c r="GP1" s="27"/>
      <c r="GQ1" s="27"/>
      <c r="GR1" s="27"/>
      <c r="GS1" s="27"/>
      <c r="GT1" s="27"/>
      <c r="GU1" s="27"/>
      <c r="GV1" s="27"/>
      <c r="GW1" s="27"/>
      <c r="GX1" s="27"/>
      <c r="GY1" s="27"/>
      <c r="GZ1" s="27"/>
      <c r="HA1" s="27"/>
      <c r="HB1" s="27"/>
      <c r="HC1" s="27"/>
      <c r="HD1" s="27"/>
      <c r="HE1" s="27"/>
      <c r="HF1" s="27"/>
      <c r="HG1" s="27"/>
      <c r="HH1" s="27"/>
      <c r="HI1" s="27"/>
      <c r="HJ1" s="27"/>
      <c r="HK1" s="27"/>
      <c r="HL1" s="27"/>
      <c r="HM1" s="27"/>
      <c r="HN1" s="27"/>
      <c r="HO1" s="27"/>
      <c r="HP1" s="27"/>
      <c r="HQ1" s="27"/>
      <c r="HR1" s="27"/>
      <c r="HS1" s="27"/>
      <c r="HT1" s="27"/>
      <c r="HU1" s="27"/>
      <c r="HV1" s="27"/>
      <c r="HW1" s="27"/>
      <c r="HX1" s="27"/>
      <c r="HY1" s="27"/>
      <c r="HZ1" s="27"/>
      <c r="IA1" s="27"/>
      <c r="IB1" s="27"/>
      <c r="IC1" s="27"/>
      <c r="ID1" s="27"/>
      <c r="IE1" s="27"/>
      <c r="IF1" s="27"/>
      <c r="IG1" s="27"/>
      <c r="IH1" s="27"/>
      <c r="II1" s="27"/>
      <c r="IJ1" s="27"/>
      <c r="IK1" s="27"/>
      <c r="IL1" s="27"/>
      <c r="IM1" s="27"/>
      <c r="IN1" s="27"/>
      <c r="IO1" s="27"/>
      <c r="IP1" s="27"/>
      <c r="IQ1" s="27"/>
      <c r="IR1" s="27"/>
      <c r="IS1" s="27"/>
      <c r="IT1" s="27"/>
      <c r="IU1" s="27"/>
      <c r="IV1" s="27"/>
      <c r="IW1" s="27"/>
      <c r="IX1" s="27"/>
      <c r="IY1" s="27"/>
      <c r="IZ1" s="27"/>
      <c r="JA1" s="27"/>
    </row>
    <row r="2" spans="2:261" x14ac:dyDescent="0.25">
      <c r="F2" s="31"/>
      <c r="G2" s="31"/>
      <c r="H2" s="27"/>
      <c r="I2" s="27"/>
      <c r="J2" s="27"/>
      <c r="K2" s="27"/>
      <c r="L2" s="27"/>
      <c r="M2" s="27"/>
      <c r="N2" s="27"/>
      <c r="O2" s="27"/>
      <c r="P2" s="27"/>
      <c r="Q2" s="27"/>
      <c r="R2" s="27"/>
      <c r="S2" s="27"/>
      <c r="T2" s="27"/>
      <c r="U2" s="27"/>
      <c r="V2" s="27"/>
      <c r="W2" s="27"/>
      <c r="X2" s="27"/>
      <c r="Y2" s="27"/>
      <c r="Z2" s="27"/>
      <c r="AA2" s="27"/>
      <c r="AB2" s="27"/>
      <c r="AC2" s="27"/>
      <c r="AD2" s="27"/>
      <c r="AE2" s="27"/>
      <c r="AF2" s="27"/>
      <c r="AG2" s="27"/>
      <c r="AH2" s="27"/>
      <c r="AI2" s="27"/>
      <c r="AJ2" s="27"/>
      <c r="AK2" s="27"/>
      <c r="AL2" s="27"/>
      <c r="AM2" s="27"/>
      <c r="AN2" s="27"/>
      <c r="AO2" s="27"/>
      <c r="AP2" s="27"/>
      <c r="AQ2" s="27"/>
      <c r="AR2" s="27"/>
      <c r="AS2" s="27"/>
      <c r="AT2" s="27"/>
      <c r="AU2" s="27"/>
      <c r="AV2" s="27"/>
      <c r="AW2" s="27"/>
      <c r="AX2" s="27"/>
      <c r="AY2" s="27"/>
      <c r="AZ2" s="27"/>
      <c r="BA2" s="27"/>
      <c r="BB2" s="27"/>
      <c r="BC2" s="27"/>
      <c r="BD2" s="27"/>
      <c r="BE2" s="27"/>
      <c r="BF2" s="27"/>
      <c r="BG2" s="27"/>
      <c r="BH2" s="27"/>
      <c r="BI2" s="27"/>
      <c r="BJ2" s="27"/>
      <c r="BK2" s="27"/>
      <c r="BL2" s="27"/>
      <c r="BM2" s="27"/>
      <c r="BN2" s="27"/>
      <c r="BO2" s="27"/>
      <c r="BP2" s="27"/>
      <c r="BQ2" s="27"/>
      <c r="BR2" s="27"/>
      <c r="BS2" s="27"/>
      <c r="BT2" s="27"/>
      <c r="BU2" s="27"/>
      <c r="BV2" s="27"/>
      <c r="BW2" s="27"/>
      <c r="BX2" s="27"/>
      <c r="BY2" s="27"/>
      <c r="BZ2" s="27"/>
      <c r="CA2" s="27"/>
      <c r="CB2" s="27"/>
      <c r="CC2" s="27"/>
      <c r="CD2" s="27"/>
      <c r="CE2" s="27"/>
      <c r="CF2" s="27"/>
      <c r="CG2" s="27"/>
      <c r="CH2" s="27"/>
      <c r="CI2" s="27"/>
      <c r="CJ2" s="27"/>
      <c r="CK2" s="27"/>
      <c r="CL2" s="27"/>
      <c r="CM2" s="27"/>
      <c r="CN2" s="27"/>
      <c r="CO2" s="27"/>
      <c r="CP2" s="27"/>
      <c r="CQ2" s="27"/>
      <c r="CR2" s="27"/>
      <c r="CS2" s="27"/>
      <c r="CT2" s="27"/>
      <c r="CU2" s="27"/>
      <c r="CV2" s="27"/>
      <c r="CW2" s="27"/>
      <c r="CX2" s="27"/>
      <c r="CY2" s="27"/>
      <c r="CZ2" s="27"/>
      <c r="DA2" s="27"/>
      <c r="DB2" s="27"/>
      <c r="DC2" s="27"/>
      <c r="DD2" s="27"/>
      <c r="DE2" s="27"/>
      <c r="DF2" s="27"/>
      <c r="DG2" s="27"/>
      <c r="DH2" s="27"/>
      <c r="DI2" s="27"/>
      <c r="DJ2" s="27"/>
      <c r="DK2" s="27"/>
      <c r="DL2" s="27"/>
      <c r="DM2" s="27"/>
      <c r="DN2" s="27"/>
      <c r="DO2" s="27"/>
      <c r="DP2" s="27"/>
      <c r="DQ2" s="27"/>
      <c r="DR2" s="27"/>
      <c r="DS2" s="27"/>
      <c r="DT2" s="27"/>
      <c r="DU2" s="27"/>
      <c r="DV2" s="27"/>
      <c r="DW2" s="27"/>
      <c r="DX2" s="27"/>
      <c r="DY2" s="27"/>
      <c r="DZ2" s="27"/>
      <c r="EA2" s="27"/>
      <c r="EB2" s="27"/>
      <c r="EC2" s="27"/>
      <c r="ED2" s="27"/>
      <c r="EE2" s="27"/>
      <c r="EF2" s="27"/>
      <c r="EG2" s="27"/>
      <c r="EH2" s="27"/>
      <c r="EI2" s="27"/>
      <c r="EJ2" s="27"/>
      <c r="EK2" s="27"/>
      <c r="EL2" s="27"/>
      <c r="EM2" s="27"/>
      <c r="EN2" s="27"/>
      <c r="EO2" s="27"/>
      <c r="EP2" s="27"/>
      <c r="EQ2" s="27"/>
      <c r="ER2" s="27"/>
      <c r="ES2" s="27"/>
      <c r="ET2" s="27"/>
      <c r="EU2" s="27"/>
      <c r="EV2" s="27"/>
      <c r="EW2" s="27"/>
      <c r="EX2" s="27"/>
      <c r="EY2" s="27"/>
      <c r="EZ2" s="27"/>
      <c r="FA2" s="27"/>
      <c r="FB2" s="27"/>
      <c r="FC2" s="27"/>
      <c r="FD2" s="27"/>
      <c r="FE2" s="27"/>
      <c r="FF2" s="27"/>
      <c r="FG2" s="27"/>
      <c r="FH2" s="27"/>
      <c r="FI2" s="27"/>
      <c r="FJ2" s="27"/>
      <c r="FK2" s="27"/>
      <c r="FL2" s="27"/>
      <c r="FM2" s="27"/>
      <c r="FN2" s="27"/>
      <c r="FO2" s="27"/>
      <c r="FP2" s="27"/>
      <c r="FQ2" s="27"/>
      <c r="FR2" s="27"/>
      <c r="FS2" s="27"/>
      <c r="FT2" s="27"/>
      <c r="FU2" s="27"/>
      <c r="FV2" s="27"/>
      <c r="FW2" s="27"/>
      <c r="FX2" s="27"/>
      <c r="FY2" s="27"/>
      <c r="FZ2" s="27"/>
      <c r="GA2" s="27"/>
      <c r="GB2" s="27"/>
      <c r="GC2" s="27"/>
      <c r="GD2" s="27"/>
      <c r="GE2" s="27"/>
      <c r="GF2" s="27"/>
      <c r="GG2" s="27"/>
      <c r="GH2" s="27"/>
      <c r="GI2" s="27"/>
      <c r="GJ2" s="27"/>
      <c r="GK2" s="27"/>
      <c r="GL2" s="27"/>
      <c r="GM2" s="27"/>
      <c r="GN2" s="27"/>
      <c r="GO2" s="27"/>
      <c r="GP2" s="27"/>
      <c r="GQ2" s="27"/>
      <c r="GR2" s="27"/>
      <c r="GS2" s="27"/>
      <c r="GT2" s="27"/>
      <c r="GU2" s="27"/>
      <c r="GV2" s="27"/>
      <c r="GW2" s="27"/>
      <c r="GX2" s="27"/>
      <c r="GY2" s="27"/>
      <c r="GZ2" s="27"/>
      <c r="HA2" s="27"/>
      <c r="HB2" s="27"/>
      <c r="HC2" s="27"/>
      <c r="HD2" s="27"/>
      <c r="HE2" s="27"/>
      <c r="HF2" s="27"/>
      <c r="HG2" s="27"/>
      <c r="HH2" s="27"/>
      <c r="HI2" s="27"/>
      <c r="HJ2" s="27"/>
      <c r="HK2" s="27"/>
      <c r="HL2" s="27"/>
      <c r="HM2" s="27"/>
      <c r="HN2" s="27"/>
      <c r="HO2" s="27"/>
      <c r="HP2" s="27"/>
      <c r="HQ2" s="27"/>
      <c r="HR2" s="27"/>
      <c r="HS2" s="27"/>
      <c r="HT2" s="27"/>
      <c r="HU2" s="27"/>
      <c r="HV2" s="27"/>
      <c r="HW2" s="27"/>
      <c r="HX2" s="27"/>
      <c r="HY2" s="27"/>
      <c r="HZ2" s="27"/>
      <c r="IA2" s="27"/>
      <c r="IB2" s="27"/>
      <c r="IC2" s="27"/>
      <c r="ID2" s="27"/>
      <c r="IE2" s="27"/>
      <c r="IF2" s="27"/>
      <c r="IG2" s="27"/>
      <c r="IH2" s="27"/>
      <c r="II2" s="27"/>
      <c r="IJ2" s="27"/>
      <c r="IK2" s="27"/>
      <c r="IL2" s="27"/>
      <c r="IM2" s="27"/>
      <c r="IN2" s="27"/>
      <c r="IO2" s="27"/>
      <c r="IP2" s="27"/>
      <c r="IQ2" s="27"/>
      <c r="IR2" s="27"/>
      <c r="IS2" s="27"/>
      <c r="IT2" s="27"/>
      <c r="IU2" s="27"/>
      <c r="IV2" s="27"/>
      <c r="IW2" s="27"/>
      <c r="IX2" s="27"/>
      <c r="IY2" s="27"/>
      <c r="IZ2" s="27"/>
      <c r="JA2" s="27"/>
    </row>
    <row r="3" spans="2:261" x14ac:dyDescent="0.25">
      <c r="C3" s="31"/>
      <c r="D3" s="622"/>
      <c r="E3" s="622"/>
      <c r="F3" s="31"/>
      <c r="G3" s="31"/>
      <c r="H3" s="27"/>
      <c r="I3" s="27"/>
      <c r="J3" s="27"/>
      <c r="K3" s="27"/>
      <c r="L3" s="27"/>
      <c r="M3" s="27"/>
      <c r="N3" s="27"/>
      <c r="O3" s="27"/>
      <c r="P3" s="27"/>
      <c r="Q3" s="27"/>
      <c r="R3" s="27"/>
      <c r="S3" s="27"/>
      <c r="T3" s="27"/>
      <c r="U3" s="27"/>
      <c r="V3" s="27"/>
      <c r="W3" s="27"/>
      <c r="X3" s="27"/>
      <c r="Y3" s="27"/>
      <c r="Z3" s="27"/>
      <c r="AA3" s="27"/>
      <c r="AB3" s="27"/>
      <c r="AC3" s="27"/>
      <c r="AD3" s="27"/>
      <c r="AE3" s="27"/>
      <c r="AF3" s="27"/>
      <c r="AG3" s="27"/>
      <c r="AH3" s="27"/>
      <c r="AI3" s="27"/>
      <c r="AJ3" s="27"/>
      <c r="AK3" s="27"/>
      <c r="AL3" s="27"/>
      <c r="AM3" s="27"/>
      <c r="AN3" s="27"/>
      <c r="AO3" s="27"/>
      <c r="AP3" s="27"/>
      <c r="AQ3" s="27"/>
      <c r="AR3" s="27"/>
      <c r="AS3" s="27"/>
      <c r="AT3" s="27"/>
      <c r="AU3" s="27"/>
      <c r="AV3" s="27"/>
      <c r="AW3" s="27"/>
      <c r="AX3" s="27"/>
      <c r="AY3" s="27"/>
      <c r="AZ3" s="27"/>
      <c r="BA3" s="27"/>
      <c r="BB3" s="27"/>
      <c r="BC3" s="27"/>
      <c r="BD3" s="27"/>
      <c r="BE3" s="27"/>
      <c r="BF3" s="27"/>
      <c r="BG3" s="27"/>
      <c r="BH3" s="27"/>
      <c r="BI3" s="27"/>
      <c r="BJ3" s="27"/>
      <c r="BK3" s="27"/>
      <c r="BL3" s="27"/>
      <c r="BM3" s="27"/>
      <c r="BN3" s="27"/>
      <c r="BO3" s="27"/>
      <c r="BP3" s="27"/>
      <c r="BQ3" s="27"/>
      <c r="BR3" s="27"/>
      <c r="BS3" s="27"/>
      <c r="BT3" s="27"/>
      <c r="BU3" s="27"/>
      <c r="BV3" s="27"/>
      <c r="BW3" s="27"/>
      <c r="BX3" s="27"/>
      <c r="BY3" s="27"/>
      <c r="BZ3" s="27"/>
      <c r="CA3" s="27"/>
      <c r="CB3" s="27"/>
      <c r="CC3" s="27"/>
      <c r="CD3" s="27"/>
      <c r="CE3" s="27"/>
      <c r="CF3" s="27"/>
      <c r="CG3" s="27"/>
      <c r="CH3" s="27"/>
      <c r="CI3" s="27"/>
      <c r="CJ3" s="27"/>
      <c r="CK3" s="27"/>
      <c r="CL3" s="27"/>
      <c r="CM3" s="27"/>
      <c r="CN3" s="27"/>
      <c r="CO3" s="27"/>
      <c r="CP3" s="27"/>
      <c r="CQ3" s="27"/>
      <c r="CR3" s="27"/>
      <c r="CS3" s="27"/>
      <c r="CT3" s="27"/>
      <c r="CU3" s="27"/>
      <c r="CV3" s="27"/>
      <c r="CW3" s="27"/>
      <c r="CX3" s="27"/>
      <c r="CY3" s="27"/>
      <c r="CZ3" s="27"/>
      <c r="DA3" s="27"/>
      <c r="DB3" s="27"/>
      <c r="DC3" s="27"/>
      <c r="DD3" s="27"/>
      <c r="DE3" s="27"/>
      <c r="DF3" s="27"/>
      <c r="DG3" s="27"/>
      <c r="DH3" s="27"/>
      <c r="DI3" s="27"/>
      <c r="DJ3" s="27"/>
      <c r="DK3" s="27"/>
      <c r="DL3" s="27"/>
      <c r="DM3" s="27"/>
      <c r="DN3" s="27"/>
      <c r="DO3" s="27"/>
      <c r="DP3" s="27"/>
      <c r="DQ3" s="27"/>
      <c r="DR3" s="27"/>
      <c r="DS3" s="27"/>
      <c r="DT3" s="27"/>
      <c r="DU3" s="27"/>
      <c r="DV3" s="27"/>
      <c r="DW3" s="27"/>
      <c r="DX3" s="27"/>
      <c r="DY3" s="27"/>
      <c r="DZ3" s="27"/>
      <c r="EA3" s="27"/>
      <c r="EB3" s="27"/>
      <c r="EC3" s="27"/>
      <c r="ED3" s="27"/>
      <c r="EE3" s="27"/>
      <c r="EF3" s="27"/>
      <c r="EG3" s="27"/>
      <c r="EH3" s="27"/>
      <c r="EI3" s="27"/>
      <c r="EJ3" s="27"/>
      <c r="EK3" s="27"/>
      <c r="EL3" s="27"/>
      <c r="EM3" s="27"/>
      <c r="EN3" s="27"/>
      <c r="EO3" s="27"/>
      <c r="EP3" s="27"/>
      <c r="EQ3" s="27"/>
      <c r="ER3" s="27"/>
      <c r="ES3" s="27"/>
      <c r="ET3" s="27"/>
      <c r="EU3" s="27"/>
      <c r="EV3" s="27"/>
      <c r="EW3" s="27"/>
      <c r="EX3" s="27"/>
      <c r="EY3" s="27"/>
      <c r="EZ3" s="27"/>
      <c r="FA3" s="27"/>
      <c r="FB3" s="27"/>
      <c r="FC3" s="27"/>
      <c r="FD3" s="27"/>
      <c r="FE3" s="27"/>
      <c r="FF3" s="27"/>
      <c r="FG3" s="27"/>
      <c r="FH3" s="27"/>
      <c r="FI3" s="27"/>
      <c r="FJ3" s="27"/>
      <c r="FK3" s="27"/>
      <c r="FL3" s="27"/>
      <c r="FM3" s="27"/>
      <c r="FN3" s="27"/>
      <c r="FO3" s="27"/>
      <c r="FP3" s="27"/>
      <c r="FQ3" s="27"/>
      <c r="FR3" s="27"/>
      <c r="FS3" s="27"/>
      <c r="FT3" s="27"/>
      <c r="FU3" s="27"/>
      <c r="FV3" s="27"/>
      <c r="FW3" s="27"/>
      <c r="FX3" s="27"/>
      <c r="FY3" s="27"/>
      <c r="FZ3" s="27"/>
      <c r="GA3" s="27"/>
      <c r="GB3" s="27"/>
      <c r="GC3" s="27"/>
      <c r="GD3" s="27"/>
      <c r="GE3" s="27"/>
      <c r="GF3" s="27"/>
      <c r="GG3" s="27"/>
      <c r="GH3" s="27"/>
      <c r="GI3" s="27"/>
      <c r="GJ3" s="27"/>
      <c r="GK3" s="27"/>
      <c r="GL3" s="27"/>
      <c r="GM3" s="27"/>
      <c r="GN3" s="27"/>
      <c r="GO3" s="27"/>
      <c r="GP3" s="27"/>
      <c r="GQ3" s="27"/>
      <c r="GR3" s="27"/>
      <c r="GS3" s="27"/>
      <c r="GT3" s="27"/>
      <c r="GU3" s="27"/>
      <c r="GV3" s="27"/>
      <c r="GW3" s="27"/>
      <c r="GX3" s="27"/>
      <c r="GY3" s="27"/>
      <c r="GZ3" s="27"/>
      <c r="HA3" s="27"/>
      <c r="HB3" s="27"/>
      <c r="HC3" s="27"/>
      <c r="HD3" s="27"/>
      <c r="HE3" s="27"/>
      <c r="HF3" s="27"/>
      <c r="HG3" s="27"/>
      <c r="HH3" s="27"/>
      <c r="HI3" s="27"/>
      <c r="HJ3" s="27"/>
      <c r="HK3" s="27"/>
      <c r="HL3" s="27"/>
      <c r="HM3" s="27"/>
      <c r="HN3" s="27"/>
      <c r="HO3" s="27"/>
      <c r="HP3" s="27"/>
      <c r="HQ3" s="27"/>
      <c r="HR3" s="27"/>
      <c r="HS3" s="27"/>
      <c r="HT3" s="27"/>
      <c r="HU3" s="27"/>
      <c r="HV3" s="27"/>
      <c r="HW3" s="27"/>
      <c r="HX3" s="27"/>
      <c r="HY3" s="27"/>
      <c r="HZ3" s="27"/>
      <c r="IA3" s="27"/>
      <c r="IB3" s="27"/>
      <c r="IC3" s="27"/>
      <c r="ID3" s="27"/>
      <c r="IE3" s="27"/>
      <c r="IF3" s="27"/>
      <c r="IG3" s="27"/>
      <c r="IH3" s="27"/>
      <c r="II3" s="27"/>
      <c r="IJ3" s="27"/>
      <c r="IK3" s="27"/>
      <c r="IL3" s="27"/>
      <c r="IM3" s="27"/>
      <c r="IN3" s="27"/>
      <c r="IO3" s="27"/>
      <c r="IP3" s="27"/>
      <c r="IQ3" s="27"/>
      <c r="IR3" s="27"/>
      <c r="IS3" s="27"/>
      <c r="IT3" s="27"/>
      <c r="IU3" s="27"/>
      <c r="IV3" s="27"/>
      <c r="IW3" s="27"/>
      <c r="IX3" s="27"/>
      <c r="IY3" s="27"/>
      <c r="IZ3" s="27"/>
      <c r="JA3" s="27"/>
    </row>
    <row r="4" spans="2:261" x14ac:dyDescent="0.25">
      <c r="B4" s="2126" t="str">
        <f>RESUM_VAL_!A1</f>
        <v>GOBIERNO REGIONAL AYACUCHO</v>
      </c>
      <c r="C4" s="2126"/>
      <c r="D4" s="2126"/>
      <c r="E4" s="31"/>
      <c r="F4" s="31"/>
      <c r="G4" s="31"/>
      <c r="H4" s="27"/>
      <c r="I4" s="27"/>
      <c r="J4" s="27"/>
      <c r="K4" s="27"/>
      <c r="L4" s="27"/>
      <c r="M4" s="27"/>
      <c r="N4" s="27"/>
      <c r="O4" s="27"/>
      <c r="P4" s="27"/>
      <c r="Q4" s="27"/>
      <c r="R4" s="27"/>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c r="AW4" s="27"/>
      <c r="AX4" s="27"/>
      <c r="AY4" s="27"/>
      <c r="AZ4" s="27"/>
      <c r="BA4" s="27"/>
      <c r="BB4" s="27"/>
      <c r="BC4" s="27"/>
      <c r="BD4" s="27"/>
      <c r="BE4" s="27"/>
      <c r="BF4" s="27"/>
      <c r="BG4" s="27"/>
      <c r="BH4" s="27"/>
      <c r="BI4" s="27"/>
      <c r="BJ4" s="27"/>
      <c r="BK4" s="27"/>
      <c r="BL4" s="27"/>
      <c r="BM4" s="27"/>
      <c r="BN4" s="27"/>
      <c r="BO4" s="27"/>
      <c r="BP4" s="27"/>
      <c r="BQ4" s="27"/>
      <c r="BR4" s="27"/>
      <c r="BS4" s="27"/>
      <c r="BT4" s="27"/>
      <c r="BU4" s="27"/>
      <c r="BV4" s="27"/>
      <c r="BW4" s="27"/>
      <c r="BX4" s="27"/>
      <c r="BY4" s="27"/>
      <c r="BZ4" s="27"/>
      <c r="CA4" s="27"/>
      <c r="CB4" s="27"/>
      <c r="CC4" s="27"/>
      <c r="CD4" s="27"/>
      <c r="CE4" s="27"/>
      <c r="CF4" s="27"/>
      <c r="CG4" s="27"/>
      <c r="CH4" s="27"/>
      <c r="CI4" s="27"/>
      <c r="CJ4" s="27"/>
      <c r="CK4" s="27"/>
      <c r="CL4" s="27"/>
      <c r="CM4" s="27"/>
      <c r="CN4" s="27"/>
      <c r="CO4" s="27"/>
      <c r="CP4" s="27"/>
      <c r="CQ4" s="27"/>
      <c r="CR4" s="27"/>
      <c r="CS4" s="27"/>
      <c r="CT4" s="27"/>
      <c r="CU4" s="27"/>
      <c r="CV4" s="27"/>
      <c r="CW4" s="27"/>
      <c r="CX4" s="27"/>
      <c r="CY4" s="27"/>
      <c r="CZ4" s="27"/>
      <c r="DA4" s="27"/>
      <c r="DB4" s="27"/>
      <c r="DC4" s="27"/>
      <c r="DD4" s="27"/>
      <c r="DE4" s="27"/>
      <c r="DF4" s="27"/>
      <c r="DG4" s="27"/>
      <c r="DH4" s="27"/>
      <c r="DI4" s="27"/>
      <c r="DJ4" s="27"/>
      <c r="DK4" s="27"/>
      <c r="DL4" s="27"/>
      <c r="DM4" s="27"/>
      <c r="DN4" s="27"/>
      <c r="DO4" s="27"/>
      <c r="DP4" s="27"/>
      <c r="DQ4" s="27"/>
      <c r="DR4" s="27"/>
      <c r="DS4" s="27"/>
      <c r="DT4" s="27"/>
      <c r="DU4" s="27"/>
      <c r="DV4" s="27"/>
      <c r="DW4" s="27"/>
      <c r="DX4" s="27"/>
      <c r="DY4" s="27"/>
      <c r="DZ4" s="27"/>
      <c r="EA4" s="27"/>
      <c r="EB4" s="27"/>
      <c r="EC4" s="27"/>
      <c r="ED4" s="27"/>
      <c r="EE4" s="27"/>
      <c r="EF4" s="27"/>
      <c r="EG4" s="27"/>
      <c r="EH4" s="27"/>
      <c r="EI4" s="27"/>
      <c r="EJ4" s="27"/>
      <c r="EK4" s="27"/>
      <c r="EL4" s="27"/>
      <c r="EM4" s="27"/>
      <c r="EN4" s="27"/>
      <c r="EO4" s="27"/>
      <c r="EP4" s="27"/>
      <c r="EQ4" s="27"/>
      <c r="ER4" s="27"/>
      <c r="ES4" s="27"/>
      <c r="ET4" s="27"/>
      <c r="EU4" s="27"/>
      <c r="EV4" s="27"/>
      <c r="EW4" s="27"/>
      <c r="EX4" s="27"/>
      <c r="EY4" s="27"/>
      <c r="EZ4" s="27"/>
      <c r="FA4" s="27"/>
      <c r="FB4" s="27"/>
      <c r="FC4" s="27"/>
      <c r="FD4" s="27"/>
      <c r="FE4" s="27"/>
      <c r="FF4" s="27"/>
      <c r="FG4" s="27"/>
      <c r="FH4" s="27"/>
      <c r="FI4" s="27"/>
      <c r="FJ4" s="27"/>
      <c r="FK4" s="27"/>
      <c r="FL4" s="27"/>
      <c r="FM4" s="27"/>
      <c r="FN4" s="27"/>
      <c r="FO4" s="27"/>
      <c r="FP4" s="27"/>
      <c r="FQ4" s="27"/>
      <c r="FR4" s="27"/>
      <c r="FS4" s="27"/>
      <c r="FT4" s="27"/>
      <c r="FU4" s="27"/>
      <c r="FV4" s="27"/>
      <c r="FW4" s="27"/>
      <c r="FX4" s="27"/>
      <c r="FY4" s="27"/>
      <c r="FZ4" s="27"/>
      <c r="GA4" s="27"/>
      <c r="GB4" s="27"/>
      <c r="GC4" s="27"/>
      <c r="GD4" s="27"/>
      <c r="GE4" s="27"/>
      <c r="GF4" s="27"/>
      <c r="GG4" s="27"/>
      <c r="GH4" s="27"/>
      <c r="GI4" s="27"/>
      <c r="GJ4" s="27"/>
      <c r="GK4" s="27"/>
      <c r="GL4" s="27"/>
      <c r="GM4" s="27"/>
      <c r="GN4" s="27"/>
      <c r="GO4" s="27"/>
      <c r="GP4" s="27"/>
      <c r="GQ4" s="27"/>
      <c r="GR4" s="27"/>
      <c r="GS4" s="27"/>
      <c r="GT4" s="27"/>
      <c r="GU4" s="27"/>
      <c r="GV4" s="27"/>
      <c r="GW4" s="27"/>
      <c r="GX4" s="27"/>
      <c r="GY4" s="27"/>
      <c r="GZ4" s="27"/>
      <c r="HA4" s="27"/>
      <c r="HB4" s="27"/>
      <c r="HC4" s="27"/>
      <c r="HD4" s="27"/>
      <c r="HE4" s="27"/>
      <c r="HF4" s="27"/>
      <c r="HG4" s="27"/>
      <c r="HH4" s="27"/>
      <c r="HI4" s="27"/>
      <c r="HJ4" s="27"/>
      <c r="HK4" s="27"/>
      <c r="HL4" s="27"/>
      <c r="HM4" s="27"/>
      <c r="HN4" s="27"/>
      <c r="HO4" s="27"/>
      <c r="HP4" s="27"/>
      <c r="HQ4" s="27"/>
      <c r="HR4" s="27"/>
      <c r="HS4" s="27"/>
      <c r="HT4" s="27"/>
      <c r="HU4" s="27"/>
      <c r="HV4" s="27"/>
      <c r="HW4" s="27"/>
      <c r="HX4" s="27"/>
      <c r="HY4" s="27"/>
      <c r="HZ4" s="27"/>
      <c r="IA4" s="27"/>
      <c r="IB4" s="27"/>
      <c r="IC4" s="27"/>
      <c r="ID4" s="27"/>
      <c r="IE4" s="27"/>
      <c r="IF4" s="27"/>
      <c r="IG4" s="27"/>
      <c r="IH4" s="27"/>
      <c r="II4" s="27"/>
      <c r="IJ4" s="27"/>
      <c r="IK4" s="27"/>
      <c r="IL4" s="27"/>
      <c r="IM4" s="27"/>
      <c r="IN4" s="27"/>
      <c r="IO4" s="27"/>
      <c r="IP4" s="27"/>
      <c r="IQ4" s="27"/>
      <c r="IR4" s="27"/>
      <c r="IS4" s="27"/>
      <c r="IT4" s="27"/>
      <c r="IU4" s="27"/>
      <c r="IV4" s="27"/>
      <c r="IW4" s="27"/>
      <c r="IX4" s="27"/>
      <c r="IY4" s="27"/>
      <c r="IZ4" s="27"/>
      <c r="JA4" s="27"/>
    </row>
    <row r="5" spans="2:261" s="27" customFormat="1" x14ac:dyDescent="0.25">
      <c r="B5" s="2126" t="str">
        <f>RESUM_VAL_!A2</f>
        <v>SUBGERENCIA DE SUPERVISION Y LIQUIDACION</v>
      </c>
      <c r="C5" s="2126"/>
      <c r="D5" s="2126"/>
      <c r="E5" s="31"/>
      <c r="F5" s="31"/>
      <c r="G5" s="31"/>
      <c r="J5" s="106"/>
      <c r="K5" s="106"/>
      <c r="L5" s="107"/>
    </row>
    <row r="6" spans="2:261" x14ac:dyDescent="0.25">
      <c r="F6" s="108"/>
      <c r="G6" s="108"/>
      <c r="H6" s="108"/>
      <c r="I6" s="108"/>
      <c r="J6" s="106"/>
      <c r="K6" s="106"/>
      <c r="L6" s="107"/>
      <c r="M6" s="108"/>
      <c r="N6" s="108"/>
      <c r="O6" s="27"/>
      <c r="P6" s="27"/>
      <c r="Q6" s="27"/>
      <c r="R6" s="27"/>
      <c r="S6" s="27"/>
      <c r="T6" s="27"/>
      <c r="U6" s="27"/>
      <c r="V6" s="27"/>
      <c r="W6" s="27"/>
      <c r="X6" s="27"/>
      <c r="Y6" s="27"/>
      <c r="Z6" s="27"/>
      <c r="AA6" s="27"/>
      <c r="AB6" s="27"/>
      <c r="AC6" s="27"/>
      <c r="AD6" s="27"/>
      <c r="AE6" s="27"/>
      <c r="AF6" s="27"/>
      <c r="AG6" s="27"/>
      <c r="AH6" s="27"/>
      <c r="AI6" s="27"/>
      <c r="AJ6" s="27"/>
      <c r="AK6" s="27"/>
      <c r="AL6" s="27"/>
      <c r="AM6" s="27"/>
      <c r="AN6" s="27"/>
      <c r="AO6" s="27"/>
      <c r="AP6" s="27"/>
      <c r="AQ6" s="27"/>
      <c r="AR6" s="27"/>
      <c r="AS6" s="27"/>
      <c r="AT6" s="27"/>
      <c r="AU6" s="27"/>
      <c r="AV6" s="27"/>
      <c r="AW6" s="27"/>
      <c r="AX6" s="27"/>
      <c r="AY6" s="27"/>
      <c r="AZ6" s="27"/>
      <c r="BA6" s="27"/>
      <c r="BB6" s="27"/>
      <c r="BC6" s="27"/>
      <c r="BD6" s="27"/>
      <c r="BE6" s="27"/>
      <c r="BF6" s="27"/>
      <c r="BG6" s="27"/>
      <c r="BH6" s="27"/>
      <c r="BI6" s="27"/>
      <c r="BJ6" s="27"/>
      <c r="BK6" s="27"/>
      <c r="BL6" s="27"/>
      <c r="BM6" s="27"/>
      <c r="BN6" s="27"/>
      <c r="BO6" s="27"/>
      <c r="BP6" s="27"/>
      <c r="BQ6" s="27"/>
      <c r="BR6" s="27"/>
      <c r="BS6" s="27"/>
      <c r="BT6" s="27"/>
      <c r="BU6" s="27"/>
      <c r="BV6" s="27"/>
      <c r="BW6" s="27"/>
      <c r="BX6" s="27"/>
      <c r="BY6" s="27"/>
      <c r="BZ6" s="27"/>
      <c r="CA6" s="27"/>
      <c r="CB6" s="27"/>
      <c r="CC6" s="27"/>
      <c r="CD6" s="27"/>
      <c r="CE6" s="27"/>
      <c r="CF6" s="27"/>
      <c r="CG6" s="27"/>
      <c r="CH6" s="27"/>
      <c r="CI6" s="27"/>
      <c r="CJ6" s="27"/>
      <c r="CK6" s="27"/>
      <c r="CL6" s="27"/>
      <c r="CM6" s="27"/>
      <c r="CN6" s="27"/>
      <c r="CO6" s="27"/>
      <c r="CP6" s="27"/>
      <c r="CQ6" s="27"/>
      <c r="CR6" s="27"/>
      <c r="CS6" s="27"/>
      <c r="CT6" s="27"/>
      <c r="CU6" s="27"/>
      <c r="CV6" s="27"/>
      <c r="CW6" s="27"/>
      <c r="CX6" s="27"/>
      <c r="CY6" s="27"/>
      <c r="CZ6" s="27"/>
      <c r="DA6" s="27"/>
      <c r="DB6" s="27"/>
      <c r="DC6" s="27"/>
      <c r="DD6" s="27"/>
      <c r="DE6" s="27"/>
      <c r="DF6" s="27"/>
      <c r="DG6" s="27"/>
      <c r="DH6" s="27"/>
      <c r="DI6" s="27"/>
      <c r="DJ6" s="27"/>
      <c r="DK6" s="27"/>
      <c r="DL6" s="27"/>
      <c r="DM6" s="27"/>
      <c r="DN6" s="27"/>
      <c r="DO6" s="27"/>
      <c r="DP6" s="27"/>
      <c r="DQ6" s="27"/>
      <c r="DR6" s="27"/>
      <c r="DS6" s="27"/>
      <c r="DT6" s="27"/>
      <c r="DU6" s="27"/>
      <c r="DV6" s="27"/>
      <c r="DW6" s="27"/>
      <c r="DX6" s="27"/>
      <c r="DY6" s="27"/>
      <c r="DZ6" s="27"/>
      <c r="EA6" s="27"/>
      <c r="EB6" s="27"/>
      <c r="EC6" s="27"/>
      <c r="ED6" s="27"/>
      <c r="EE6" s="27"/>
      <c r="EF6" s="27"/>
      <c r="EG6" s="27"/>
      <c r="EH6" s="27"/>
      <c r="EI6" s="27"/>
      <c r="EJ6" s="27"/>
      <c r="EK6" s="27"/>
      <c r="EL6" s="27"/>
      <c r="EM6" s="27"/>
      <c r="EN6" s="27"/>
      <c r="EO6" s="27"/>
      <c r="EP6" s="27"/>
      <c r="EQ6" s="27"/>
      <c r="ER6" s="27"/>
      <c r="ES6" s="27"/>
      <c r="ET6" s="27"/>
      <c r="EU6" s="27"/>
      <c r="EV6" s="27"/>
      <c r="EW6" s="27"/>
      <c r="EX6" s="27"/>
      <c r="EY6" s="27"/>
      <c r="EZ6" s="27"/>
      <c r="FA6" s="27"/>
      <c r="FB6" s="27"/>
      <c r="FC6" s="27"/>
      <c r="FD6" s="27"/>
      <c r="FE6" s="27"/>
      <c r="FF6" s="27"/>
      <c r="FG6" s="27"/>
      <c r="FH6" s="27"/>
      <c r="FI6" s="27"/>
      <c r="FJ6" s="27"/>
      <c r="FK6" s="27"/>
      <c r="FL6" s="27"/>
      <c r="FM6" s="27"/>
      <c r="FN6" s="27"/>
      <c r="FO6" s="27"/>
      <c r="FP6" s="27"/>
      <c r="FQ6" s="27"/>
      <c r="FR6" s="27"/>
      <c r="FS6" s="27"/>
      <c r="FT6" s="27"/>
      <c r="FU6" s="27"/>
      <c r="FV6" s="27"/>
      <c r="FW6" s="27"/>
      <c r="FX6" s="27"/>
      <c r="FY6" s="27"/>
      <c r="FZ6" s="27"/>
      <c r="GA6" s="27"/>
      <c r="GB6" s="27"/>
      <c r="GC6" s="27"/>
      <c r="GD6" s="27"/>
      <c r="GE6" s="27"/>
      <c r="GF6" s="27"/>
      <c r="GG6" s="27"/>
      <c r="GH6" s="27"/>
      <c r="GI6" s="27"/>
      <c r="GJ6" s="27"/>
      <c r="GK6" s="27"/>
      <c r="GL6" s="27"/>
      <c r="GM6" s="27"/>
      <c r="GN6" s="27"/>
      <c r="GO6" s="27"/>
      <c r="GP6" s="27"/>
      <c r="GQ6" s="27"/>
      <c r="GR6" s="27"/>
      <c r="GS6" s="27"/>
      <c r="GT6" s="27"/>
      <c r="GU6" s="27"/>
      <c r="GV6" s="27"/>
      <c r="GW6" s="27"/>
      <c r="GX6" s="27"/>
      <c r="GY6" s="27"/>
      <c r="GZ6" s="27"/>
      <c r="HA6" s="27"/>
      <c r="HB6" s="27"/>
      <c r="HC6" s="27"/>
      <c r="HD6" s="27"/>
      <c r="HE6" s="27"/>
      <c r="HF6" s="27"/>
      <c r="HG6" s="27"/>
      <c r="HH6" s="27"/>
      <c r="HI6" s="27"/>
      <c r="HJ6" s="27"/>
      <c r="HK6" s="27"/>
      <c r="HL6" s="27"/>
      <c r="HM6" s="27"/>
      <c r="HN6" s="27"/>
      <c r="HO6" s="27"/>
      <c r="HP6" s="27"/>
      <c r="HQ6" s="27"/>
      <c r="HR6" s="27"/>
      <c r="HS6" s="27"/>
      <c r="HT6" s="27"/>
      <c r="HU6" s="27"/>
      <c r="HV6" s="27"/>
      <c r="HW6" s="27"/>
      <c r="HX6" s="27"/>
      <c r="HY6" s="27"/>
      <c r="HZ6" s="27"/>
      <c r="IA6" s="27"/>
      <c r="IB6" s="27"/>
      <c r="IC6" s="27"/>
      <c r="ID6" s="27"/>
      <c r="IE6" s="27"/>
      <c r="IF6" s="27"/>
      <c r="IG6" s="27"/>
      <c r="IH6" s="27"/>
      <c r="II6" s="27"/>
      <c r="IJ6" s="27"/>
      <c r="IK6" s="27"/>
      <c r="IL6" s="27"/>
      <c r="IM6" s="27"/>
      <c r="IN6" s="27"/>
      <c r="IO6" s="27"/>
      <c r="IP6" s="27"/>
      <c r="IQ6" s="27"/>
      <c r="IR6" s="27"/>
      <c r="IS6" s="27"/>
      <c r="IT6" s="27"/>
      <c r="IU6" s="27"/>
      <c r="IV6" s="27"/>
      <c r="IW6" s="27"/>
      <c r="IX6" s="27"/>
      <c r="IY6" s="27"/>
      <c r="IZ6" s="27"/>
      <c r="JA6" s="27"/>
    </row>
    <row r="7" spans="2:261" x14ac:dyDescent="0.25">
      <c r="C7" s="27"/>
      <c r="D7" s="27"/>
      <c r="E7" s="27"/>
      <c r="F7" s="108"/>
      <c r="G7" s="108"/>
      <c r="H7" s="108"/>
      <c r="I7" s="108"/>
      <c r="J7" s="38"/>
      <c r="K7" s="38"/>
      <c r="L7" s="108"/>
      <c r="M7" s="108"/>
      <c r="N7" s="108"/>
      <c r="O7" s="27"/>
      <c r="P7" s="27"/>
      <c r="Q7" s="27"/>
      <c r="R7" s="27"/>
      <c r="S7" s="27"/>
      <c r="T7" s="27"/>
      <c r="U7" s="27"/>
      <c r="V7" s="27"/>
      <c r="W7" s="27"/>
      <c r="X7" s="27"/>
      <c r="Y7" s="27"/>
      <c r="Z7" s="27"/>
      <c r="AA7" s="27"/>
      <c r="AB7" s="27"/>
      <c r="AC7" s="27"/>
      <c r="AD7" s="27"/>
      <c r="AE7" s="27"/>
      <c r="AF7" s="27"/>
      <c r="AG7" s="27"/>
      <c r="AH7" s="27"/>
      <c r="AI7" s="27"/>
      <c r="AJ7" s="27"/>
      <c r="AK7" s="27"/>
      <c r="AL7" s="27"/>
      <c r="AM7" s="27"/>
      <c r="AN7" s="27"/>
      <c r="AO7" s="27"/>
      <c r="AP7" s="27"/>
      <c r="AQ7" s="27"/>
      <c r="AR7" s="27"/>
      <c r="AS7" s="27"/>
      <c r="AT7" s="27"/>
      <c r="AU7" s="27"/>
      <c r="AV7" s="27"/>
      <c r="AW7" s="27"/>
      <c r="AX7" s="27"/>
      <c r="AY7" s="27"/>
      <c r="AZ7" s="27"/>
      <c r="BA7" s="27"/>
      <c r="BB7" s="27"/>
      <c r="BC7" s="27"/>
      <c r="BD7" s="27"/>
      <c r="BE7" s="27"/>
      <c r="BF7" s="27"/>
      <c r="BG7" s="27"/>
      <c r="BH7" s="27"/>
      <c r="BI7" s="27"/>
      <c r="BJ7" s="27"/>
      <c r="BK7" s="27"/>
      <c r="BL7" s="27"/>
      <c r="BM7" s="27"/>
      <c r="BN7" s="27"/>
      <c r="BO7" s="27"/>
      <c r="BP7" s="27"/>
      <c r="BQ7" s="27"/>
      <c r="BR7" s="27"/>
      <c r="BS7" s="27"/>
      <c r="BT7" s="27"/>
      <c r="BU7" s="27"/>
      <c r="BV7" s="27"/>
      <c r="BW7" s="27"/>
      <c r="BX7" s="27"/>
      <c r="BY7" s="27"/>
      <c r="BZ7" s="27"/>
      <c r="CA7" s="27"/>
      <c r="CB7" s="27"/>
      <c r="CC7" s="27"/>
      <c r="CD7" s="27"/>
      <c r="CE7" s="27"/>
      <c r="CF7" s="27"/>
      <c r="CG7" s="27"/>
      <c r="CH7" s="27"/>
      <c r="CI7" s="27"/>
      <c r="CJ7" s="27"/>
      <c r="CK7" s="27"/>
      <c r="CL7" s="27"/>
      <c r="CM7" s="27"/>
      <c r="CN7" s="27"/>
      <c r="CO7" s="27"/>
      <c r="CP7" s="27"/>
      <c r="CQ7" s="27"/>
      <c r="CR7" s="27"/>
      <c r="CS7" s="27"/>
      <c r="CT7" s="27"/>
      <c r="CU7" s="27"/>
      <c r="CV7" s="27"/>
      <c r="CW7" s="27"/>
      <c r="CX7" s="27"/>
      <c r="CY7" s="27"/>
      <c r="CZ7" s="27"/>
      <c r="DA7" s="27"/>
      <c r="DB7" s="27"/>
      <c r="DC7" s="27"/>
      <c r="DD7" s="27"/>
      <c r="DE7" s="27"/>
      <c r="DF7" s="27"/>
      <c r="DG7" s="27"/>
      <c r="DH7" s="27"/>
      <c r="DI7" s="27"/>
      <c r="DJ7" s="27"/>
      <c r="DK7" s="27"/>
      <c r="DL7" s="27"/>
      <c r="DM7" s="27"/>
      <c r="DN7" s="27"/>
      <c r="DO7" s="27"/>
      <c r="DP7" s="27"/>
      <c r="DQ7" s="27"/>
      <c r="DR7" s="27"/>
      <c r="DS7" s="27"/>
      <c r="DT7" s="27"/>
      <c r="DU7" s="27"/>
      <c r="DV7" s="27"/>
      <c r="DW7" s="27"/>
      <c r="DX7" s="27"/>
      <c r="DY7" s="27"/>
      <c r="DZ7" s="27"/>
      <c r="EA7" s="27"/>
      <c r="EB7" s="27"/>
      <c r="EC7" s="27"/>
      <c r="ED7" s="27"/>
      <c r="EE7" s="27"/>
      <c r="EF7" s="27"/>
      <c r="EG7" s="27"/>
      <c r="EH7" s="27"/>
      <c r="EI7" s="27"/>
      <c r="EJ7" s="27"/>
      <c r="EK7" s="27"/>
      <c r="EL7" s="27"/>
      <c r="EM7" s="27"/>
      <c r="EN7" s="27"/>
      <c r="EO7" s="27"/>
      <c r="EP7" s="27"/>
      <c r="EQ7" s="27"/>
      <c r="ER7" s="27"/>
      <c r="ES7" s="27"/>
      <c r="ET7" s="27"/>
      <c r="EU7" s="27"/>
      <c r="EV7" s="27"/>
      <c r="EW7" s="27"/>
      <c r="EX7" s="27"/>
      <c r="EY7" s="27"/>
      <c r="EZ7" s="27"/>
      <c r="FA7" s="27"/>
      <c r="FB7" s="27"/>
      <c r="FC7" s="27"/>
      <c r="FD7" s="27"/>
      <c r="FE7" s="27"/>
      <c r="FF7" s="27"/>
      <c r="FG7" s="27"/>
      <c r="FH7" s="27"/>
      <c r="FI7" s="27"/>
      <c r="FJ7" s="27"/>
      <c r="FK7" s="27"/>
      <c r="FL7" s="27"/>
      <c r="FM7" s="27"/>
      <c r="FN7" s="27"/>
      <c r="FO7" s="27"/>
      <c r="FP7" s="27"/>
      <c r="FQ7" s="27"/>
      <c r="FR7" s="27"/>
      <c r="FS7" s="27"/>
      <c r="FT7" s="27"/>
      <c r="FU7" s="27"/>
      <c r="FV7" s="27"/>
      <c r="FW7" s="27"/>
      <c r="FX7" s="27"/>
      <c r="FY7" s="27"/>
      <c r="FZ7" s="27"/>
      <c r="GA7" s="27"/>
      <c r="GB7" s="27"/>
      <c r="GC7" s="27"/>
      <c r="GD7" s="27"/>
      <c r="GE7" s="27"/>
      <c r="GF7" s="27"/>
      <c r="GG7" s="27"/>
      <c r="GH7" s="27"/>
      <c r="GI7" s="27"/>
      <c r="GJ7" s="27"/>
      <c r="GK7" s="27"/>
      <c r="GL7" s="27"/>
      <c r="GM7" s="27"/>
      <c r="GN7" s="27"/>
      <c r="GO7" s="27"/>
      <c r="GP7" s="27"/>
      <c r="GQ7" s="27"/>
      <c r="GR7" s="27"/>
      <c r="GS7" s="27"/>
      <c r="GT7" s="27"/>
      <c r="GU7" s="27"/>
      <c r="GV7" s="27"/>
      <c r="GW7" s="27"/>
      <c r="GX7" s="27"/>
      <c r="GY7" s="27"/>
      <c r="GZ7" s="27"/>
      <c r="HA7" s="27"/>
      <c r="HB7" s="27"/>
      <c r="HC7" s="27"/>
      <c r="HD7" s="27"/>
      <c r="HE7" s="27"/>
      <c r="HF7" s="27"/>
      <c r="HG7" s="27"/>
      <c r="HH7" s="27"/>
      <c r="HI7" s="27"/>
      <c r="HJ7" s="27"/>
      <c r="HK7" s="27"/>
      <c r="HL7" s="27"/>
      <c r="HM7" s="27"/>
      <c r="HN7" s="27"/>
      <c r="HO7" s="27"/>
      <c r="HP7" s="27"/>
      <c r="HQ7" s="27"/>
      <c r="HR7" s="27"/>
      <c r="HS7" s="27"/>
      <c r="HT7" s="27"/>
      <c r="HU7" s="27"/>
      <c r="HV7" s="27"/>
      <c r="HW7" s="27"/>
      <c r="HX7" s="27"/>
      <c r="HY7" s="27"/>
      <c r="HZ7" s="27"/>
      <c r="IA7" s="27"/>
      <c r="IB7" s="27"/>
      <c r="IC7" s="27"/>
      <c r="ID7" s="27"/>
      <c r="IE7" s="27"/>
      <c r="IF7" s="27"/>
      <c r="IG7" s="27"/>
      <c r="IH7" s="27"/>
      <c r="II7" s="27"/>
      <c r="IJ7" s="27"/>
      <c r="IK7" s="27"/>
      <c r="IL7" s="27"/>
      <c r="IM7" s="27"/>
      <c r="IN7" s="27"/>
      <c r="IO7" s="27"/>
      <c r="IP7" s="27"/>
      <c r="IQ7" s="27"/>
      <c r="IR7" s="27"/>
      <c r="IS7" s="27"/>
      <c r="IT7" s="27"/>
      <c r="IU7" s="27"/>
      <c r="IV7" s="27"/>
      <c r="IW7" s="27"/>
      <c r="IX7" s="27"/>
      <c r="IY7" s="27"/>
      <c r="IZ7" s="27"/>
      <c r="JA7" s="27"/>
    </row>
    <row r="8" spans="2:261" ht="16.5" customHeight="1" x14ac:dyDescent="0.25">
      <c r="B8" s="2137" t="s">
        <v>1805</v>
      </c>
      <c r="C8" s="2137"/>
      <c r="D8" s="2137"/>
      <c r="E8" s="2137"/>
      <c r="F8" s="2137"/>
      <c r="G8" s="2137"/>
      <c r="H8" s="2137"/>
      <c r="I8" s="2137"/>
      <c r="J8" s="2137"/>
      <c r="K8" s="1108"/>
      <c r="L8" s="38"/>
      <c r="M8" s="109"/>
      <c r="N8" s="108"/>
      <c r="O8" s="27"/>
      <c r="P8" s="27"/>
      <c r="Q8" s="27"/>
      <c r="R8" s="27"/>
      <c r="S8" s="27"/>
      <c r="T8" s="27"/>
      <c r="U8" s="27"/>
      <c r="V8" s="27"/>
      <c r="W8" s="27"/>
      <c r="X8" s="27"/>
      <c r="Y8" s="27"/>
      <c r="Z8" s="27"/>
      <c r="AA8" s="27"/>
      <c r="AB8" s="27"/>
      <c r="AC8" s="27"/>
      <c r="AD8" s="27"/>
      <c r="AE8" s="27"/>
      <c r="AF8" s="27"/>
      <c r="AG8" s="27"/>
      <c r="AH8" s="27"/>
      <c r="AI8" s="27"/>
      <c r="AJ8" s="27"/>
      <c r="AK8" s="27"/>
      <c r="AL8" s="27"/>
      <c r="AM8" s="27"/>
      <c r="AN8" s="27"/>
      <c r="AO8" s="27"/>
      <c r="AP8" s="27"/>
      <c r="AQ8" s="27"/>
      <c r="AR8" s="27"/>
      <c r="AS8" s="27"/>
      <c r="AT8" s="27"/>
      <c r="AU8" s="27"/>
      <c r="AV8" s="27"/>
      <c r="AW8" s="27"/>
      <c r="AX8" s="27"/>
      <c r="AY8" s="27"/>
      <c r="AZ8" s="27"/>
      <c r="BA8" s="27"/>
      <c r="BB8" s="27"/>
      <c r="BC8" s="27"/>
      <c r="BD8" s="27"/>
      <c r="BE8" s="27"/>
      <c r="BF8" s="27"/>
      <c r="BG8" s="27"/>
      <c r="BH8" s="27"/>
      <c r="BI8" s="27"/>
      <c r="BJ8" s="27"/>
      <c r="BK8" s="27"/>
      <c r="BL8" s="27"/>
      <c r="BM8" s="27"/>
      <c r="BN8" s="27"/>
      <c r="BO8" s="27"/>
      <c r="BP8" s="27"/>
      <c r="BQ8" s="27"/>
      <c r="BR8" s="27"/>
      <c r="BS8" s="27"/>
      <c r="BT8" s="27"/>
      <c r="BU8" s="27"/>
      <c r="BV8" s="27"/>
      <c r="BW8" s="27"/>
      <c r="BX8" s="27"/>
      <c r="BY8" s="27"/>
      <c r="BZ8" s="27"/>
      <c r="CA8" s="27"/>
      <c r="CB8" s="27"/>
      <c r="CC8" s="27"/>
      <c r="CD8" s="27"/>
      <c r="CE8" s="27"/>
      <c r="CF8" s="27"/>
      <c r="CG8" s="27"/>
      <c r="CH8" s="27"/>
      <c r="CI8" s="27"/>
      <c r="CJ8" s="27"/>
      <c r="CK8" s="27"/>
      <c r="CL8" s="27"/>
      <c r="CM8" s="27"/>
      <c r="CN8" s="27"/>
      <c r="CO8" s="27"/>
      <c r="CP8" s="27"/>
      <c r="CQ8" s="27"/>
      <c r="CR8" s="27"/>
      <c r="CS8" s="27"/>
      <c r="CT8" s="27"/>
      <c r="CU8" s="27"/>
      <c r="CV8" s="27"/>
      <c r="CW8" s="27"/>
      <c r="CX8" s="27"/>
      <c r="CY8" s="27"/>
      <c r="CZ8" s="27"/>
      <c r="DA8" s="27"/>
      <c r="DB8" s="27"/>
      <c r="DC8" s="27"/>
      <c r="DD8" s="27"/>
      <c r="DE8" s="27"/>
      <c r="DF8" s="27"/>
      <c r="DG8" s="27"/>
      <c r="DH8" s="27"/>
      <c r="DI8" s="27"/>
      <c r="DJ8" s="27"/>
      <c r="DK8" s="27"/>
      <c r="DL8" s="27"/>
      <c r="DM8" s="27"/>
      <c r="DN8" s="27"/>
      <c r="DO8" s="27"/>
      <c r="DP8" s="27"/>
      <c r="DQ8" s="27"/>
      <c r="DR8" s="27"/>
      <c r="DS8" s="27"/>
      <c r="DT8" s="27"/>
      <c r="DU8" s="27"/>
      <c r="DV8" s="27"/>
      <c r="DW8" s="27"/>
      <c r="DX8" s="27"/>
      <c r="DY8" s="27"/>
      <c r="DZ8" s="27"/>
      <c r="EA8" s="27"/>
      <c r="EB8" s="27"/>
      <c r="EC8" s="27"/>
      <c r="ED8" s="27"/>
      <c r="EE8" s="27"/>
      <c r="EF8" s="27"/>
      <c r="EG8" s="27"/>
      <c r="EH8" s="27"/>
      <c r="EI8" s="27"/>
      <c r="EJ8" s="27"/>
      <c r="EK8" s="27"/>
      <c r="EL8" s="27"/>
      <c r="EM8" s="27"/>
      <c r="EN8" s="27"/>
      <c r="EO8" s="27"/>
      <c r="EP8" s="27"/>
      <c r="EQ8" s="27"/>
      <c r="ER8" s="27"/>
      <c r="ES8" s="27"/>
      <c r="ET8" s="27"/>
      <c r="EU8" s="27"/>
      <c r="EV8" s="27"/>
      <c r="EW8" s="27"/>
      <c r="EX8" s="27"/>
      <c r="EY8" s="27"/>
      <c r="EZ8" s="27"/>
      <c r="FA8" s="27"/>
      <c r="FB8" s="27"/>
      <c r="FC8" s="27"/>
      <c r="FD8" s="27"/>
      <c r="FE8" s="27"/>
      <c r="FF8" s="27"/>
      <c r="FG8" s="27"/>
      <c r="FH8" s="27"/>
      <c r="FI8" s="27"/>
      <c r="FJ8" s="27"/>
      <c r="FK8" s="27"/>
      <c r="FL8" s="27"/>
      <c r="FM8" s="27"/>
      <c r="FN8" s="27"/>
      <c r="FO8" s="27"/>
      <c r="FP8" s="27"/>
      <c r="FQ8" s="27"/>
      <c r="FR8" s="27"/>
      <c r="FS8" s="27"/>
      <c r="FT8" s="27"/>
      <c r="FU8" s="27"/>
      <c r="FV8" s="27"/>
      <c r="FW8" s="27"/>
      <c r="FX8" s="27"/>
      <c r="FY8" s="27"/>
      <c r="FZ8" s="27"/>
      <c r="GA8" s="27"/>
      <c r="GB8" s="27"/>
      <c r="GC8" s="27"/>
      <c r="GD8" s="27"/>
      <c r="GE8" s="27"/>
      <c r="GF8" s="27"/>
      <c r="GG8" s="27"/>
      <c r="GH8" s="27"/>
      <c r="GI8" s="27"/>
      <c r="GJ8" s="27"/>
      <c r="GK8" s="27"/>
      <c r="GL8" s="27"/>
      <c r="GM8" s="27"/>
      <c r="GN8" s="27"/>
      <c r="GO8" s="27"/>
      <c r="GP8" s="27"/>
      <c r="GQ8" s="27"/>
      <c r="GR8" s="27"/>
      <c r="GS8" s="27"/>
      <c r="GT8" s="27"/>
      <c r="GU8" s="27"/>
      <c r="GV8" s="27"/>
      <c r="GW8" s="27"/>
      <c r="GX8" s="27"/>
      <c r="GY8" s="27"/>
      <c r="GZ8" s="27"/>
      <c r="HA8" s="27"/>
      <c r="HB8" s="27"/>
      <c r="HC8" s="27"/>
      <c r="HD8" s="27"/>
      <c r="HE8" s="27"/>
      <c r="HF8" s="27"/>
      <c r="HG8" s="27"/>
      <c r="HH8" s="27"/>
      <c r="HI8" s="27"/>
      <c r="HJ8" s="27"/>
      <c r="HK8" s="27"/>
      <c r="HL8" s="27"/>
      <c r="HM8" s="27"/>
      <c r="HN8" s="27"/>
      <c r="HO8" s="27"/>
      <c r="HP8" s="27"/>
      <c r="HQ8" s="27"/>
      <c r="HR8" s="27"/>
      <c r="HS8" s="27"/>
      <c r="HT8" s="27"/>
      <c r="HU8" s="27"/>
      <c r="HV8" s="27"/>
      <c r="HW8" s="27"/>
      <c r="HX8" s="27"/>
      <c r="HY8" s="27"/>
      <c r="HZ8" s="27"/>
      <c r="IA8" s="27"/>
      <c r="IB8" s="27"/>
      <c r="IC8" s="27"/>
      <c r="ID8" s="27"/>
      <c r="IE8" s="27"/>
      <c r="IF8" s="27"/>
      <c r="IG8" s="27"/>
      <c r="IH8" s="27"/>
      <c r="II8" s="27"/>
      <c r="IJ8" s="27"/>
      <c r="IK8" s="27"/>
      <c r="IL8" s="27"/>
      <c r="IM8" s="27"/>
      <c r="IN8" s="27"/>
      <c r="IO8" s="27"/>
      <c r="IP8" s="27"/>
      <c r="IQ8" s="27"/>
      <c r="IR8" s="27"/>
      <c r="IS8" s="27"/>
      <c r="IT8" s="27"/>
      <c r="IU8" s="27"/>
      <c r="IV8" s="27"/>
      <c r="IW8" s="27"/>
      <c r="IX8" s="27"/>
      <c r="IY8" s="27"/>
      <c r="IZ8" s="27"/>
      <c r="JA8" s="27"/>
    </row>
    <row r="9" spans="2:261" x14ac:dyDescent="0.25">
      <c r="C9" s="27"/>
      <c r="D9" s="27"/>
      <c r="E9" s="27"/>
      <c r="F9" s="108"/>
      <c r="G9" s="108"/>
      <c r="H9" s="108"/>
      <c r="I9" s="108"/>
      <c r="J9" s="38"/>
      <c r="K9" s="38"/>
      <c r="L9" s="38"/>
      <c r="M9" s="109"/>
      <c r="N9" s="108"/>
      <c r="O9" s="27"/>
      <c r="P9" s="27"/>
      <c r="Q9" s="27"/>
      <c r="R9" s="27"/>
      <c r="S9" s="27"/>
      <c r="T9" s="27"/>
      <c r="U9" s="27"/>
      <c r="V9" s="27"/>
      <c r="W9" s="27"/>
      <c r="X9" s="27"/>
      <c r="Y9" s="27"/>
      <c r="Z9" s="27"/>
      <c r="AA9" s="27"/>
      <c r="AB9" s="27"/>
      <c r="AC9" s="27"/>
      <c r="AD9" s="27"/>
      <c r="AE9" s="27"/>
      <c r="AF9" s="27"/>
      <c r="AG9" s="27"/>
      <c r="AH9" s="27"/>
      <c r="AI9" s="27"/>
      <c r="AJ9" s="27"/>
      <c r="AK9" s="27"/>
      <c r="AL9" s="27"/>
      <c r="AM9" s="27"/>
      <c r="AN9" s="27"/>
      <c r="AO9" s="27"/>
      <c r="AP9" s="27"/>
      <c r="AQ9" s="27"/>
      <c r="AR9" s="27"/>
      <c r="AS9" s="27"/>
      <c r="AT9" s="27"/>
      <c r="AU9" s="27"/>
      <c r="AV9" s="27"/>
      <c r="AW9" s="27"/>
      <c r="AX9" s="27"/>
      <c r="AY9" s="27"/>
      <c r="AZ9" s="27"/>
      <c r="BA9" s="27"/>
      <c r="BB9" s="27"/>
      <c r="BC9" s="27"/>
      <c r="BD9" s="27"/>
      <c r="BE9" s="27"/>
      <c r="BF9" s="27"/>
      <c r="BG9" s="27"/>
      <c r="BH9" s="27"/>
      <c r="BI9" s="27"/>
      <c r="BJ9" s="27"/>
      <c r="BK9" s="27"/>
      <c r="BL9" s="27"/>
      <c r="BM9" s="27"/>
      <c r="BN9" s="27"/>
      <c r="BO9" s="27"/>
      <c r="BP9" s="27"/>
      <c r="BQ9" s="27"/>
      <c r="BR9" s="27"/>
      <c r="BS9" s="27"/>
      <c r="BT9" s="27"/>
      <c r="BU9" s="27"/>
      <c r="BV9" s="27"/>
      <c r="BW9" s="27"/>
      <c r="BX9" s="27"/>
      <c r="BY9" s="27"/>
      <c r="BZ9" s="27"/>
      <c r="CA9" s="27"/>
      <c r="CB9" s="27"/>
      <c r="CC9" s="27"/>
      <c r="CD9" s="27"/>
      <c r="CE9" s="27"/>
      <c r="CF9" s="27"/>
      <c r="CG9" s="27"/>
      <c r="CH9" s="27"/>
      <c r="CI9" s="27"/>
      <c r="CJ9" s="27"/>
      <c r="CK9" s="27"/>
      <c r="CL9" s="27"/>
      <c r="CM9" s="27"/>
      <c r="CN9" s="27"/>
      <c r="CO9" s="27"/>
      <c r="CP9" s="27"/>
      <c r="CQ9" s="27"/>
      <c r="CR9" s="27"/>
      <c r="CS9" s="27"/>
      <c r="CT9" s="27"/>
      <c r="CU9" s="27"/>
      <c r="CV9" s="27"/>
      <c r="CW9" s="27"/>
      <c r="CX9" s="27"/>
      <c r="CY9" s="27"/>
      <c r="CZ9" s="27"/>
      <c r="DA9" s="27"/>
      <c r="DB9" s="27"/>
      <c r="DC9" s="27"/>
      <c r="DD9" s="27"/>
      <c r="DE9" s="27"/>
      <c r="DF9" s="27"/>
      <c r="DG9" s="27"/>
      <c r="DH9" s="27"/>
      <c r="DI9" s="27"/>
      <c r="DJ9" s="27"/>
      <c r="DK9" s="27"/>
      <c r="DL9" s="27"/>
      <c r="DM9" s="27"/>
      <c r="DN9" s="27"/>
      <c r="DO9" s="27"/>
      <c r="DP9" s="27"/>
      <c r="DQ9" s="27"/>
      <c r="DR9" s="27"/>
      <c r="DS9" s="27"/>
      <c r="DT9" s="27"/>
      <c r="DU9" s="27"/>
      <c r="DV9" s="27"/>
      <c r="DW9" s="27"/>
      <c r="DX9" s="27"/>
      <c r="DY9" s="27"/>
      <c r="DZ9" s="27"/>
      <c r="EA9" s="27"/>
      <c r="EB9" s="27"/>
      <c r="EC9" s="27"/>
      <c r="ED9" s="27"/>
      <c r="EE9" s="27"/>
      <c r="EF9" s="27"/>
      <c r="EG9" s="27"/>
      <c r="EH9" s="27"/>
      <c r="EI9" s="27"/>
      <c r="EJ9" s="27"/>
      <c r="EK9" s="27"/>
      <c r="EL9" s="27"/>
      <c r="EM9" s="27"/>
      <c r="EN9" s="27"/>
      <c r="EO9" s="27"/>
      <c r="EP9" s="27"/>
      <c r="EQ9" s="27"/>
      <c r="ER9" s="27"/>
      <c r="ES9" s="27"/>
      <c r="ET9" s="27"/>
      <c r="EU9" s="27"/>
      <c r="EV9" s="27"/>
      <c r="EW9" s="27"/>
      <c r="EX9" s="27"/>
      <c r="EY9" s="27"/>
      <c r="EZ9" s="27"/>
      <c r="FA9" s="27"/>
      <c r="FB9" s="27"/>
      <c r="FC9" s="27"/>
      <c r="FD9" s="27"/>
      <c r="FE9" s="27"/>
      <c r="FF9" s="27"/>
      <c r="FG9" s="27"/>
      <c r="FH9" s="27"/>
      <c r="FI9" s="27"/>
      <c r="FJ9" s="27"/>
      <c r="FK9" s="27"/>
      <c r="FL9" s="27"/>
      <c r="FM9" s="27"/>
      <c r="FN9" s="27"/>
      <c r="FO9" s="27"/>
      <c r="FP9" s="27"/>
      <c r="FQ9" s="27"/>
      <c r="FR9" s="27"/>
      <c r="FS9" s="27"/>
      <c r="FT9" s="27"/>
      <c r="FU9" s="27"/>
      <c r="FV9" s="27"/>
      <c r="FW9" s="27"/>
      <c r="FX9" s="27"/>
      <c r="FY9" s="27"/>
      <c r="FZ9" s="27"/>
      <c r="GA9" s="27"/>
      <c r="GB9" s="27"/>
      <c r="GC9" s="27"/>
      <c r="GD9" s="27"/>
      <c r="GE9" s="27"/>
      <c r="GF9" s="27"/>
      <c r="GG9" s="27"/>
      <c r="GH9" s="27"/>
      <c r="GI9" s="27"/>
      <c r="GJ9" s="27"/>
      <c r="GK9" s="27"/>
      <c r="GL9" s="27"/>
      <c r="GM9" s="27"/>
      <c r="GN9" s="27"/>
      <c r="GO9" s="27"/>
      <c r="GP9" s="27"/>
      <c r="GQ9" s="27"/>
      <c r="GR9" s="27"/>
      <c r="GS9" s="27"/>
      <c r="GT9" s="27"/>
      <c r="GU9" s="27"/>
      <c r="GV9" s="27"/>
      <c r="GW9" s="27"/>
      <c r="GX9" s="27"/>
      <c r="GY9" s="27"/>
      <c r="GZ9" s="27"/>
      <c r="HA9" s="27"/>
      <c r="HB9" s="27"/>
      <c r="HC9" s="27"/>
      <c r="HD9" s="27"/>
      <c r="HE9" s="27"/>
      <c r="HF9" s="27"/>
      <c r="HG9" s="27"/>
      <c r="HH9" s="27"/>
      <c r="HI9" s="27"/>
      <c r="HJ9" s="27"/>
      <c r="HK9" s="27"/>
      <c r="HL9" s="27"/>
      <c r="HM9" s="27"/>
      <c r="HN9" s="27"/>
      <c r="HO9" s="27"/>
      <c r="HP9" s="27"/>
      <c r="HQ9" s="27"/>
      <c r="HR9" s="27"/>
      <c r="HS9" s="27"/>
      <c r="HT9" s="27"/>
      <c r="HU9" s="27"/>
      <c r="HV9" s="27"/>
      <c r="HW9" s="27"/>
      <c r="HX9" s="27"/>
      <c r="HY9" s="27"/>
      <c r="HZ9" s="27"/>
      <c r="IA9" s="27"/>
      <c r="IB9" s="27"/>
      <c r="IC9" s="27"/>
      <c r="ID9" s="27"/>
      <c r="IE9" s="27"/>
      <c r="IF9" s="27"/>
      <c r="IG9" s="27"/>
      <c r="IH9" s="27"/>
      <c r="II9" s="27"/>
      <c r="IJ9" s="27"/>
      <c r="IK9" s="27"/>
      <c r="IL9" s="27"/>
      <c r="IM9" s="27"/>
      <c r="IN9" s="27"/>
      <c r="IO9" s="27"/>
      <c r="IP9" s="27"/>
      <c r="IQ9" s="27"/>
      <c r="IR9" s="27"/>
      <c r="IS9" s="27"/>
      <c r="IT9" s="27"/>
      <c r="IU9" s="27"/>
      <c r="IV9" s="27"/>
      <c r="IW9" s="27"/>
      <c r="IX9" s="27"/>
      <c r="IY9" s="27"/>
      <c r="IZ9" s="27"/>
      <c r="JA9" s="27"/>
    </row>
    <row r="10" spans="2:261" x14ac:dyDescent="0.25">
      <c r="C10" s="27"/>
      <c r="D10" s="27"/>
      <c r="E10" s="27"/>
      <c r="F10" s="110"/>
      <c r="G10" s="110"/>
      <c r="H10" s="110"/>
      <c r="I10" s="110"/>
      <c r="J10" s="110"/>
      <c r="K10" s="110"/>
      <c r="L10" s="110"/>
      <c r="M10" s="110"/>
      <c r="N10" s="110"/>
      <c r="O10" s="27"/>
      <c r="P10" s="27"/>
      <c r="Q10" s="27"/>
      <c r="R10" s="27"/>
      <c r="S10" s="27"/>
      <c r="T10" s="27"/>
      <c r="U10" s="27"/>
      <c r="V10" s="27"/>
      <c r="W10" s="27"/>
      <c r="X10" s="27"/>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27"/>
      <c r="BC10" s="27"/>
      <c r="BD10" s="27"/>
      <c r="BE10" s="27"/>
      <c r="BF10" s="27"/>
      <c r="BG10" s="27"/>
      <c r="BH10" s="27"/>
      <c r="BI10" s="27"/>
      <c r="BJ10" s="27"/>
      <c r="BK10" s="27"/>
      <c r="BL10" s="27"/>
      <c r="BM10" s="27"/>
      <c r="BN10" s="27"/>
      <c r="BO10" s="27"/>
      <c r="BP10" s="27"/>
      <c r="BQ10" s="27"/>
      <c r="BR10" s="27"/>
      <c r="BS10" s="27"/>
      <c r="BT10" s="27"/>
      <c r="BU10" s="27"/>
      <c r="BV10" s="27"/>
      <c r="BW10" s="27"/>
      <c r="BX10" s="27"/>
      <c r="BY10" s="27"/>
      <c r="BZ10" s="27"/>
      <c r="CA10" s="27"/>
      <c r="CB10" s="27"/>
      <c r="CC10" s="27"/>
      <c r="CD10" s="27"/>
      <c r="CE10" s="27"/>
      <c r="CF10" s="27"/>
      <c r="CG10" s="27"/>
      <c r="CH10" s="27"/>
      <c r="CI10" s="27"/>
      <c r="CJ10" s="27"/>
      <c r="CK10" s="27"/>
      <c r="CL10" s="27"/>
      <c r="CM10" s="27"/>
      <c r="CN10" s="27"/>
      <c r="CO10" s="27"/>
      <c r="CP10" s="27"/>
      <c r="CQ10" s="27"/>
      <c r="CR10" s="27"/>
      <c r="CS10" s="27"/>
      <c r="CT10" s="27"/>
      <c r="CU10" s="27"/>
      <c r="CV10" s="27"/>
      <c r="CW10" s="27"/>
      <c r="CX10" s="27"/>
      <c r="CY10" s="27"/>
      <c r="CZ10" s="27"/>
      <c r="DA10" s="27"/>
      <c r="DB10" s="27"/>
      <c r="DC10" s="27"/>
      <c r="DD10" s="27"/>
      <c r="DE10" s="27"/>
      <c r="DF10" s="27"/>
      <c r="DG10" s="27"/>
      <c r="DH10" s="27"/>
      <c r="DI10" s="27"/>
      <c r="DJ10" s="27"/>
      <c r="DK10" s="27"/>
      <c r="DL10" s="27"/>
      <c r="DM10" s="27"/>
      <c r="DN10" s="27"/>
      <c r="DO10" s="27"/>
      <c r="DP10" s="27"/>
      <c r="DQ10" s="27"/>
      <c r="DR10" s="27"/>
      <c r="DS10" s="27"/>
      <c r="DT10" s="27"/>
      <c r="DU10" s="27"/>
      <c r="DV10" s="27"/>
      <c r="DW10" s="27"/>
      <c r="DX10" s="27"/>
      <c r="DY10" s="27"/>
      <c r="DZ10" s="27"/>
      <c r="EA10" s="27"/>
      <c r="EB10" s="27"/>
      <c r="EC10" s="27"/>
      <c r="ED10" s="27"/>
      <c r="EE10" s="27"/>
      <c r="EF10" s="27"/>
      <c r="EG10" s="27"/>
      <c r="EH10" s="27"/>
      <c r="EI10" s="27"/>
      <c r="EJ10" s="27"/>
      <c r="EK10" s="27"/>
      <c r="EL10" s="27"/>
      <c r="EM10" s="27"/>
      <c r="EN10" s="27"/>
      <c r="EO10" s="27"/>
      <c r="EP10" s="27"/>
      <c r="EQ10" s="27"/>
      <c r="ER10" s="27"/>
      <c r="ES10" s="27"/>
      <c r="ET10" s="27"/>
      <c r="EU10" s="27"/>
      <c r="EV10" s="27"/>
      <c r="EW10" s="27"/>
      <c r="EX10" s="27"/>
      <c r="EY10" s="27"/>
      <c r="EZ10" s="27"/>
      <c r="FA10" s="27"/>
      <c r="FB10" s="27"/>
      <c r="FC10" s="27"/>
      <c r="FD10" s="27"/>
      <c r="FE10" s="27"/>
      <c r="FF10" s="27"/>
      <c r="FG10" s="27"/>
      <c r="FH10" s="27"/>
      <c r="FI10" s="27"/>
      <c r="FJ10" s="27"/>
      <c r="FK10" s="27"/>
      <c r="FL10" s="27"/>
      <c r="FM10" s="27"/>
      <c r="FN10" s="27"/>
      <c r="FO10" s="27"/>
      <c r="FP10" s="27"/>
      <c r="FQ10" s="27"/>
      <c r="FR10" s="27"/>
      <c r="FS10" s="27"/>
      <c r="FT10" s="27"/>
      <c r="FU10" s="27"/>
      <c r="FV10" s="27"/>
      <c r="FW10" s="27"/>
      <c r="FX10" s="27"/>
      <c r="FY10" s="27"/>
      <c r="FZ10" s="27"/>
      <c r="GA10" s="27"/>
      <c r="GB10" s="27"/>
      <c r="GC10" s="27"/>
      <c r="GD10" s="27"/>
      <c r="GE10" s="27"/>
      <c r="GF10" s="27"/>
      <c r="GG10" s="27"/>
      <c r="GH10" s="27"/>
      <c r="GI10" s="27"/>
      <c r="GJ10" s="27"/>
      <c r="GK10" s="27"/>
      <c r="GL10" s="27"/>
      <c r="GM10" s="27"/>
      <c r="GN10" s="27"/>
      <c r="GO10" s="27"/>
      <c r="GP10" s="27"/>
      <c r="GQ10" s="27"/>
      <c r="GR10" s="27"/>
      <c r="GS10" s="27"/>
      <c r="GT10" s="27"/>
      <c r="GU10" s="27"/>
      <c r="GV10" s="27"/>
      <c r="GW10" s="27"/>
      <c r="GX10" s="27"/>
      <c r="GY10" s="27"/>
      <c r="GZ10" s="27"/>
      <c r="HA10" s="27"/>
      <c r="HB10" s="27"/>
      <c r="HC10" s="27"/>
      <c r="HD10" s="27"/>
      <c r="HE10" s="27"/>
      <c r="HF10" s="27"/>
      <c r="HG10" s="27"/>
      <c r="HH10" s="27"/>
      <c r="HI10" s="27"/>
      <c r="HJ10" s="27"/>
      <c r="HK10" s="27"/>
      <c r="HL10" s="27"/>
      <c r="HM10" s="27"/>
      <c r="HN10" s="27"/>
      <c r="HO10" s="27"/>
      <c r="HP10" s="27"/>
      <c r="HQ10" s="27"/>
      <c r="HR10" s="27"/>
      <c r="HS10" s="27"/>
      <c r="HT10" s="27"/>
      <c r="HU10" s="27"/>
      <c r="HV10" s="27"/>
      <c r="HW10" s="27"/>
      <c r="HX10" s="27"/>
      <c r="HY10" s="27"/>
      <c r="HZ10" s="27"/>
      <c r="IA10" s="27"/>
      <c r="IB10" s="27"/>
      <c r="IC10" s="27"/>
      <c r="ID10" s="27"/>
      <c r="IE10" s="27"/>
      <c r="IF10" s="27"/>
      <c r="IG10" s="27"/>
      <c r="IH10" s="27"/>
      <c r="II10" s="27"/>
      <c r="IJ10" s="27"/>
      <c r="IK10" s="27"/>
      <c r="IL10" s="27"/>
      <c r="IM10" s="27"/>
      <c r="IN10" s="27"/>
      <c r="IO10" s="27"/>
      <c r="IP10" s="27"/>
      <c r="IQ10" s="27"/>
      <c r="IR10" s="27"/>
      <c r="IS10" s="27"/>
      <c r="IT10" s="27"/>
      <c r="IU10" s="27"/>
      <c r="IV10" s="27"/>
      <c r="IW10" s="27"/>
      <c r="IX10" s="27"/>
      <c r="IY10" s="27"/>
      <c r="IZ10" s="27"/>
      <c r="JA10" s="27"/>
    </row>
    <row r="11" spans="2:261" x14ac:dyDescent="0.25">
      <c r="B11" s="28" t="s">
        <v>1204</v>
      </c>
      <c r="C11" s="858" t="s">
        <v>7</v>
      </c>
      <c r="D11" s="107" t="str">
        <f>CARAT_!$F$47</f>
        <v>ESPECIFICO Nº SP-2022-012</v>
      </c>
      <c r="E11" s="107"/>
      <c r="F11" s="37"/>
      <c r="G11" s="37"/>
      <c r="H11" s="37"/>
      <c r="I11" s="37"/>
      <c r="J11" s="37"/>
      <c r="K11" s="37"/>
      <c r="L11" s="110"/>
      <c r="M11" s="110"/>
      <c r="N11" s="110"/>
      <c r="O11" s="27"/>
      <c r="P11" s="27"/>
      <c r="Q11" s="27"/>
      <c r="R11" s="27"/>
      <c r="S11" s="27"/>
      <c r="T11" s="27"/>
      <c r="U11" s="27"/>
      <c r="V11" s="27"/>
      <c r="W11" s="27"/>
      <c r="X11" s="27"/>
      <c r="Y11" s="27"/>
      <c r="Z11" s="27"/>
      <c r="AA11" s="27"/>
      <c r="AB11" s="27"/>
      <c r="AC11" s="27"/>
      <c r="AD11" s="27"/>
      <c r="AE11" s="27"/>
      <c r="AF11" s="27"/>
      <c r="AG11" s="27"/>
      <c r="AH11" s="27"/>
      <c r="AI11" s="27"/>
      <c r="AJ11" s="27"/>
      <c r="AK11" s="27"/>
      <c r="AL11" s="27"/>
      <c r="AM11" s="27"/>
      <c r="AN11" s="27"/>
      <c r="AO11" s="27"/>
      <c r="AP11" s="27"/>
      <c r="AQ11" s="27"/>
      <c r="AR11" s="27"/>
      <c r="AS11" s="27"/>
      <c r="AT11" s="27"/>
      <c r="AU11" s="27"/>
      <c r="AV11" s="27"/>
      <c r="AW11" s="27"/>
      <c r="AX11" s="27"/>
      <c r="AY11" s="27"/>
      <c r="AZ11" s="27"/>
      <c r="BA11" s="27"/>
      <c r="BB11" s="27"/>
      <c r="BC11" s="27"/>
      <c r="BD11" s="27"/>
      <c r="BE11" s="27"/>
      <c r="BF11" s="27"/>
      <c r="BG11" s="27"/>
      <c r="BH11" s="27"/>
      <c r="BI11" s="27"/>
      <c r="BJ11" s="27"/>
      <c r="BK11" s="27"/>
      <c r="BL11" s="27"/>
      <c r="BM11" s="27"/>
      <c r="BN11" s="27"/>
      <c r="BO11" s="27"/>
      <c r="BP11" s="27"/>
      <c r="BQ11" s="27"/>
      <c r="BR11" s="27"/>
      <c r="BS11" s="27"/>
      <c r="BT11" s="27"/>
      <c r="BU11" s="27"/>
      <c r="BV11" s="27"/>
      <c r="BW11" s="27"/>
      <c r="BX11" s="27"/>
      <c r="BY11" s="27"/>
      <c r="BZ11" s="27"/>
      <c r="CA11" s="27"/>
      <c r="CB11" s="27"/>
      <c r="CC11" s="27"/>
      <c r="CD11" s="27"/>
      <c r="CE11" s="27"/>
      <c r="CF11" s="27"/>
      <c r="CG11" s="27"/>
      <c r="CH11" s="27"/>
      <c r="CI11" s="27"/>
      <c r="CJ11" s="27"/>
      <c r="CK11" s="27"/>
      <c r="CL11" s="27"/>
      <c r="CM11" s="27"/>
      <c r="CN11" s="27"/>
      <c r="CO11" s="27"/>
      <c r="CP11" s="27"/>
      <c r="CQ11" s="27"/>
      <c r="CR11" s="27"/>
      <c r="CS11" s="27"/>
      <c r="CT11" s="27"/>
      <c r="CU11" s="27"/>
      <c r="CV11" s="27"/>
      <c r="CW11" s="27"/>
      <c r="CX11" s="27"/>
      <c r="CY11" s="27"/>
      <c r="CZ11" s="27"/>
      <c r="DA11" s="27"/>
      <c r="DB11" s="27"/>
      <c r="DC11" s="27"/>
      <c r="DD11" s="27"/>
      <c r="DE11" s="27"/>
      <c r="DF11" s="27"/>
      <c r="DG11" s="27"/>
      <c r="DH11" s="27"/>
      <c r="DI11" s="27"/>
      <c r="DJ11" s="27"/>
      <c r="DK11" s="27"/>
      <c r="DL11" s="27"/>
      <c r="DM11" s="27"/>
      <c r="DN11" s="27"/>
      <c r="DO11" s="27"/>
      <c r="DP11" s="27"/>
      <c r="DQ11" s="27"/>
      <c r="DR11" s="27"/>
      <c r="DS11" s="27"/>
      <c r="DT11" s="27"/>
      <c r="DU11" s="27"/>
      <c r="DV11" s="27"/>
      <c r="DW11" s="27"/>
      <c r="DX11" s="27"/>
      <c r="DY11" s="27"/>
      <c r="DZ11" s="27"/>
      <c r="EA11" s="27"/>
      <c r="EB11" s="27"/>
      <c r="EC11" s="27"/>
      <c r="ED11" s="27"/>
      <c r="EE11" s="27"/>
      <c r="EF11" s="27"/>
      <c r="EG11" s="27"/>
      <c r="EH11" s="27"/>
      <c r="EI11" s="27"/>
      <c r="EJ11" s="27"/>
      <c r="EK11" s="27"/>
      <c r="EL11" s="27"/>
      <c r="EM11" s="27"/>
      <c r="EN11" s="27"/>
      <c r="EO11" s="27"/>
      <c r="EP11" s="27"/>
      <c r="EQ11" s="27"/>
      <c r="ER11" s="27"/>
      <c r="ES11" s="27"/>
      <c r="ET11" s="27"/>
      <c r="EU11" s="27"/>
      <c r="EV11" s="27"/>
      <c r="EW11" s="27"/>
      <c r="EX11" s="27"/>
      <c r="EY11" s="27"/>
      <c r="EZ11" s="27"/>
      <c r="FA11" s="27"/>
      <c r="FB11" s="27"/>
      <c r="FC11" s="27"/>
      <c r="FD11" s="27"/>
      <c r="FE11" s="27"/>
      <c r="FF11" s="27"/>
      <c r="FG11" s="27"/>
      <c r="FH11" s="27"/>
      <c r="FI11" s="27"/>
      <c r="FJ11" s="27"/>
      <c r="FK11" s="27"/>
      <c r="FL11" s="27"/>
      <c r="FM11" s="27"/>
      <c r="FN11" s="27"/>
      <c r="FO11" s="27"/>
      <c r="FP11" s="27"/>
      <c r="FQ11" s="27"/>
      <c r="FR11" s="27"/>
      <c r="FS11" s="27"/>
      <c r="FT11" s="27"/>
      <c r="FU11" s="27"/>
      <c r="FV11" s="27"/>
      <c r="FW11" s="27"/>
      <c r="FX11" s="27"/>
      <c r="FY11" s="27"/>
      <c r="FZ11" s="27"/>
      <c r="GA11" s="27"/>
      <c r="GB11" s="27"/>
      <c r="GC11" s="27"/>
      <c r="GD11" s="27"/>
      <c r="GE11" s="27"/>
      <c r="GF11" s="27"/>
      <c r="GG11" s="27"/>
      <c r="GH11" s="27"/>
      <c r="GI11" s="27"/>
      <c r="GJ11" s="27"/>
      <c r="GK11" s="27"/>
      <c r="GL11" s="27"/>
      <c r="GM11" s="27"/>
      <c r="GN11" s="27"/>
      <c r="GO11" s="27"/>
      <c r="GP11" s="27"/>
      <c r="GQ11" s="27"/>
      <c r="GR11" s="27"/>
      <c r="GS11" s="27"/>
      <c r="GT11" s="27"/>
      <c r="GU11" s="27"/>
      <c r="GV11" s="27"/>
      <c r="GW11" s="27"/>
      <c r="GX11" s="27"/>
      <c r="GY11" s="27"/>
      <c r="GZ11" s="27"/>
      <c r="HA11" s="27"/>
      <c r="HB11" s="27"/>
      <c r="HC11" s="27"/>
      <c r="HD11" s="27"/>
      <c r="HE11" s="27"/>
      <c r="HF11" s="27"/>
      <c r="HG11" s="27"/>
      <c r="HH11" s="27"/>
      <c r="HI11" s="27"/>
      <c r="HJ11" s="27"/>
      <c r="HK11" s="27"/>
      <c r="HL11" s="27"/>
      <c r="HM11" s="27"/>
      <c r="HN11" s="27"/>
      <c r="HO11" s="27"/>
      <c r="HP11" s="27"/>
      <c r="HQ11" s="27"/>
      <c r="HR11" s="27"/>
      <c r="HS11" s="27"/>
      <c r="HT11" s="27"/>
      <c r="HU11" s="27"/>
      <c r="HV11" s="27"/>
      <c r="HW11" s="27"/>
      <c r="HX11" s="27"/>
      <c r="HY11" s="27"/>
      <c r="HZ11" s="27"/>
      <c r="IA11" s="27"/>
      <c r="IB11" s="27"/>
      <c r="IC11" s="27"/>
      <c r="ID11" s="27"/>
      <c r="IE11" s="27"/>
      <c r="IF11" s="27"/>
      <c r="IG11" s="27"/>
      <c r="IH11" s="27"/>
      <c r="II11" s="27"/>
      <c r="IJ11" s="27"/>
      <c r="IK11" s="27"/>
      <c r="IL11" s="27"/>
      <c r="IM11" s="27"/>
      <c r="IN11" s="27"/>
      <c r="IO11" s="27"/>
      <c r="IP11" s="27"/>
      <c r="IQ11" s="27"/>
      <c r="IR11" s="27"/>
      <c r="IS11" s="27"/>
      <c r="IT11" s="27"/>
      <c r="IU11" s="27"/>
      <c r="IV11" s="27"/>
      <c r="IW11" s="27"/>
      <c r="IX11" s="27"/>
      <c r="IY11" s="27"/>
      <c r="IZ11" s="27"/>
      <c r="JA11" s="27"/>
    </row>
    <row r="12" spans="2:261" x14ac:dyDescent="0.25">
      <c r="B12" s="111" t="s">
        <v>18</v>
      </c>
      <c r="C12" s="858" t="s">
        <v>7</v>
      </c>
      <c r="D12" s="2132" t="str">
        <f>CARAT_!F48</f>
        <v>“CREACION DEL PUENTE VEHICULAR CCANCHIS SOBRE EL RIO PAMPAS, DISTRITO DE CHUNGUI - PROVINCIA LA MAR - DEPARTAMENTO AYACUCHO”.</v>
      </c>
      <c r="E12" s="2132"/>
      <c r="F12" s="2132"/>
      <c r="G12" s="2132"/>
      <c r="H12" s="2132"/>
      <c r="I12" s="2132"/>
      <c r="J12" s="2132"/>
      <c r="K12" s="1109"/>
      <c r="L12" s="110"/>
      <c r="M12" s="110"/>
      <c r="N12" s="110"/>
      <c r="O12" s="27"/>
      <c r="P12" s="27"/>
      <c r="Q12" s="27"/>
      <c r="R12" s="27"/>
      <c r="S12" s="27"/>
      <c r="T12" s="27"/>
      <c r="U12" s="27"/>
      <c r="V12" s="27"/>
      <c r="W12" s="27"/>
      <c r="X12" s="27"/>
      <c r="Y12" s="27"/>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7"/>
      <c r="CA12" s="27"/>
      <c r="CB12" s="27"/>
      <c r="CC12" s="27"/>
      <c r="CD12" s="27"/>
      <c r="CE12" s="27"/>
      <c r="CF12" s="27"/>
      <c r="CG12" s="27"/>
      <c r="CH12" s="27"/>
      <c r="CI12" s="27"/>
      <c r="CJ12" s="27"/>
      <c r="CK12" s="27"/>
      <c r="CL12" s="27"/>
      <c r="CM12" s="27"/>
      <c r="CN12" s="27"/>
      <c r="CO12" s="27"/>
      <c r="CP12" s="27"/>
      <c r="CQ12" s="27"/>
      <c r="CR12" s="27"/>
      <c r="CS12" s="27"/>
      <c r="CT12" s="27"/>
      <c r="CU12" s="27"/>
      <c r="CV12" s="27"/>
      <c r="CW12" s="27"/>
      <c r="CX12" s="27"/>
      <c r="CY12" s="27"/>
      <c r="CZ12" s="27"/>
      <c r="DA12" s="27"/>
      <c r="DB12" s="27"/>
      <c r="DC12" s="27"/>
      <c r="DD12" s="27"/>
      <c r="DE12" s="27"/>
      <c r="DF12" s="27"/>
      <c r="DG12" s="27"/>
      <c r="DH12" s="27"/>
      <c r="DI12" s="27"/>
      <c r="DJ12" s="27"/>
      <c r="DK12" s="27"/>
      <c r="DL12" s="27"/>
      <c r="DM12" s="27"/>
      <c r="DN12" s="27"/>
      <c r="DO12" s="27"/>
      <c r="DP12" s="27"/>
      <c r="DQ12" s="27"/>
      <c r="DR12" s="27"/>
      <c r="DS12" s="27"/>
      <c r="DT12" s="27"/>
      <c r="DU12" s="27"/>
      <c r="DV12" s="27"/>
      <c r="DW12" s="27"/>
      <c r="DX12" s="27"/>
      <c r="DY12" s="27"/>
      <c r="DZ12" s="27"/>
      <c r="EA12" s="27"/>
      <c r="EB12" s="27"/>
      <c r="EC12" s="27"/>
      <c r="ED12" s="27"/>
      <c r="EE12" s="27"/>
      <c r="EF12" s="27"/>
      <c r="EG12" s="27"/>
      <c r="EH12" s="27"/>
      <c r="EI12" s="27"/>
      <c r="EJ12" s="27"/>
      <c r="EK12" s="27"/>
      <c r="EL12" s="27"/>
      <c r="EM12" s="27"/>
      <c r="EN12" s="27"/>
      <c r="EO12" s="27"/>
      <c r="EP12" s="27"/>
      <c r="EQ12" s="27"/>
      <c r="ER12" s="27"/>
      <c r="ES12" s="27"/>
      <c r="ET12" s="27"/>
      <c r="EU12" s="27"/>
      <c r="EV12" s="27"/>
      <c r="EW12" s="27"/>
      <c r="EX12" s="27"/>
      <c r="EY12" s="27"/>
      <c r="EZ12" s="27"/>
      <c r="FA12" s="27"/>
      <c r="FB12" s="27"/>
      <c r="FC12" s="27"/>
      <c r="FD12" s="27"/>
      <c r="FE12" s="27"/>
      <c r="FF12" s="27"/>
      <c r="FG12" s="27"/>
      <c r="FH12" s="27"/>
      <c r="FI12" s="27"/>
      <c r="FJ12" s="27"/>
      <c r="FK12" s="27"/>
      <c r="FL12" s="27"/>
      <c r="FM12" s="27"/>
      <c r="FN12" s="27"/>
      <c r="FO12" s="27"/>
      <c r="FP12" s="27"/>
      <c r="FQ12" s="27"/>
      <c r="FR12" s="27"/>
      <c r="FS12" s="27"/>
      <c r="FT12" s="27"/>
      <c r="FU12" s="27"/>
      <c r="FV12" s="27"/>
      <c r="FW12" s="27"/>
      <c r="FX12" s="27"/>
      <c r="FY12" s="27"/>
      <c r="FZ12" s="27"/>
      <c r="GA12" s="27"/>
      <c r="GB12" s="27"/>
      <c r="GC12" s="27"/>
      <c r="GD12" s="27"/>
      <c r="GE12" s="27"/>
      <c r="GF12" s="27"/>
      <c r="GG12" s="27"/>
      <c r="GH12" s="27"/>
      <c r="GI12" s="27"/>
      <c r="GJ12" s="27"/>
      <c r="GK12" s="27"/>
      <c r="GL12" s="27"/>
      <c r="GM12" s="27"/>
      <c r="GN12" s="27"/>
      <c r="GO12" s="27"/>
      <c r="GP12" s="27"/>
      <c r="GQ12" s="27"/>
      <c r="GR12" s="27"/>
      <c r="GS12" s="27"/>
      <c r="GT12" s="27"/>
      <c r="GU12" s="27"/>
      <c r="GV12" s="27"/>
      <c r="GW12" s="27"/>
      <c r="GX12" s="27"/>
      <c r="GY12" s="27"/>
      <c r="GZ12" s="27"/>
      <c r="HA12" s="27"/>
      <c r="HB12" s="27"/>
      <c r="HC12" s="27"/>
      <c r="HD12" s="27"/>
      <c r="HE12" s="27"/>
      <c r="HF12" s="27"/>
      <c r="HG12" s="27"/>
      <c r="HH12" s="27"/>
      <c r="HI12" s="27"/>
      <c r="HJ12" s="27"/>
      <c r="HK12" s="27"/>
      <c r="HL12" s="27"/>
      <c r="HM12" s="27"/>
      <c r="HN12" s="27"/>
      <c r="HO12" s="27"/>
      <c r="HP12" s="27"/>
      <c r="HQ12" s="27"/>
      <c r="HR12" s="27"/>
      <c r="HS12" s="27"/>
      <c r="HT12" s="27"/>
      <c r="HU12" s="27"/>
      <c r="HV12" s="27"/>
      <c r="HW12" s="27"/>
      <c r="HX12" s="27"/>
      <c r="HY12" s="27"/>
      <c r="HZ12" s="27"/>
      <c r="IA12" s="27"/>
      <c r="IB12" s="27"/>
      <c r="IC12" s="27"/>
      <c r="ID12" s="27"/>
      <c r="IE12" s="27"/>
      <c r="IF12" s="27"/>
      <c r="IG12" s="27"/>
      <c r="IH12" s="27"/>
      <c r="II12" s="27"/>
      <c r="IJ12" s="27"/>
      <c r="IK12" s="27"/>
      <c r="IL12" s="27"/>
      <c r="IM12" s="27"/>
      <c r="IN12" s="27"/>
      <c r="IO12" s="27"/>
      <c r="IP12" s="27"/>
      <c r="IQ12" s="27"/>
      <c r="IR12" s="27"/>
      <c r="IS12" s="27"/>
      <c r="IT12" s="27"/>
      <c r="IU12" s="27"/>
      <c r="IV12" s="27"/>
      <c r="IW12" s="27"/>
      <c r="IX12" s="27"/>
      <c r="IY12" s="27"/>
      <c r="IZ12" s="27"/>
      <c r="JA12" s="27"/>
    </row>
    <row r="13" spans="2:261" ht="12" customHeight="1" x14ac:dyDescent="0.25">
      <c r="C13" s="111"/>
      <c r="D13" s="2132"/>
      <c r="E13" s="2132"/>
      <c r="F13" s="2132"/>
      <c r="G13" s="2132"/>
      <c r="H13" s="2132"/>
      <c r="I13" s="2132"/>
      <c r="J13" s="2132"/>
      <c r="K13" s="1109"/>
      <c r="L13" s="110"/>
      <c r="M13" s="110"/>
      <c r="N13" s="110"/>
      <c r="O13" s="27"/>
      <c r="P13" s="27"/>
      <c r="Q13" s="27"/>
      <c r="R13" s="27"/>
      <c r="S13" s="27"/>
      <c r="T13" s="27"/>
      <c r="U13" s="27"/>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c r="BJ13" s="27"/>
      <c r="BK13" s="27"/>
      <c r="BL13" s="27"/>
      <c r="BM13" s="27"/>
      <c r="BN13" s="27"/>
      <c r="BO13" s="27"/>
      <c r="BP13" s="27"/>
      <c r="BQ13" s="27"/>
      <c r="BR13" s="27"/>
      <c r="BS13" s="27"/>
      <c r="BT13" s="27"/>
      <c r="BU13" s="27"/>
      <c r="BV13" s="27"/>
      <c r="BW13" s="27"/>
      <c r="BX13" s="27"/>
      <c r="BY13" s="27"/>
      <c r="BZ13" s="27"/>
      <c r="CA13" s="27"/>
      <c r="CB13" s="27"/>
      <c r="CC13" s="27"/>
      <c r="CD13" s="27"/>
      <c r="CE13" s="27"/>
      <c r="CF13" s="27"/>
      <c r="CG13" s="27"/>
      <c r="CH13" s="27"/>
      <c r="CI13" s="27"/>
      <c r="CJ13" s="27"/>
      <c r="CK13" s="27"/>
      <c r="CL13" s="27"/>
      <c r="CM13" s="27"/>
      <c r="CN13" s="27"/>
      <c r="CO13" s="27"/>
      <c r="CP13" s="27"/>
      <c r="CQ13" s="27"/>
      <c r="CR13" s="27"/>
      <c r="CS13" s="27"/>
      <c r="CT13" s="27"/>
      <c r="CU13" s="27"/>
      <c r="CV13" s="27"/>
      <c r="CW13" s="27"/>
      <c r="CX13" s="27"/>
      <c r="CY13" s="27"/>
      <c r="CZ13" s="27"/>
      <c r="DA13" s="27"/>
      <c r="DB13" s="27"/>
      <c r="DC13" s="27"/>
      <c r="DD13" s="27"/>
      <c r="DE13" s="27"/>
      <c r="DF13" s="27"/>
      <c r="DG13" s="27"/>
      <c r="DH13" s="27"/>
      <c r="DI13" s="27"/>
      <c r="DJ13" s="27"/>
      <c r="DK13" s="27"/>
      <c r="DL13" s="27"/>
      <c r="DM13" s="27"/>
      <c r="DN13" s="27"/>
      <c r="DO13" s="27"/>
      <c r="DP13" s="27"/>
      <c r="DQ13" s="27"/>
      <c r="DR13" s="27"/>
      <c r="DS13" s="27"/>
      <c r="DT13" s="27"/>
      <c r="DU13" s="27"/>
      <c r="DV13" s="27"/>
      <c r="DW13" s="27"/>
      <c r="DX13" s="27"/>
      <c r="DY13" s="27"/>
      <c r="DZ13" s="27"/>
      <c r="EA13" s="27"/>
      <c r="EB13" s="27"/>
      <c r="EC13" s="27"/>
      <c r="ED13" s="27"/>
      <c r="EE13" s="27"/>
      <c r="EF13" s="27"/>
      <c r="EG13" s="27"/>
      <c r="EH13" s="27"/>
      <c r="EI13" s="27"/>
      <c r="EJ13" s="27"/>
      <c r="EK13" s="27"/>
      <c r="EL13" s="27"/>
      <c r="EM13" s="27"/>
      <c r="EN13" s="27"/>
      <c r="EO13" s="27"/>
      <c r="EP13" s="27"/>
      <c r="EQ13" s="27"/>
      <c r="ER13" s="27"/>
      <c r="ES13" s="27"/>
      <c r="ET13" s="27"/>
      <c r="EU13" s="27"/>
      <c r="EV13" s="27"/>
      <c r="EW13" s="27"/>
      <c r="EX13" s="27"/>
      <c r="EY13" s="27"/>
      <c r="EZ13" s="27"/>
      <c r="FA13" s="27"/>
      <c r="FB13" s="27"/>
      <c r="FC13" s="27"/>
      <c r="FD13" s="27"/>
      <c r="FE13" s="27"/>
      <c r="FF13" s="27"/>
      <c r="FG13" s="27"/>
      <c r="FH13" s="27"/>
      <c r="FI13" s="27"/>
      <c r="FJ13" s="27"/>
      <c r="FK13" s="27"/>
      <c r="FL13" s="27"/>
      <c r="FM13" s="27"/>
      <c r="FN13" s="27"/>
      <c r="FO13" s="27"/>
      <c r="FP13" s="27"/>
      <c r="FQ13" s="27"/>
      <c r="FR13" s="27"/>
      <c r="FS13" s="27"/>
      <c r="FT13" s="27"/>
      <c r="FU13" s="27"/>
      <c r="FV13" s="27"/>
      <c r="FW13" s="27"/>
      <c r="FX13" s="27"/>
      <c r="FY13" s="27"/>
      <c r="FZ13" s="27"/>
      <c r="GA13" s="27"/>
      <c r="GB13" s="27"/>
      <c r="GC13" s="27"/>
      <c r="GD13" s="27"/>
      <c r="GE13" s="27"/>
      <c r="GF13" s="27"/>
      <c r="GG13" s="27"/>
      <c r="GH13" s="27"/>
      <c r="GI13" s="27"/>
      <c r="GJ13" s="27"/>
      <c r="GK13" s="27"/>
      <c r="GL13" s="27"/>
      <c r="GM13" s="27"/>
      <c r="GN13" s="27"/>
      <c r="GO13" s="27"/>
      <c r="GP13" s="27"/>
      <c r="GQ13" s="27"/>
      <c r="GR13" s="27"/>
      <c r="GS13" s="27"/>
      <c r="GT13" s="27"/>
      <c r="GU13" s="27"/>
      <c r="GV13" s="27"/>
      <c r="GW13" s="27"/>
      <c r="GX13" s="27"/>
      <c r="GY13" s="27"/>
      <c r="GZ13" s="27"/>
      <c r="HA13" s="27"/>
      <c r="HB13" s="27"/>
      <c r="HC13" s="27"/>
      <c r="HD13" s="27"/>
      <c r="HE13" s="27"/>
      <c r="HF13" s="27"/>
      <c r="HG13" s="27"/>
      <c r="HH13" s="27"/>
      <c r="HI13" s="27"/>
      <c r="HJ13" s="27"/>
      <c r="HK13" s="27"/>
      <c r="HL13" s="27"/>
      <c r="HM13" s="27"/>
      <c r="HN13" s="27"/>
      <c r="HO13" s="27"/>
      <c r="HP13" s="27"/>
      <c r="HQ13" s="27"/>
      <c r="HR13" s="27"/>
      <c r="HS13" s="27"/>
      <c r="HT13" s="27"/>
      <c r="HU13" s="27"/>
      <c r="HV13" s="27"/>
      <c r="HW13" s="27"/>
      <c r="HX13" s="27"/>
      <c r="HY13" s="27"/>
      <c r="HZ13" s="27"/>
      <c r="IA13" s="27"/>
      <c r="IB13" s="27"/>
      <c r="IC13" s="27"/>
      <c r="ID13" s="27"/>
      <c r="IE13" s="27"/>
      <c r="IF13" s="27"/>
      <c r="IG13" s="27"/>
      <c r="IH13" s="27"/>
      <c r="II13" s="27"/>
      <c r="IJ13" s="27"/>
      <c r="IK13" s="27"/>
      <c r="IL13" s="27"/>
      <c r="IM13" s="27"/>
      <c r="IN13" s="27"/>
      <c r="IO13" s="27"/>
      <c r="IP13" s="27"/>
      <c r="IQ13" s="27"/>
      <c r="IR13" s="27"/>
      <c r="IS13" s="27"/>
      <c r="IT13" s="27"/>
      <c r="IU13" s="27"/>
      <c r="IV13" s="27"/>
      <c r="IW13" s="27"/>
      <c r="IX13" s="27"/>
      <c r="IY13" s="27"/>
      <c r="IZ13" s="27"/>
      <c r="JA13" s="27"/>
    </row>
    <row r="14" spans="2:261" x14ac:dyDescent="0.25">
      <c r="B14" s="106" t="s">
        <v>1488</v>
      </c>
      <c r="C14" s="858" t="s">
        <v>7</v>
      </c>
      <c r="D14" s="107" t="str">
        <f>CARAT_!$F$52</f>
        <v>SIMA PERU S.A.</v>
      </c>
      <c r="E14" s="107"/>
      <c r="F14" s="37"/>
      <c r="G14" s="37"/>
      <c r="H14" s="37"/>
      <c r="I14" s="37"/>
      <c r="J14" s="37"/>
      <c r="K14" s="37"/>
      <c r="L14" s="110"/>
      <c r="M14" s="110"/>
      <c r="N14" s="110"/>
      <c r="O14" s="27"/>
      <c r="P14" s="27"/>
      <c r="Q14" s="27"/>
      <c r="R14" s="27"/>
      <c r="S14" s="27"/>
      <c r="T14" s="27"/>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27"/>
      <c r="AS14" s="27"/>
      <c r="AT14" s="27"/>
      <c r="AU14" s="27"/>
      <c r="AV14" s="27"/>
      <c r="AW14" s="27"/>
      <c r="AX14" s="27"/>
      <c r="AY14" s="27"/>
      <c r="AZ14" s="27"/>
      <c r="BA14" s="27"/>
      <c r="BB14" s="27"/>
      <c r="BC14" s="27"/>
      <c r="BD14" s="27"/>
      <c r="BE14" s="27"/>
      <c r="BF14" s="27"/>
      <c r="BG14" s="27"/>
      <c r="BH14" s="27"/>
      <c r="BI14" s="27"/>
      <c r="BJ14" s="27"/>
      <c r="BK14" s="27"/>
      <c r="BL14" s="27"/>
      <c r="BM14" s="27"/>
      <c r="BN14" s="27"/>
      <c r="BO14" s="27"/>
      <c r="BP14" s="27"/>
      <c r="BQ14" s="27"/>
      <c r="BR14" s="27"/>
      <c r="BS14" s="27"/>
      <c r="BT14" s="27"/>
      <c r="BU14" s="27"/>
      <c r="BV14" s="27"/>
      <c r="BW14" s="27"/>
      <c r="BX14" s="27"/>
      <c r="BY14" s="27"/>
      <c r="BZ14" s="27"/>
      <c r="CA14" s="27"/>
      <c r="CB14" s="27"/>
      <c r="CC14" s="27"/>
      <c r="CD14" s="27"/>
      <c r="CE14" s="27"/>
      <c r="CF14" s="27"/>
      <c r="CG14" s="27"/>
      <c r="CH14" s="27"/>
      <c r="CI14" s="27"/>
      <c r="CJ14" s="27"/>
      <c r="CK14" s="27"/>
      <c r="CL14" s="27"/>
      <c r="CM14" s="27"/>
      <c r="CN14" s="27"/>
      <c r="CO14" s="27"/>
      <c r="CP14" s="27"/>
      <c r="CQ14" s="27"/>
      <c r="CR14" s="27"/>
      <c r="CS14" s="27"/>
      <c r="CT14" s="27"/>
      <c r="CU14" s="27"/>
      <c r="CV14" s="27"/>
      <c r="CW14" s="27"/>
      <c r="CX14" s="27"/>
      <c r="CY14" s="27"/>
      <c r="CZ14" s="27"/>
      <c r="DA14" s="27"/>
      <c r="DB14" s="27"/>
      <c r="DC14" s="27"/>
      <c r="DD14" s="27"/>
      <c r="DE14" s="27"/>
      <c r="DF14" s="27"/>
      <c r="DG14" s="27"/>
      <c r="DH14" s="27"/>
      <c r="DI14" s="27"/>
      <c r="DJ14" s="27"/>
      <c r="DK14" s="27"/>
      <c r="DL14" s="27"/>
      <c r="DM14" s="27"/>
      <c r="DN14" s="27"/>
      <c r="DO14" s="27"/>
      <c r="DP14" s="27"/>
      <c r="DQ14" s="27"/>
      <c r="DR14" s="27"/>
      <c r="DS14" s="27"/>
      <c r="DT14" s="27"/>
      <c r="DU14" s="27"/>
      <c r="DV14" s="27"/>
      <c r="DW14" s="27"/>
      <c r="DX14" s="27"/>
      <c r="DY14" s="27"/>
      <c r="DZ14" s="27"/>
      <c r="EA14" s="27"/>
      <c r="EB14" s="27"/>
      <c r="EC14" s="27"/>
      <c r="ED14" s="27"/>
      <c r="EE14" s="27"/>
      <c r="EF14" s="27"/>
      <c r="EG14" s="27"/>
      <c r="EH14" s="27"/>
      <c r="EI14" s="27"/>
      <c r="EJ14" s="27"/>
      <c r="EK14" s="27"/>
      <c r="EL14" s="27"/>
      <c r="EM14" s="27"/>
      <c r="EN14" s="27"/>
      <c r="EO14" s="27"/>
      <c r="EP14" s="27"/>
      <c r="EQ14" s="27"/>
      <c r="ER14" s="27"/>
      <c r="ES14" s="27"/>
      <c r="ET14" s="27"/>
      <c r="EU14" s="27"/>
      <c r="EV14" s="27"/>
      <c r="EW14" s="27"/>
      <c r="EX14" s="27"/>
      <c r="EY14" s="27"/>
      <c r="EZ14" s="27"/>
      <c r="FA14" s="27"/>
      <c r="FB14" s="27"/>
      <c r="FC14" s="27"/>
      <c r="FD14" s="27"/>
      <c r="FE14" s="27"/>
      <c r="FF14" s="27"/>
      <c r="FG14" s="27"/>
      <c r="FH14" s="27"/>
      <c r="FI14" s="27"/>
      <c r="FJ14" s="27"/>
      <c r="FK14" s="27"/>
      <c r="FL14" s="27"/>
      <c r="FM14" s="27"/>
      <c r="FN14" s="27"/>
      <c r="FO14" s="27"/>
      <c r="FP14" s="27"/>
      <c r="FQ14" s="27"/>
      <c r="FR14" s="27"/>
      <c r="FS14" s="27"/>
      <c r="FT14" s="27"/>
      <c r="FU14" s="27"/>
      <c r="FV14" s="27"/>
      <c r="FW14" s="27"/>
      <c r="FX14" s="27"/>
      <c r="FY14" s="27"/>
      <c r="FZ14" s="27"/>
      <c r="GA14" s="27"/>
      <c r="GB14" s="27"/>
      <c r="GC14" s="27"/>
      <c r="GD14" s="27"/>
      <c r="GE14" s="27"/>
      <c r="GF14" s="27"/>
      <c r="GG14" s="27"/>
      <c r="GH14" s="27"/>
      <c r="GI14" s="27"/>
      <c r="GJ14" s="27"/>
      <c r="GK14" s="27"/>
      <c r="GL14" s="27"/>
      <c r="GM14" s="27"/>
      <c r="GN14" s="27"/>
      <c r="GO14" s="27"/>
      <c r="GP14" s="27"/>
      <c r="GQ14" s="27"/>
      <c r="GR14" s="27"/>
      <c r="GS14" s="27"/>
      <c r="GT14" s="27"/>
      <c r="GU14" s="27"/>
      <c r="GV14" s="27"/>
      <c r="GW14" s="27"/>
      <c r="GX14" s="27"/>
      <c r="GY14" s="27"/>
      <c r="GZ14" s="27"/>
      <c r="HA14" s="27"/>
      <c r="HB14" s="27"/>
      <c r="HC14" s="27"/>
      <c r="HD14" s="27"/>
      <c r="HE14" s="27"/>
      <c r="HF14" s="27"/>
      <c r="HG14" s="27"/>
      <c r="HH14" s="27"/>
      <c r="HI14" s="27"/>
      <c r="HJ14" s="27"/>
      <c r="HK14" s="27"/>
      <c r="HL14" s="27"/>
      <c r="HM14" s="27"/>
      <c r="HN14" s="27"/>
      <c r="HO14" s="27"/>
      <c r="HP14" s="27"/>
      <c r="HQ14" s="27"/>
      <c r="HR14" s="27"/>
      <c r="HS14" s="27"/>
      <c r="HT14" s="27"/>
      <c r="HU14" s="27"/>
      <c r="HV14" s="27"/>
      <c r="HW14" s="27"/>
      <c r="HX14" s="27"/>
      <c r="HY14" s="27"/>
      <c r="HZ14" s="27"/>
      <c r="IA14" s="27"/>
      <c r="IB14" s="27"/>
      <c r="IC14" s="27"/>
      <c r="ID14" s="27"/>
      <c r="IE14" s="27"/>
      <c r="IF14" s="27"/>
      <c r="IG14" s="27"/>
      <c r="IH14" s="27"/>
      <c r="II14" s="27"/>
      <c r="IJ14" s="27"/>
      <c r="IK14" s="27"/>
      <c r="IL14" s="27"/>
      <c r="IM14" s="27"/>
      <c r="IN14" s="27"/>
      <c r="IO14" s="27"/>
      <c r="IP14" s="27"/>
      <c r="IQ14" s="27"/>
      <c r="IR14" s="27"/>
      <c r="IS14" s="27"/>
      <c r="IT14" s="27"/>
      <c r="IU14" s="27"/>
      <c r="IV14" s="27"/>
      <c r="IW14" s="27"/>
      <c r="IX14" s="27"/>
      <c r="IY14" s="27"/>
      <c r="IZ14" s="27"/>
      <c r="JA14" s="27"/>
    </row>
    <row r="15" spans="2:261" x14ac:dyDescent="0.25">
      <c r="B15" s="106" t="s">
        <v>25</v>
      </c>
      <c r="C15" s="858" t="s">
        <v>7</v>
      </c>
      <c r="D15" s="107" t="s">
        <v>1461</v>
      </c>
      <c r="E15" s="107"/>
      <c r="F15" s="37"/>
      <c r="G15" s="37"/>
      <c r="H15" s="37"/>
      <c r="I15" s="37"/>
      <c r="J15" s="37"/>
      <c r="K15" s="37"/>
      <c r="L15" s="110"/>
      <c r="M15" s="110"/>
      <c r="N15" s="110"/>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c r="AZ15" s="27"/>
      <c r="BA15" s="27"/>
      <c r="BB15" s="27"/>
      <c r="BC15" s="27"/>
      <c r="BD15" s="27"/>
      <c r="BE15" s="27"/>
      <c r="BF15" s="27"/>
      <c r="BG15" s="27"/>
      <c r="BH15" s="27"/>
      <c r="BI15" s="27"/>
      <c r="BJ15" s="27"/>
      <c r="BK15" s="27"/>
      <c r="BL15" s="27"/>
      <c r="BM15" s="27"/>
      <c r="BN15" s="27"/>
      <c r="BO15" s="27"/>
      <c r="BP15" s="27"/>
      <c r="BQ15" s="27"/>
      <c r="BR15" s="27"/>
      <c r="BS15" s="27"/>
      <c r="BT15" s="27"/>
      <c r="BU15" s="27"/>
      <c r="BV15" s="27"/>
      <c r="BW15" s="27"/>
      <c r="BX15" s="27"/>
      <c r="BY15" s="27"/>
      <c r="BZ15" s="27"/>
      <c r="CA15" s="27"/>
      <c r="CB15" s="27"/>
      <c r="CC15" s="27"/>
      <c r="CD15" s="27"/>
      <c r="CE15" s="27"/>
      <c r="CF15" s="27"/>
      <c r="CG15" s="27"/>
      <c r="CH15" s="27"/>
      <c r="CI15" s="27"/>
      <c r="CJ15" s="27"/>
      <c r="CK15" s="27"/>
      <c r="CL15" s="27"/>
      <c r="CM15" s="27"/>
      <c r="CN15" s="27"/>
      <c r="CO15" s="27"/>
      <c r="CP15" s="27"/>
      <c r="CQ15" s="27"/>
      <c r="CR15" s="27"/>
      <c r="CS15" s="27"/>
      <c r="CT15" s="27"/>
      <c r="CU15" s="27"/>
      <c r="CV15" s="27"/>
      <c r="CW15" s="27"/>
      <c r="CX15" s="27"/>
      <c r="CY15" s="27"/>
      <c r="CZ15" s="27"/>
      <c r="DA15" s="27"/>
      <c r="DB15" s="27"/>
      <c r="DC15" s="27"/>
      <c r="DD15" s="27"/>
      <c r="DE15" s="27"/>
      <c r="DF15" s="27"/>
      <c r="DG15" s="27"/>
      <c r="DH15" s="27"/>
      <c r="DI15" s="27"/>
      <c r="DJ15" s="27"/>
      <c r="DK15" s="27"/>
      <c r="DL15" s="27"/>
      <c r="DM15" s="27"/>
      <c r="DN15" s="27"/>
      <c r="DO15" s="27"/>
      <c r="DP15" s="27"/>
      <c r="DQ15" s="27"/>
      <c r="DR15" s="27"/>
      <c r="DS15" s="27"/>
      <c r="DT15" s="27"/>
      <c r="DU15" s="27"/>
      <c r="DV15" s="27"/>
      <c r="DW15" s="27"/>
      <c r="DX15" s="27"/>
      <c r="DY15" s="27"/>
      <c r="DZ15" s="27"/>
      <c r="EA15" s="27"/>
      <c r="EB15" s="27"/>
      <c r="EC15" s="27"/>
      <c r="ED15" s="27"/>
      <c r="EE15" s="27"/>
      <c r="EF15" s="27"/>
      <c r="EG15" s="27"/>
      <c r="EH15" s="27"/>
      <c r="EI15" s="27"/>
      <c r="EJ15" s="27"/>
      <c r="EK15" s="27"/>
      <c r="EL15" s="27"/>
      <c r="EM15" s="27"/>
      <c r="EN15" s="27"/>
      <c r="EO15" s="27"/>
      <c r="EP15" s="27"/>
      <c r="EQ15" s="27"/>
      <c r="ER15" s="27"/>
      <c r="ES15" s="27"/>
      <c r="ET15" s="27"/>
      <c r="EU15" s="27"/>
      <c r="EV15" s="27"/>
      <c r="EW15" s="27"/>
      <c r="EX15" s="27"/>
      <c r="EY15" s="27"/>
      <c r="EZ15" s="27"/>
      <c r="FA15" s="27"/>
      <c r="FB15" s="27"/>
      <c r="FC15" s="27"/>
      <c r="FD15" s="27"/>
      <c r="FE15" s="27"/>
      <c r="FF15" s="27"/>
      <c r="FG15" s="27"/>
      <c r="FH15" s="27"/>
      <c r="FI15" s="27"/>
      <c r="FJ15" s="27"/>
      <c r="FK15" s="27"/>
      <c r="FL15" s="27"/>
      <c r="FM15" s="27"/>
      <c r="FN15" s="27"/>
      <c r="FO15" s="27"/>
      <c r="FP15" s="27"/>
      <c r="FQ15" s="27"/>
      <c r="FR15" s="27"/>
      <c r="FS15" s="27"/>
      <c r="FT15" s="27"/>
      <c r="FU15" s="27"/>
      <c r="FV15" s="27"/>
      <c r="FW15" s="27"/>
      <c r="FX15" s="27"/>
      <c r="FY15" s="27"/>
      <c r="FZ15" s="27"/>
      <c r="GA15" s="27"/>
      <c r="GB15" s="27"/>
      <c r="GC15" s="27"/>
      <c r="GD15" s="27"/>
      <c r="GE15" s="27"/>
      <c r="GF15" s="27"/>
      <c r="GG15" s="27"/>
      <c r="GH15" s="27"/>
      <c r="GI15" s="27"/>
      <c r="GJ15" s="27"/>
      <c r="GK15" s="27"/>
      <c r="GL15" s="27"/>
      <c r="GM15" s="27"/>
      <c r="GN15" s="27"/>
      <c r="GO15" s="27"/>
      <c r="GP15" s="27"/>
      <c r="GQ15" s="27"/>
      <c r="GR15" s="27"/>
      <c r="GS15" s="27"/>
      <c r="GT15" s="27"/>
      <c r="GU15" s="27"/>
      <c r="GV15" s="27"/>
      <c r="GW15" s="27"/>
      <c r="GX15" s="27"/>
      <c r="GY15" s="27"/>
      <c r="GZ15" s="27"/>
      <c r="HA15" s="27"/>
      <c r="HB15" s="27"/>
      <c r="HC15" s="27"/>
      <c r="HD15" s="27"/>
      <c r="HE15" s="27"/>
      <c r="HF15" s="27"/>
      <c r="HG15" s="27"/>
      <c r="HH15" s="27"/>
      <c r="HI15" s="27"/>
      <c r="HJ15" s="27"/>
      <c r="HK15" s="27"/>
      <c r="HL15" s="27"/>
      <c r="HM15" s="27"/>
      <c r="HN15" s="27"/>
      <c r="HO15" s="27"/>
      <c r="HP15" s="27"/>
      <c r="HQ15" s="27"/>
      <c r="HR15" s="27"/>
      <c r="HS15" s="27"/>
      <c r="HT15" s="27"/>
      <c r="HU15" s="27"/>
      <c r="HV15" s="27"/>
      <c r="HW15" s="27"/>
      <c r="HX15" s="27"/>
      <c r="HY15" s="27"/>
      <c r="HZ15" s="27"/>
      <c r="IA15" s="27"/>
      <c r="IB15" s="27"/>
      <c r="IC15" s="27"/>
      <c r="ID15" s="27"/>
      <c r="IE15" s="27"/>
      <c r="IF15" s="27"/>
      <c r="IG15" s="27"/>
      <c r="IH15" s="27"/>
      <c r="II15" s="27"/>
      <c r="IJ15" s="27"/>
      <c r="IK15" s="27"/>
      <c r="IL15" s="27"/>
      <c r="IM15" s="27"/>
      <c r="IN15" s="27"/>
      <c r="IO15" s="27"/>
      <c r="IP15" s="27"/>
      <c r="IQ15" s="27"/>
      <c r="IR15" s="27"/>
      <c r="IS15" s="27"/>
      <c r="IT15" s="27"/>
      <c r="IU15" s="27"/>
      <c r="IV15" s="27"/>
      <c r="IW15" s="27"/>
      <c r="IX15" s="27"/>
      <c r="IY15" s="27"/>
      <c r="IZ15" s="27"/>
      <c r="JA15" s="27"/>
    </row>
    <row r="16" spans="2:261" x14ac:dyDescent="0.25">
      <c r="B16" s="106" t="s">
        <v>3</v>
      </c>
      <c r="C16" s="858" t="s">
        <v>7</v>
      </c>
      <c r="D16" s="107" t="str">
        <f>CARAT_!$F$54</f>
        <v>MES DE DICIEMBRE DE 2022</v>
      </c>
      <c r="E16" s="107"/>
      <c r="F16" s="37"/>
      <c r="G16" s="37"/>
      <c r="H16" s="37"/>
      <c r="I16" s="37"/>
      <c r="J16" s="37"/>
      <c r="K16" s="37"/>
      <c r="L16" s="110"/>
      <c r="M16" s="110"/>
      <c r="N16" s="110"/>
      <c r="O16" s="27"/>
      <c r="P16" s="27"/>
      <c r="Q16" s="27"/>
      <c r="R16" s="27"/>
      <c r="S16" s="27"/>
      <c r="T16" s="27"/>
      <c r="U16" s="27"/>
      <c r="V16" s="27"/>
      <c r="W16" s="27"/>
      <c r="X16" s="27"/>
      <c r="Y16" s="27"/>
      <c r="Z16" s="27"/>
      <c r="AA16" s="27"/>
      <c r="AB16" s="27"/>
      <c r="AC16" s="27"/>
      <c r="AD16" s="27"/>
      <c r="AE16" s="27"/>
      <c r="AF16" s="27"/>
      <c r="AG16" s="27"/>
      <c r="AH16" s="27"/>
      <c r="AI16" s="27"/>
      <c r="AJ16" s="27"/>
      <c r="AK16" s="27"/>
      <c r="AL16" s="27"/>
      <c r="AM16" s="27"/>
      <c r="AN16" s="27"/>
      <c r="AO16" s="27"/>
      <c r="AP16" s="27"/>
      <c r="AQ16" s="27"/>
      <c r="AR16" s="27"/>
      <c r="AS16" s="27"/>
      <c r="AT16" s="27"/>
      <c r="AU16" s="27"/>
      <c r="AV16" s="27"/>
      <c r="AW16" s="27"/>
      <c r="AX16" s="27"/>
      <c r="AY16" s="27"/>
      <c r="AZ16" s="27"/>
      <c r="BA16" s="27"/>
      <c r="BB16" s="27"/>
      <c r="BC16" s="27"/>
      <c r="BD16" s="27"/>
      <c r="BE16" s="27"/>
      <c r="BF16" s="27"/>
      <c r="BG16" s="27"/>
      <c r="BH16" s="27"/>
      <c r="BI16" s="27"/>
      <c r="BJ16" s="27"/>
      <c r="BK16" s="27"/>
      <c r="BL16" s="27"/>
      <c r="BM16" s="27"/>
      <c r="BN16" s="27"/>
      <c r="BO16" s="27"/>
      <c r="BP16" s="27"/>
      <c r="BQ16" s="27"/>
      <c r="BR16" s="27"/>
      <c r="BS16" s="27"/>
      <c r="BT16" s="27"/>
      <c r="BU16" s="27"/>
      <c r="BV16" s="27"/>
      <c r="BW16" s="27"/>
      <c r="BX16" s="27"/>
      <c r="BY16" s="27"/>
      <c r="BZ16" s="27"/>
      <c r="CA16" s="27"/>
      <c r="CB16" s="27"/>
      <c r="CC16" s="27"/>
      <c r="CD16" s="27"/>
      <c r="CE16" s="27"/>
      <c r="CF16" s="27"/>
      <c r="CG16" s="27"/>
      <c r="CH16" s="27"/>
      <c r="CI16" s="27"/>
      <c r="CJ16" s="27"/>
      <c r="CK16" s="27"/>
      <c r="CL16" s="27"/>
      <c r="CM16" s="27"/>
      <c r="CN16" s="27"/>
      <c r="CO16" s="27"/>
      <c r="CP16" s="27"/>
      <c r="CQ16" s="27"/>
      <c r="CR16" s="27"/>
      <c r="CS16" s="27"/>
      <c r="CT16" s="27"/>
      <c r="CU16" s="27"/>
      <c r="CV16" s="27"/>
      <c r="CW16" s="27"/>
      <c r="CX16" s="27"/>
      <c r="CY16" s="27"/>
      <c r="CZ16" s="27"/>
      <c r="DA16" s="27"/>
      <c r="DB16" s="27"/>
      <c r="DC16" s="27"/>
      <c r="DD16" s="27"/>
      <c r="DE16" s="27"/>
      <c r="DF16" s="27"/>
      <c r="DG16" s="27"/>
      <c r="DH16" s="27"/>
      <c r="DI16" s="27"/>
      <c r="DJ16" s="27"/>
      <c r="DK16" s="27"/>
      <c r="DL16" s="27"/>
      <c r="DM16" s="27"/>
      <c r="DN16" s="27"/>
      <c r="DO16" s="27"/>
      <c r="DP16" s="27"/>
      <c r="DQ16" s="27"/>
      <c r="DR16" s="27"/>
      <c r="DS16" s="27"/>
      <c r="DT16" s="27"/>
      <c r="DU16" s="27"/>
      <c r="DV16" s="27"/>
      <c r="DW16" s="27"/>
      <c r="DX16" s="27"/>
      <c r="DY16" s="27"/>
      <c r="DZ16" s="27"/>
      <c r="EA16" s="27"/>
      <c r="EB16" s="27"/>
      <c r="EC16" s="27"/>
      <c r="ED16" s="27"/>
      <c r="EE16" s="27"/>
      <c r="EF16" s="27"/>
      <c r="EG16" s="27"/>
      <c r="EH16" s="27"/>
      <c r="EI16" s="27"/>
      <c r="EJ16" s="27"/>
      <c r="EK16" s="27"/>
      <c r="EL16" s="27"/>
      <c r="EM16" s="27"/>
      <c r="EN16" s="27"/>
      <c r="EO16" s="27"/>
      <c r="EP16" s="27"/>
      <c r="EQ16" s="27"/>
      <c r="ER16" s="27"/>
      <c r="ES16" s="27"/>
      <c r="ET16" s="27"/>
      <c r="EU16" s="27"/>
      <c r="EV16" s="27"/>
      <c r="EW16" s="27"/>
      <c r="EX16" s="27"/>
      <c r="EY16" s="27"/>
      <c r="EZ16" s="27"/>
      <c r="FA16" s="27"/>
      <c r="FB16" s="27"/>
      <c r="FC16" s="27"/>
      <c r="FD16" s="27"/>
      <c r="FE16" s="27"/>
      <c r="FF16" s="27"/>
      <c r="FG16" s="27"/>
      <c r="FH16" s="27"/>
      <c r="FI16" s="27"/>
      <c r="FJ16" s="27"/>
      <c r="FK16" s="27"/>
      <c r="FL16" s="27"/>
      <c r="FM16" s="27"/>
      <c r="FN16" s="27"/>
      <c r="FO16" s="27"/>
      <c r="FP16" s="27"/>
      <c r="FQ16" s="27"/>
      <c r="FR16" s="27"/>
      <c r="FS16" s="27"/>
      <c r="FT16" s="27"/>
      <c r="FU16" s="27"/>
      <c r="FV16" s="27"/>
      <c r="FW16" s="27"/>
      <c r="FX16" s="27"/>
      <c r="FY16" s="27"/>
      <c r="FZ16" s="27"/>
      <c r="GA16" s="27"/>
      <c r="GB16" s="27"/>
      <c r="GC16" s="27"/>
      <c r="GD16" s="27"/>
      <c r="GE16" s="27"/>
      <c r="GF16" s="27"/>
      <c r="GG16" s="27"/>
      <c r="GH16" s="27"/>
      <c r="GI16" s="27"/>
      <c r="GJ16" s="27"/>
      <c r="GK16" s="27"/>
      <c r="GL16" s="27"/>
      <c r="GM16" s="27"/>
      <c r="GN16" s="27"/>
      <c r="GO16" s="27"/>
      <c r="GP16" s="27"/>
      <c r="GQ16" s="27"/>
      <c r="GR16" s="27"/>
      <c r="GS16" s="27"/>
      <c r="GT16" s="27"/>
      <c r="GU16" s="27"/>
      <c r="GV16" s="27"/>
      <c r="GW16" s="27"/>
      <c r="GX16" s="27"/>
      <c r="GY16" s="27"/>
      <c r="GZ16" s="27"/>
      <c r="HA16" s="27"/>
      <c r="HB16" s="27"/>
      <c r="HC16" s="27"/>
      <c r="HD16" s="27"/>
      <c r="HE16" s="27"/>
      <c r="HF16" s="27"/>
      <c r="HG16" s="27"/>
      <c r="HH16" s="27"/>
      <c r="HI16" s="27"/>
      <c r="HJ16" s="27"/>
      <c r="HK16" s="27"/>
      <c r="HL16" s="27"/>
      <c r="HM16" s="27"/>
      <c r="HN16" s="27"/>
      <c r="HO16" s="27"/>
      <c r="HP16" s="27"/>
      <c r="HQ16" s="27"/>
      <c r="HR16" s="27"/>
      <c r="HS16" s="27"/>
      <c r="HT16" s="27"/>
      <c r="HU16" s="27"/>
      <c r="HV16" s="27"/>
      <c r="HW16" s="27"/>
      <c r="HX16" s="27"/>
      <c r="HY16" s="27"/>
      <c r="HZ16" s="27"/>
      <c r="IA16" s="27"/>
      <c r="IB16" s="27"/>
      <c r="IC16" s="27"/>
      <c r="ID16" s="27"/>
      <c r="IE16" s="27"/>
      <c r="IF16" s="27"/>
      <c r="IG16" s="27"/>
      <c r="IH16" s="27"/>
      <c r="II16" s="27"/>
      <c r="IJ16" s="27"/>
      <c r="IK16" s="27"/>
      <c r="IL16" s="27"/>
      <c r="IM16" s="27"/>
      <c r="IN16" s="27"/>
      <c r="IO16" s="27"/>
      <c r="IP16" s="27"/>
      <c r="IQ16" s="27"/>
      <c r="IR16" s="27"/>
      <c r="IS16" s="27"/>
      <c r="IT16" s="27"/>
      <c r="IU16" s="27"/>
      <c r="IV16" s="27"/>
      <c r="IW16" s="27"/>
      <c r="IX16" s="27"/>
      <c r="IY16" s="27"/>
      <c r="IZ16" s="27"/>
      <c r="JA16" s="27"/>
    </row>
    <row r="17" spans="1:261" x14ac:dyDescent="0.25">
      <c r="B17" s="111" t="s">
        <v>1404</v>
      </c>
      <c r="C17" s="858" t="s">
        <v>7</v>
      </c>
      <c r="D17" s="2127">
        <f>J25</f>
        <v>17878272.1008</v>
      </c>
      <c r="E17" s="2127"/>
      <c r="F17" s="37"/>
      <c r="G17" s="37"/>
      <c r="H17" s="37"/>
      <c r="I17" s="37"/>
      <c r="J17" s="37"/>
      <c r="K17" s="37"/>
      <c r="L17" s="110"/>
      <c r="M17" s="110"/>
      <c r="N17" s="110"/>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c r="AT17" s="27"/>
      <c r="AU17" s="27"/>
      <c r="AV17" s="27"/>
      <c r="AW17" s="27"/>
      <c r="AX17" s="27"/>
      <c r="AY17" s="27"/>
      <c r="AZ17" s="27"/>
      <c r="BA17" s="27"/>
      <c r="BB17" s="27"/>
      <c r="BC17" s="27"/>
      <c r="BD17" s="27"/>
      <c r="BE17" s="27"/>
      <c r="BF17" s="27"/>
      <c r="BG17" s="27"/>
      <c r="BH17" s="27"/>
      <c r="BI17" s="27"/>
      <c r="BJ17" s="27"/>
      <c r="BK17" s="27"/>
      <c r="BL17" s="27"/>
      <c r="BM17" s="27"/>
      <c r="BN17" s="27"/>
      <c r="BO17" s="27"/>
      <c r="BP17" s="27"/>
      <c r="BQ17" s="27"/>
      <c r="BR17" s="27"/>
      <c r="BS17" s="27"/>
      <c r="BT17" s="27"/>
      <c r="BU17" s="27"/>
      <c r="BV17" s="27"/>
      <c r="BW17" s="27"/>
      <c r="BX17" s="27"/>
      <c r="BY17" s="27"/>
      <c r="BZ17" s="27"/>
      <c r="CA17" s="27"/>
      <c r="CB17" s="27"/>
      <c r="CC17" s="27"/>
      <c r="CD17" s="27"/>
      <c r="CE17" s="27"/>
      <c r="CF17" s="27"/>
      <c r="CG17" s="27"/>
      <c r="CH17" s="27"/>
      <c r="CI17" s="27"/>
      <c r="CJ17" s="27"/>
      <c r="CK17" s="27"/>
      <c r="CL17" s="27"/>
      <c r="CM17" s="27"/>
      <c r="CN17" s="27"/>
      <c r="CO17" s="27"/>
      <c r="CP17" s="27"/>
      <c r="CQ17" s="27"/>
      <c r="CR17" s="27"/>
      <c r="CS17" s="27"/>
      <c r="CT17" s="27"/>
      <c r="CU17" s="27"/>
      <c r="CV17" s="27"/>
      <c r="CW17" s="27"/>
      <c r="CX17" s="27"/>
      <c r="CY17" s="27"/>
      <c r="CZ17" s="27"/>
      <c r="DA17" s="27"/>
      <c r="DB17" s="27"/>
      <c r="DC17" s="27"/>
      <c r="DD17" s="27"/>
      <c r="DE17" s="27"/>
      <c r="DF17" s="27"/>
      <c r="DG17" s="27"/>
      <c r="DH17" s="27"/>
      <c r="DI17" s="27"/>
      <c r="DJ17" s="27"/>
      <c r="DK17" s="27"/>
      <c r="DL17" s="27"/>
      <c r="DM17" s="27"/>
      <c r="DN17" s="27"/>
      <c r="DO17" s="27"/>
      <c r="DP17" s="27"/>
      <c r="DQ17" s="27"/>
      <c r="DR17" s="27"/>
      <c r="DS17" s="27"/>
      <c r="DT17" s="27"/>
      <c r="DU17" s="27"/>
      <c r="DV17" s="27"/>
      <c r="DW17" s="27"/>
      <c r="DX17" s="27"/>
      <c r="DY17" s="27"/>
      <c r="DZ17" s="27"/>
      <c r="EA17" s="27"/>
      <c r="EB17" s="27"/>
      <c r="EC17" s="27"/>
      <c r="ED17" s="27"/>
      <c r="EE17" s="27"/>
      <c r="EF17" s="27"/>
      <c r="EG17" s="27"/>
      <c r="EH17" s="27"/>
      <c r="EI17" s="27"/>
      <c r="EJ17" s="27"/>
      <c r="EK17" s="27"/>
      <c r="EL17" s="27"/>
      <c r="EM17" s="27"/>
      <c r="EN17" s="27"/>
      <c r="EO17" s="27"/>
      <c r="EP17" s="27"/>
      <c r="EQ17" s="27"/>
      <c r="ER17" s="27"/>
      <c r="ES17" s="27"/>
      <c r="ET17" s="27"/>
      <c r="EU17" s="27"/>
      <c r="EV17" s="27"/>
      <c r="EW17" s="27"/>
      <c r="EX17" s="27"/>
      <c r="EY17" s="27"/>
      <c r="EZ17" s="27"/>
      <c r="FA17" s="27"/>
      <c r="FB17" s="27"/>
      <c r="FC17" s="27"/>
      <c r="FD17" s="27"/>
      <c r="FE17" s="27"/>
      <c r="FF17" s="27"/>
      <c r="FG17" s="27"/>
      <c r="FH17" s="27"/>
      <c r="FI17" s="27"/>
      <c r="FJ17" s="27"/>
      <c r="FK17" s="27"/>
      <c r="FL17" s="27"/>
      <c r="FM17" s="27"/>
      <c r="FN17" s="27"/>
      <c r="FO17" s="27"/>
      <c r="FP17" s="27"/>
      <c r="FQ17" s="27"/>
      <c r="FR17" s="27"/>
      <c r="FS17" s="27"/>
      <c r="FT17" s="27"/>
      <c r="FU17" s="27"/>
      <c r="FV17" s="27"/>
      <c r="FW17" s="27"/>
      <c r="FX17" s="27"/>
      <c r="FY17" s="27"/>
      <c r="FZ17" s="27"/>
      <c r="GA17" s="27"/>
      <c r="GB17" s="27"/>
      <c r="GC17" s="27"/>
      <c r="GD17" s="27"/>
      <c r="GE17" s="27"/>
      <c r="GF17" s="27"/>
      <c r="GG17" s="27"/>
      <c r="GH17" s="27"/>
      <c r="GI17" s="27"/>
      <c r="GJ17" s="27"/>
      <c r="GK17" s="27"/>
      <c r="GL17" s="27"/>
      <c r="GM17" s="27"/>
      <c r="GN17" s="27"/>
      <c r="GO17" s="27"/>
      <c r="GP17" s="27"/>
      <c r="GQ17" s="27"/>
      <c r="GR17" s="27"/>
      <c r="GS17" s="27"/>
      <c r="GT17" s="27"/>
      <c r="GU17" s="27"/>
      <c r="GV17" s="27"/>
      <c r="GW17" s="27"/>
      <c r="GX17" s="27"/>
      <c r="GY17" s="27"/>
      <c r="GZ17" s="27"/>
      <c r="HA17" s="27"/>
      <c r="HB17" s="27"/>
      <c r="HC17" s="27"/>
      <c r="HD17" s="27"/>
      <c r="HE17" s="27"/>
      <c r="HF17" s="27"/>
      <c r="HG17" s="27"/>
      <c r="HH17" s="27"/>
      <c r="HI17" s="27"/>
      <c r="HJ17" s="27"/>
      <c r="HK17" s="27"/>
      <c r="HL17" s="27"/>
      <c r="HM17" s="27"/>
      <c r="HN17" s="27"/>
      <c r="HO17" s="27"/>
      <c r="HP17" s="27"/>
      <c r="HQ17" s="27"/>
      <c r="HR17" s="27"/>
      <c r="HS17" s="27"/>
      <c r="HT17" s="27"/>
      <c r="HU17" s="27"/>
      <c r="HV17" s="27"/>
      <c r="HW17" s="27"/>
      <c r="HX17" s="27"/>
      <c r="HY17" s="27"/>
      <c r="HZ17" s="27"/>
      <c r="IA17" s="27"/>
      <c r="IB17" s="27"/>
      <c r="IC17" s="27"/>
      <c r="ID17" s="27"/>
      <c r="IE17" s="27"/>
      <c r="IF17" s="27"/>
      <c r="IG17" s="27"/>
      <c r="IH17" s="27"/>
      <c r="II17" s="27"/>
      <c r="IJ17" s="27"/>
      <c r="IK17" s="27"/>
      <c r="IL17" s="27"/>
      <c r="IM17" s="27"/>
      <c r="IN17" s="27"/>
      <c r="IO17" s="27"/>
      <c r="IP17" s="27"/>
      <c r="IQ17" s="27"/>
      <c r="IR17" s="27"/>
      <c r="IS17" s="27"/>
      <c r="IT17" s="27"/>
      <c r="IU17" s="27"/>
      <c r="IV17" s="27"/>
      <c r="IW17" s="27"/>
      <c r="IX17" s="27"/>
      <c r="IY17" s="27"/>
      <c r="IZ17" s="27"/>
      <c r="JA17" s="27"/>
    </row>
    <row r="18" spans="1:261" x14ac:dyDescent="0.25">
      <c r="C18" s="75"/>
      <c r="D18" s="37"/>
      <c r="E18" s="37"/>
      <c r="F18" s="37"/>
      <c r="G18" s="37"/>
      <c r="H18" s="37"/>
      <c r="I18" s="37"/>
      <c r="J18" s="37"/>
      <c r="K18" s="37"/>
      <c r="L18" s="110"/>
      <c r="M18" s="110"/>
      <c r="N18" s="110"/>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c r="AT18" s="27"/>
      <c r="AU18" s="27"/>
      <c r="AV18" s="27"/>
      <c r="AW18" s="27"/>
      <c r="AX18" s="27"/>
      <c r="AY18" s="27"/>
      <c r="AZ18" s="27"/>
      <c r="BA18" s="27"/>
      <c r="BB18" s="27"/>
      <c r="BC18" s="27"/>
      <c r="BD18" s="27"/>
      <c r="BE18" s="27"/>
      <c r="BF18" s="27"/>
      <c r="BG18" s="27"/>
      <c r="BH18" s="27"/>
      <c r="BI18" s="27"/>
      <c r="BJ18" s="27"/>
      <c r="BK18" s="27"/>
      <c r="BL18" s="27"/>
      <c r="BM18" s="27"/>
      <c r="BN18" s="27"/>
      <c r="BO18" s="27"/>
      <c r="BP18" s="27"/>
      <c r="BQ18" s="27"/>
      <c r="BR18" s="27"/>
      <c r="BS18" s="27"/>
      <c r="BT18" s="27"/>
      <c r="BU18" s="27"/>
      <c r="BV18" s="27"/>
      <c r="BW18" s="27"/>
      <c r="BX18" s="27"/>
      <c r="BY18" s="27"/>
      <c r="BZ18" s="27"/>
      <c r="CA18" s="27"/>
      <c r="CB18" s="27"/>
      <c r="CC18" s="27"/>
      <c r="CD18" s="27"/>
      <c r="CE18" s="27"/>
      <c r="CF18" s="27"/>
      <c r="CG18" s="27"/>
      <c r="CH18" s="27"/>
      <c r="CI18" s="27"/>
      <c r="CJ18" s="27"/>
      <c r="CK18" s="27"/>
      <c r="CL18" s="27"/>
      <c r="CM18" s="27"/>
      <c r="CN18" s="27"/>
      <c r="CO18" s="27"/>
      <c r="CP18" s="27"/>
      <c r="CQ18" s="27"/>
      <c r="CR18" s="27"/>
      <c r="CS18" s="27"/>
      <c r="CT18" s="27"/>
      <c r="CU18" s="27"/>
      <c r="CV18" s="27"/>
      <c r="CW18" s="27"/>
      <c r="CX18" s="27"/>
      <c r="CY18" s="27"/>
      <c r="CZ18" s="27"/>
      <c r="DA18" s="27"/>
      <c r="DB18" s="27"/>
      <c r="DC18" s="27"/>
      <c r="DD18" s="27"/>
      <c r="DE18" s="27"/>
      <c r="DF18" s="27"/>
      <c r="DG18" s="27"/>
      <c r="DH18" s="27"/>
      <c r="DI18" s="27"/>
      <c r="DJ18" s="27"/>
      <c r="DK18" s="27"/>
      <c r="DL18" s="27"/>
      <c r="DM18" s="27"/>
      <c r="DN18" s="27"/>
      <c r="DO18" s="27"/>
      <c r="DP18" s="27"/>
      <c r="DQ18" s="27"/>
      <c r="DR18" s="27"/>
      <c r="DS18" s="27"/>
      <c r="DT18" s="27"/>
      <c r="DU18" s="27"/>
      <c r="DV18" s="27"/>
      <c r="DW18" s="27"/>
      <c r="DX18" s="27"/>
      <c r="DY18" s="27"/>
      <c r="DZ18" s="27"/>
      <c r="EA18" s="27"/>
      <c r="EB18" s="27"/>
      <c r="EC18" s="27"/>
      <c r="ED18" s="27"/>
      <c r="EE18" s="27"/>
      <c r="EF18" s="27"/>
      <c r="EG18" s="27"/>
      <c r="EH18" s="27"/>
      <c r="EI18" s="27"/>
      <c r="EJ18" s="27"/>
      <c r="EK18" s="27"/>
      <c r="EL18" s="27"/>
      <c r="EM18" s="27"/>
      <c r="EN18" s="27"/>
      <c r="EO18" s="27"/>
      <c r="EP18" s="27"/>
      <c r="EQ18" s="27"/>
      <c r="ER18" s="27"/>
      <c r="ES18" s="27"/>
      <c r="ET18" s="27"/>
      <c r="EU18" s="27"/>
      <c r="EV18" s="27"/>
      <c r="EW18" s="27"/>
      <c r="EX18" s="27"/>
      <c r="EY18" s="27"/>
      <c r="EZ18" s="27"/>
      <c r="FA18" s="27"/>
      <c r="FB18" s="27"/>
      <c r="FC18" s="27"/>
      <c r="FD18" s="27"/>
      <c r="FE18" s="27"/>
      <c r="FF18" s="27"/>
      <c r="FG18" s="27"/>
      <c r="FH18" s="27"/>
      <c r="FI18" s="27"/>
      <c r="FJ18" s="27"/>
      <c r="FK18" s="27"/>
      <c r="FL18" s="27"/>
      <c r="FM18" s="27"/>
      <c r="FN18" s="27"/>
      <c r="FO18" s="27"/>
      <c r="FP18" s="27"/>
      <c r="FQ18" s="27"/>
      <c r="FR18" s="27"/>
      <c r="FS18" s="27"/>
      <c r="FT18" s="27"/>
      <c r="FU18" s="27"/>
      <c r="FV18" s="27"/>
      <c r="FW18" s="27"/>
      <c r="FX18" s="27"/>
      <c r="FY18" s="27"/>
      <c r="FZ18" s="27"/>
      <c r="GA18" s="27"/>
      <c r="GB18" s="27"/>
      <c r="GC18" s="27"/>
      <c r="GD18" s="27"/>
      <c r="GE18" s="27"/>
      <c r="GF18" s="27"/>
      <c r="GG18" s="27"/>
      <c r="GH18" s="27"/>
      <c r="GI18" s="27"/>
      <c r="GJ18" s="27"/>
      <c r="GK18" s="27"/>
      <c r="GL18" s="27"/>
      <c r="GM18" s="27"/>
      <c r="GN18" s="27"/>
      <c r="GO18" s="27"/>
      <c r="GP18" s="27"/>
      <c r="GQ18" s="27"/>
      <c r="GR18" s="27"/>
      <c r="GS18" s="27"/>
      <c r="GT18" s="27"/>
      <c r="GU18" s="27"/>
      <c r="GV18" s="27"/>
      <c r="GW18" s="27"/>
      <c r="GX18" s="27"/>
      <c r="GY18" s="27"/>
      <c r="GZ18" s="27"/>
      <c r="HA18" s="27"/>
      <c r="HB18" s="27"/>
      <c r="HC18" s="27"/>
      <c r="HD18" s="27"/>
      <c r="HE18" s="27"/>
      <c r="HF18" s="27"/>
      <c r="HG18" s="27"/>
      <c r="HH18" s="27"/>
      <c r="HI18" s="27"/>
      <c r="HJ18" s="27"/>
      <c r="HK18" s="27"/>
      <c r="HL18" s="27"/>
      <c r="HM18" s="27"/>
      <c r="HN18" s="27"/>
      <c r="HO18" s="27"/>
      <c r="HP18" s="27"/>
      <c r="HQ18" s="27"/>
      <c r="HR18" s="27"/>
      <c r="HS18" s="27"/>
      <c r="HT18" s="27"/>
      <c r="HU18" s="27"/>
      <c r="HV18" s="27"/>
      <c r="HW18" s="27"/>
      <c r="HX18" s="27"/>
      <c r="HY18" s="27"/>
      <c r="HZ18" s="27"/>
      <c r="IA18" s="27"/>
      <c r="IB18" s="27"/>
      <c r="IC18" s="27"/>
      <c r="ID18" s="27"/>
      <c r="IE18" s="27"/>
      <c r="IF18" s="27"/>
      <c r="IG18" s="27"/>
      <c r="IH18" s="27"/>
      <c r="II18" s="27"/>
      <c r="IJ18" s="27"/>
      <c r="IK18" s="27"/>
      <c r="IL18" s="27"/>
      <c r="IM18" s="27"/>
      <c r="IN18" s="27"/>
      <c r="IO18" s="27"/>
      <c r="IP18" s="27"/>
      <c r="IQ18" s="27"/>
      <c r="IR18" s="27"/>
      <c r="IS18" s="27"/>
      <c r="IT18" s="27"/>
      <c r="IU18" s="27"/>
      <c r="IV18" s="27"/>
      <c r="IW18" s="27"/>
      <c r="IX18" s="27"/>
      <c r="IY18" s="27"/>
      <c r="IZ18" s="27"/>
      <c r="JA18" s="27"/>
    </row>
    <row r="19" spans="1:261" x14ac:dyDescent="0.25">
      <c r="B19" s="853"/>
      <c r="C19" s="75"/>
      <c r="D19" s="37"/>
      <c r="E19" s="37"/>
      <c r="F19" s="37"/>
      <c r="G19" s="37"/>
      <c r="H19" s="37"/>
      <c r="I19" s="37"/>
      <c r="J19" s="37"/>
      <c r="K19" s="37"/>
      <c r="L19" s="110"/>
      <c r="M19" s="110"/>
      <c r="N19" s="110"/>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c r="AT19" s="27"/>
      <c r="AU19" s="27"/>
      <c r="AV19" s="27"/>
      <c r="AW19" s="27"/>
      <c r="AX19" s="27"/>
      <c r="AY19" s="27"/>
      <c r="AZ19" s="27"/>
      <c r="BA19" s="27"/>
      <c r="BB19" s="27"/>
      <c r="BC19" s="27"/>
      <c r="BD19" s="27"/>
      <c r="BE19" s="27"/>
      <c r="BF19" s="27"/>
      <c r="BG19" s="27"/>
      <c r="BH19" s="27"/>
      <c r="BI19" s="27"/>
      <c r="BJ19" s="27"/>
      <c r="BK19" s="27"/>
      <c r="BL19" s="27"/>
      <c r="BM19" s="27"/>
      <c r="BN19" s="27"/>
      <c r="BO19" s="27"/>
      <c r="BP19" s="27"/>
      <c r="BQ19" s="27"/>
      <c r="BR19" s="27"/>
      <c r="BS19" s="27"/>
      <c r="BT19" s="27"/>
      <c r="BU19" s="27"/>
      <c r="BV19" s="27"/>
      <c r="BW19" s="27"/>
      <c r="BX19" s="27"/>
      <c r="BY19" s="27"/>
      <c r="BZ19" s="27"/>
      <c r="CA19" s="27"/>
      <c r="CB19" s="27"/>
      <c r="CC19" s="27"/>
      <c r="CD19" s="27"/>
      <c r="CE19" s="27"/>
      <c r="CF19" s="27"/>
      <c r="CG19" s="27"/>
      <c r="CH19" s="27"/>
      <c r="CI19" s="27"/>
      <c r="CJ19" s="27"/>
      <c r="CK19" s="27"/>
      <c r="CL19" s="27"/>
      <c r="CM19" s="27"/>
      <c r="CN19" s="27"/>
      <c r="CO19" s="27"/>
      <c r="CP19" s="27"/>
      <c r="CQ19" s="27"/>
      <c r="CR19" s="27"/>
      <c r="CS19" s="27"/>
      <c r="CT19" s="27"/>
      <c r="CU19" s="27"/>
      <c r="CV19" s="27"/>
      <c r="CW19" s="27"/>
      <c r="CX19" s="27"/>
      <c r="CY19" s="27"/>
      <c r="CZ19" s="27"/>
      <c r="DA19" s="27"/>
      <c r="DB19" s="27"/>
      <c r="DC19" s="27"/>
      <c r="DD19" s="27"/>
      <c r="DE19" s="27"/>
      <c r="DF19" s="27"/>
      <c r="DG19" s="27"/>
      <c r="DH19" s="27"/>
      <c r="DI19" s="27"/>
      <c r="DJ19" s="27"/>
      <c r="DK19" s="27"/>
      <c r="DL19" s="27"/>
      <c r="DM19" s="27"/>
      <c r="DN19" s="27"/>
      <c r="DO19" s="27"/>
      <c r="DP19" s="27"/>
      <c r="DQ19" s="27"/>
      <c r="DR19" s="27"/>
      <c r="DS19" s="27"/>
      <c r="DT19" s="27"/>
      <c r="DU19" s="27"/>
      <c r="DV19" s="27"/>
      <c r="DW19" s="27"/>
      <c r="DX19" s="27"/>
      <c r="DY19" s="27"/>
      <c r="DZ19" s="27"/>
      <c r="EA19" s="27"/>
      <c r="EB19" s="27"/>
      <c r="EC19" s="27"/>
      <c r="ED19" s="27"/>
      <c r="EE19" s="27"/>
      <c r="EF19" s="27"/>
      <c r="EG19" s="27"/>
      <c r="EH19" s="27"/>
      <c r="EI19" s="27"/>
      <c r="EJ19" s="27"/>
      <c r="EK19" s="27"/>
      <c r="EL19" s="27"/>
      <c r="EM19" s="27"/>
      <c r="EN19" s="27"/>
      <c r="EO19" s="27"/>
      <c r="EP19" s="27"/>
      <c r="EQ19" s="27"/>
      <c r="ER19" s="27"/>
      <c r="ES19" s="27"/>
      <c r="ET19" s="27"/>
      <c r="EU19" s="27"/>
      <c r="EV19" s="27"/>
      <c r="EW19" s="27"/>
      <c r="EX19" s="27"/>
      <c r="EY19" s="27"/>
      <c r="EZ19" s="27"/>
      <c r="FA19" s="27"/>
      <c r="FB19" s="27"/>
      <c r="FC19" s="27"/>
      <c r="FD19" s="27"/>
      <c r="FE19" s="27"/>
      <c r="FF19" s="27"/>
      <c r="FG19" s="27"/>
      <c r="FH19" s="27"/>
      <c r="FI19" s="27"/>
      <c r="FJ19" s="27"/>
      <c r="FK19" s="27"/>
      <c r="FL19" s="27"/>
      <c r="FM19" s="27"/>
      <c r="FN19" s="27"/>
      <c r="FO19" s="27"/>
      <c r="FP19" s="27"/>
      <c r="FQ19" s="27"/>
      <c r="FR19" s="27"/>
      <c r="FS19" s="27"/>
      <c r="FT19" s="27"/>
      <c r="FU19" s="27"/>
      <c r="FV19" s="27"/>
      <c r="FW19" s="27"/>
      <c r="FX19" s="27"/>
      <c r="FY19" s="27"/>
      <c r="FZ19" s="27"/>
      <c r="GA19" s="27"/>
      <c r="GB19" s="27"/>
      <c r="GC19" s="27"/>
      <c r="GD19" s="27"/>
      <c r="GE19" s="27"/>
      <c r="GF19" s="27"/>
      <c r="GG19" s="27"/>
      <c r="GH19" s="27"/>
      <c r="GI19" s="27"/>
      <c r="GJ19" s="27"/>
      <c r="GK19" s="27"/>
      <c r="GL19" s="27"/>
      <c r="GM19" s="27"/>
      <c r="GN19" s="27"/>
      <c r="GO19" s="27"/>
      <c r="GP19" s="27"/>
      <c r="GQ19" s="27"/>
      <c r="GR19" s="27"/>
      <c r="GS19" s="27"/>
      <c r="GT19" s="27"/>
      <c r="GU19" s="27"/>
      <c r="GV19" s="27"/>
      <c r="GW19" s="27"/>
      <c r="GX19" s="27"/>
      <c r="GY19" s="27"/>
      <c r="GZ19" s="27"/>
      <c r="HA19" s="27"/>
      <c r="HB19" s="27"/>
      <c r="HC19" s="27"/>
      <c r="HD19" s="27"/>
      <c r="HE19" s="27"/>
      <c r="HF19" s="27"/>
      <c r="HG19" s="27"/>
      <c r="HH19" s="27"/>
      <c r="HI19" s="27"/>
      <c r="HJ19" s="27"/>
      <c r="HK19" s="27"/>
      <c r="HL19" s="27"/>
      <c r="HM19" s="27"/>
      <c r="HN19" s="27"/>
      <c r="HO19" s="27"/>
      <c r="HP19" s="27"/>
      <c r="HQ19" s="27"/>
      <c r="HR19" s="27"/>
      <c r="HS19" s="27"/>
      <c r="HT19" s="27"/>
      <c r="HU19" s="27"/>
      <c r="HV19" s="27"/>
      <c r="HW19" s="27"/>
      <c r="HX19" s="27"/>
      <c r="HY19" s="27"/>
      <c r="HZ19" s="27"/>
      <c r="IA19" s="27"/>
      <c r="IB19" s="27"/>
      <c r="IC19" s="27"/>
      <c r="ID19" s="27"/>
      <c r="IE19" s="27"/>
      <c r="IF19" s="27"/>
      <c r="IG19" s="27"/>
      <c r="IH19" s="27"/>
      <c r="II19" s="27"/>
      <c r="IJ19" s="27"/>
      <c r="IK19" s="27"/>
      <c r="IL19" s="27"/>
      <c r="IM19" s="27"/>
      <c r="IN19" s="27"/>
      <c r="IO19" s="27"/>
      <c r="IP19" s="27"/>
      <c r="IQ19" s="27"/>
      <c r="IR19" s="27"/>
      <c r="IS19" s="27"/>
      <c r="IT19" s="27"/>
      <c r="IU19" s="27"/>
      <c r="IV19" s="27"/>
      <c r="IW19" s="27"/>
      <c r="IX19" s="27"/>
      <c r="IY19" s="27"/>
      <c r="IZ19" s="27"/>
      <c r="JA19" s="27"/>
    </row>
    <row r="20" spans="1:261" x14ac:dyDescent="0.25">
      <c r="B20" s="857" t="s">
        <v>8</v>
      </c>
      <c r="C20" s="2133" t="s">
        <v>491</v>
      </c>
      <c r="D20" s="2134"/>
      <c r="E20" s="1110"/>
      <c r="F20" s="2128" t="s">
        <v>493</v>
      </c>
      <c r="G20" s="2129"/>
      <c r="H20" s="2128" t="s">
        <v>133</v>
      </c>
      <c r="I20" s="2129"/>
      <c r="J20" s="2144" t="s">
        <v>492</v>
      </c>
      <c r="K20" s="2144"/>
      <c r="L20" s="110"/>
      <c r="M20" s="110"/>
      <c r="N20" s="110"/>
      <c r="O20" s="27"/>
      <c r="P20" s="27"/>
      <c r="Q20" s="27"/>
      <c r="R20" s="27"/>
      <c r="S20" s="27"/>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c r="AZ20" s="27"/>
      <c r="BA20" s="27"/>
      <c r="BB20" s="27"/>
      <c r="BC20" s="27"/>
      <c r="BD20" s="27"/>
      <c r="BE20" s="27"/>
      <c r="BF20" s="27"/>
      <c r="BG20" s="27"/>
      <c r="BH20" s="27"/>
      <c r="BI20" s="27"/>
      <c r="BJ20" s="27"/>
      <c r="BK20" s="27"/>
      <c r="BL20" s="27"/>
      <c r="BM20" s="27"/>
      <c r="BN20" s="27"/>
      <c r="BO20" s="27"/>
      <c r="BP20" s="27"/>
      <c r="BQ20" s="27"/>
      <c r="BR20" s="27"/>
      <c r="BS20" s="27"/>
      <c r="BT20" s="27"/>
      <c r="BU20" s="27"/>
      <c r="BV20" s="27"/>
      <c r="BW20" s="27"/>
      <c r="BX20" s="27"/>
      <c r="BY20" s="27"/>
      <c r="BZ20" s="27"/>
      <c r="CA20" s="27"/>
      <c r="CB20" s="27"/>
      <c r="CC20" s="27"/>
      <c r="CD20" s="27"/>
      <c r="CE20" s="27"/>
      <c r="CF20" s="27"/>
      <c r="CG20" s="27"/>
      <c r="CH20" s="27"/>
      <c r="CI20" s="27"/>
      <c r="CJ20" s="27"/>
      <c r="CK20" s="27"/>
      <c r="CL20" s="27"/>
      <c r="CM20" s="27"/>
      <c r="CN20" s="27"/>
      <c r="CO20" s="27"/>
      <c r="CP20" s="27"/>
      <c r="CQ20" s="27"/>
      <c r="CR20" s="27"/>
      <c r="CS20" s="27"/>
      <c r="CT20" s="27"/>
      <c r="CU20" s="27"/>
      <c r="CV20" s="27"/>
      <c r="CW20" s="27"/>
      <c r="CX20" s="27"/>
      <c r="CY20" s="27"/>
      <c r="CZ20" s="27"/>
      <c r="DA20" s="27"/>
      <c r="DB20" s="27"/>
      <c r="DC20" s="27"/>
      <c r="DD20" s="27"/>
      <c r="DE20" s="27"/>
      <c r="DF20" s="27"/>
      <c r="DG20" s="27"/>
      <c r="DH20" s="27"/>
      <c r="DI20" s="27"/>
      <c r="DJ20" s="27"/>
      <c r="DK20" s="27"/>
      <c r="DL20" s="27"/>
      <c r="DM20" s="27"/>
      <c r="DN20" s="27"/>
      <c r="DO20" s="27"/>
      <c r="DP20" s="27"/>
      <c r="DQ20" s="27"/>
      <c r="DR20" s="27"/>
      <c r="DS20" s="27"/>
      <c r="DT20" s="27"/>
      <c r="DU20" s="27"/>
      <c r="DV20" s="27"/>
      <c r="DW20" s="27"/>
      <c r="DX20" s="27"/>
      <c r="DY20" s="27"/>
      <c r="DZ20" s="27"/>
      <c r="EA20" s="27"/>
      <c r="EB20" s="27"/>
      <c r="EC20" s="27"/>
      <c r="ED20" s="27"/>
      <c r="EE20" s="27"/>
      <c r="EF20" s="27"/>
      <c r="EG20" s="27"/>
      <c r="EH20" s="27"/>
      <c r="EI20" s="27"/>
      <c r="EJ20" s="27"/>
      <c r="EK20" s="27"/>
      <c r="EL20" s="27"/>
      <c r="EM20" s="27"/>
      <c r="EN20" s="27"/>
      <c r="EO20" s="27"/>
      <c r="EP20" s="27"/>
      <c r="EQ20" s="27"/>
      <c r="ER20" s="27"/>
      <c r="ES20" s="27"/>
      <c r="ET20" s="27"/>
      <c r="EU20" s="27"/>
      <c r="EV20" s="27"/>
      <c r="EW20" s="27"/>
      <c r="EX20" s="27"/>
      <c r="EY20" s="27"/>
      <c r="EZ20" s="27"/>
      <c r="FA20" s="27"/>
      <c r="FB20" s="27"/>
      <c r="FC20" s="27"/>
      <c r="FD20" s="27"/>
      <c r="FE20" s="27"/>
      <c r="FF20" s="27"/>
      <c r="FG20" s="27"/>
      <c r="FH20" s="27"/>
      <c r="FI20" s="27"/>
      <c r="FJ20" s="27"/>
      <c r="FK20" s="27"/>
      <c r="FL20" s="27"/>
      <c r="FM20" s="27"/>
      <c r="FN20" s="27"/>
      <c r="FO20" s="27"/>
      <c r="FP20" s="27"/>
      <c r="FQ20" s="27"/>
      <c r="FR20" s="27"/>
      <c r="FS20" s="27"/>
      <c r="FT20" s="27"/>
      <c r="FU20" s="27"/>
      <c r="FV20" s="27"/>
      <c r="FW20" s="27"/>
      <c r="FX20" s="27"/>
      <c r="FY20" s="27"/>
      <c r="FZ20" s="27"/>
      <c r="GA20" s="27"/>
      <c r="GB20" s="27"/>
      <c r="GC20" s="27"/>
      <c r="GD20" s="27"/>
      <c r="GE20" s="27"/>
      <c r="GF20" s="27"/>
      <c r="GG20" s="27"/>
      <c r="GH20" s="27"/>
      <c r="GI20" s="27"/>
      <c r="GJ20" s="27"/>
      <c r="GK20" s="27"/>
      <c r="GL20" s="27"/>
      <c r="GM20" s="27"/>
      <c r="GN20" s="27"/>
      <c r="GO20" s="27"/>
      <c r="GP20" s="27"/>
      <c r="GQ20" s="27"/>
      <c r="GR20" s="27"/>
      <c r="GS20" s="27"/>
      <c r="GT20" s="27"/>
      <c r="GU20" s="27"/>
      <c r="GV20" s="27"/>
      <c r="GW20" s="27"/>
      <c r="GX20" s="27"/>
      <c r="GY20" s="27"/>
      <c r="GZ20" s="27"/>
      <c r="HA20" s="27"/>
      <c r="HB20" s="27"/>
      <c r="HC20" s="27"/>
      <c r="HD20" s="27"/>
      <c r="HE20" s="27"/>
      <c r="HF20" s="27"/>
      <c r="HG20" s="27"/>
      <c r="HH20" s="27"/>
      <c r="HI20" s="27"/>
      <c r="HJ20" s="27"/>
      <c r="HK20" s="27"/>
      <c r="HL20" s="27"/>
      <c r="HM20" s="27"/>
      <c r="HN20" s="27"/>
      <c r="HO20" s="27"/>
      <c r="HP20" s="27"/>
      <c r="HQ20" s="27"/>
      <c r="HR20" s="27"/>
      <c r="HS20" s="27"/>
      <c r="HT20" s="27"/>
      <c r="HU20" s="27"/>
      <c r="HV20" s="27"/>
      <c r="HW20" s="27"/>
      <c r="HX20" s="27"/>
      <c r="HY20" s="27"/>
      <c r="HZ20" s="27"/>
      <c r="IA20" s="27"/>
      <c r="IB20" s="27"/>
      <c r="IC20" s="27"/>
      <c r="ID20" s="27"/>
      <c r="IE20" s="27"/>
      <c r="IF20" s="27"/>
      <c r="IG20" s="27"/>
      <c r="IH20" s="27"/>
      <c r="II20" s="27"/>
      <c r="IJ20" s="27"/>
      <c r="IK20" s="27"/>
      <c r="IL20" s="27"/>
      <c r="IM20" s="27"/>
      <c r="IN20" s="27"/>
      <c r="IO20" s="27"/>
      <c r="IP20" s="27"/>
      <c r="IQ20" s="27"/>
      <c r="IR20" s="27"/>
      <c r="IS20" s="27"/>
      <c r="IT20" s="27"/>
      <c r="IU20" s="27"/>
      <c r="IV20" s="27"/>
      <c r="IW20" s="27"/>
      <c r="IX20" s="27"/>
      <c r="IY20" s="27"/>
      <c r="IZ20" s="27"/>
      <c r="JA20" s="27"/>
    </row>
    <row r="21" spans="1:261" x14ac:dyDescent="0.25">
      <c r="B21" s="2138" t="s">
        <v>480</v>
      </c>
      <c r="C21" s="851" t="str">
        <f>CALEND_!B19</f>
        <v>PUENTE VEHICULAR CCANCHI</v>
      </c>
      <c r="D21" s="855"/>
      <c r="E21" s="855"/>
      <c r="F21" s="2130">
        <f>CALEND_!G19</f>
        <v>15151078.059999999</v>
      </c>
      <c r="G21" s="2131"/>
      <c r="H21" s="2142">
        <f>0.18*F21-0.01</f>
        <v>2727194.0408000001</v>
      </c>
      <c r="I21" s="2143"/>
      <c r="J21" s="2145">
        <f>SUM(F21:H21)</f>
        <v>17878272.1008</v>
      </c>
      <c r="K21" s="2145"/>
      <c r="L21" s="110"/>
      <c r="M21" s="110"/>
      <c r="N21" s="110"/>
      <c r="O21" s="27"/>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c r="AZ21" s="27"/>
      <c r="BA21" s="27"/>
      <c r="BB21" s="27"/>
      <c r="BC21" s="27"/>
      <c r="BD21" s="27"/>
      <c r="BE21" s="27"/>
      <c r="BF21" s="27"/>
      <c r="BG21" s="27"/>
      <c r="BH21" s="27"/>
      <c r="BI21" s="27"/>
      <c r="BJ21" s="27"/>
      <c r="BK21" s="27"/>
      <c r="BL21" s="27"/>
      <c r="BM21" s="27"/>
      <c r="BN21" s="27"/>
      <c r="BO21" s="27"/>
      <c r="BP21" s="27"/>
      <c r="BQ21" s="27"/>
      <c r="BR21" s="27"/>
      <c r="BS21" s="27"/>
      <c r="BT21" s="27"/>
      <c r="BU21" s="27"/>
      <c r="BV21" s="27"/>
      <c r="BW21" s="27"/>
      <c r="BX21" s="27"/>
      <c r="BY21" s="27"/>
      <c r="BZ21" s="27"/>
      <c r="CA21" s="27"/>
      <c r="CB21" s="27"/>
      <c r="CC21" s="27"/>
      <c r="CD21" s="27"/>
      <c r="CE21" s="27"/>
      <c r="CF21" s="27"/>
      <c r="CG21" s="27"/>
      <c r="CH21" s="27"/>
      <c r="CI21" s="27"/>
      <c r="CJ21" s="27"/>
      <c r="CK21" s="27"/>
      <c r="CL21" s="27"/>
      <c r="CM21" s="27"/>
      <c r="CN21" s="27"/>
      <c r="CO21" s="27"/>
      <c r="CP21" s="27"/>
      <c r="CQ21" s="27"/>
      <c r="CR21" s="27"/>
      <c r="CS21" s="27"/>
      <c r="CT21" s="27"/>
      <c r="CU21" s="27"/>
      <c r="CV21" s="27"/>
      <c r="CW21" s="27"/>
      <c r="CX21" s="27"/>
      <c r="CY21" s="27"/>
      <c r="CZ21" s="27"/>
      <c r="DA21" s="27"/>
      <c r="DB21" s="27"/>
      <c r="DC21" s="27"/>
      <c r="DD21" s="27"/>
      <c r="DE21" s="27"/>
      <c r="DF21" s="27"/>
      <c r="DG21" s="27"/>
      <c r="DH21" s="27"/>
      <c r="DI21" s="27"/>
      <c r="DJ21" s="27"/>
      <c r="DK21" s="27"/>
      <c r="DL21" s="27"/>
      <c r="DM21" s="27"/>
      <c r="DN21" s="27"/>
      <c r="DO21" s="27"/>
      <c r="DP21" s="27"/>
      <c r="DQ21" s="27"/>
      <c r="DR21" s="27"/>
      <c r="DS21" s="27"/>
      <c r="DT21" s="27"/>
      <c r="DU21" s="27"/>
      <c r="DV21" s="27"/>
      <c r="DW21" s="27"/>
      <c r="DX21" s="27"/>
      <c r="DY21" s="27"/>
      <c r="DZ21" s="27"/>
      <c r="EA21" s="27"/>
      <c r="EB21" s="27"/>
      <c r="EC21" s="27"/>
      <c r="ED21" s="27"/>
      <c r="EE21" s="27"/>
      <c r="EF21" s="27"/>
      <c r="EG21" s="27"/>
      <c r="EH21" s="27"/>
      <c r="EI21" s="27"/>
      <c r="EJ21" s="27"/>
      <c r="EK21" s="27"/>
      <c r="EL21" s="27"/>
      <c r="EM21" s="27"/>
      <c r="EN21" s="27"/>
      <c r="EO21" s="27"/>
      <c r="EP21" s="27"/>
      <c r="EQ21" s="27"/>
      <c r="ER21" s="27"/>
      <c r="ES21" s="27"/>
      <c r="ET21" s="27"/>
      <c r="EU21" s="27"/>
      <c r="EV21" s="27"/>
      <c r="EW21" s="27"/>
      <c r="EX21" s="27"/>
      <c r="EY21" s="27"/>
      <c r="EZ21" s="27"/>
      <c r="FA21" s="27"/>
      <c r="FB21" s="27"/>
      <c r="FC21" s="27"/>
      <c r="FD21" s="27"/>
      <c r="FE21" s="27"/>
      <c r="FF21" s="27"/>
      <c r="FG21" s="27"/>
      <c r="FH21" s="27"/>
      <c r="FI21" s="27"/>
      <c r="FJ21" s="27"/>
      <c r="FK21" s="27"/>
      <c r="FL21" s="27"/>
      <c r="FM21" s="27"/>
      <c r="FN21" s="27"/>
      <c r="FO21" s="27"/>
      <c r="FP21" s="27"/>
      <c r="FQ21" s="27"/>
      <c r="FR21" s="27"/>
      <c r="FS21" s="27"/>
      <c r="FT21" s="27"/>
      <c r="FU21" s="27"/>
      <c r="FV21" s="27"/>
      <c r="FW21" s="27"/>
      <c r="FX21" s="27"/>
      <c r="FY21" s="27"/>
      <c r="FZ21" s="27"/>
      <c r="GA21" s="27"/>
      <c r="GB21" s="27"/>
      <c r="GC21" s="27"/>
      <c r="GD21" s="27"/>
      <c r="GE21" s="27"/>
      <c r="GF21" s="27"/>
      <c r="GG21" s="27"/>
      <c r="GH21" s="27"/>
      <c r="GI21" s="27"/>
      <c r="GJ21" s="27"/>
      <c r="GK21" s="27"/>
      <c r="GL21" s="27"/>
      <c r="GM21" s="27"/>
      <c r="GN21" s="27"/>
      <c r="GO21" s="27"/>
      <c r="GP21" s="27"/>
      <c r="GQ21" s="27"/>
      <c r="GR21" s="27"/>
      <c r="GS21" s="27"/>
      <c r="GT21" s="27"/>
      <c r="GU21" s="27"/>
      <c r="GV21" s="27"/>
      <c r="GW21" s="27"/>
      <c r="GX21" s="27"/>
      <c r="GY21" s="27"/>
      <c r="GZ21" s="27"/>
      <c r="HA21" s="27"/>
      <c r="HB21" s="27"/>
      <c r="HC21" s="27"/>
      <c r="HD21" s="27"/>
      <c r="HE21" s="27"/>
      <c r="HF21" s="27"/>
      <c r="HG21" s="27"/>
      <c r="HH21" s="27"/>
      <c r="HI21" s="27"/>
      <c r="HJ21" s="27"/>
      <c r="HK21" s="27"/>
      <c r="HL21" s="27"/>
      <c r="HM21" s="27"/>
      <c r="HN21" s="27"/>
      <c r="HO21" s="27"/>
      <c r="HP21" s="27"/>
      <c r="HQ21" s="27"/>
      <c r="HR21" s="27"/>
      <c r="HS21" s="27"/>
      <c r="HT21" s="27"/>
      <c r="HU21" s="27"/>
      <c r="HV21" s="27"/>
      <c r="HW21" s="27"/>
      <c r="HX21" s="27"/>
      <c r="HY21" s="27"/>
      <c r="HZ21" s="27"/>
      <c r="IA21" s="27"/>
      <c r="IB21" s="27"/>
      <c r="IC21" s="27"/>
      <c r="ID21" s="27"/>
      <c r="IE21" s="27"/>
      <c r="IF21" s="27"/>
      <c r="IG21" s="27"/>
      <c r="IH21" s="27"/>
      <c r="II21" s="27"/>
      <c r="IJ21" s="27"/>
      <c r="IK21" s="27"/>
      <c r="IL21" s="27"/>
      <c r="IM21" s="27"/>
      <c r="IN21" s="27"/>
      <c r="IO21" s="27"/>
      <c r="IP21" s="27"/>
      <c r="IQ21" s="27"/>
      <c r="IR21" s="27"/>
      <c r="IS21" s="27"/>
      <c r="IT21" s="27"/>
      <c r="IU21" s="27"/>
      <c r="IV21" s="27"/>
      <c r="IW21" s="27"/>
      <c r="IX21" s="27"/>
      <c r="IY21" s="27"/>
      <c r="IZ21" s="27"/>
      <c r="JA21" s="27"/>
    </row>
    <row r="22" spans="1:261" x14ac:dyDescent="0.25">
      <c r="B22" s="2139"/>
      <c r="C22" s="852" t="str">
        <f>CALEND_!B20</f>
        <v>TOTAL</v>
      </c>
      <c r="D22" s="856"/>
      <c r="E22" s="856"/>
      <c r="F22" s="2140">
        <f>SUM(F21:F21)</f>
        <v>15151078.059999999</v>
      </c>
      <c r="G22" s="2141"/>
      <c r="H22" s="2140">
        <f>SUM(H21:H21)</f>
        <v>2727194.0408000001</v>
      </c>
      <c r="I22" s="2141"/>
      <c r="J22" s="2146">
        <f>SUM(J21:J21)</f>
        <v>17878272.1008</v>
      </c>
      <c r="K22" s="2146"/>
      <c r="L22" s="110"/>
      <c r="M22" s="110"/>
      <c r="N22" s="110"/>
      <c r="O22" s="27"/>
      <c r="P22" s="27"/>
      <c r="Q22" s="27"/>
      <c r="R22" s="27"/>
      <c r="S22" s="27"/>
      <c r="T22" s="27"/>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c r="AT22" s="27"/>
      <c r="AU22" s="27"/>
      <c r="AV22" s="27"/>
      <c r="AW22" s="27"/>
      <c r="AX22" s="27"/>
      <c r="AY22" s="27"/>
      <c r="AZ22" s="27"/>
      <c r="BA22" s="27"/>
      <c r="BB22" s="27"/>
      <c r="BC22" s="27"/>
      <c r="BD22" s="27"/>
      <c r="BE22" s="27"/>
      <c r="BF22" s="27"/>
      <c r="BG22" s="27"/>
      <c r="BH22" s="27"/>
      <c r="BI22" s="27"/>
      <c r="BJ22" s="27"/>
      <c r="BK22" s="27"/>
      <c r="BL22" s="27"/>
      <c r="BM22" s="27"/>
      <c r="BN22" s="27"/>
      <c r="BO22" s="27"/>
      <c r="BP22" s="27"/>
      <c r="BQ22" s="27"/>
      <c r="BR22" s="27"/>
      <c r="BS22" s="27"/>
      <c r="BT22" s="27"/>
      <c r="BU22" s="27"/>
      <c r="BV22" s="27"/>
      <c r="BW22" s="27"/>
      <c r="BX22" s="27"/>
      <c r="BY22" s="27"/>
      <c r="BZ22" s="27"/>
      <c r="CA22" s="27"/>
      <c r="CB22" s="27"/>
      <c r="CC22" s="27"/>
      <c r="CD22" s="27"/>
      <c r="CE22" s="27"/>
      <c r="CF22" s="27"/>
      <c r="CG22" s="27"/>
      <c r="CH22" s="27"/>
      <c r="CI22" s="27"/>
      <c r="CJ22" s="27"/>
      <c r="CK22" s="27"/>
      <c r="CL22" s="27"/>
      <c r="CM22" s="27"/>
      <c r="CN22" s="27"/>
      <c r="CO22" s="27"/>
      <c r="CP22" s="27"/>
      <c r="CQ22" s="27"/>
      <c r="CR22" s="27"/>
      <c r="CS22" s="27"/>
      <c r="CT22" s="27"/>
      <c r="CU22" s="27"/>
      <c r="CV22" s="27"/>
      <c r="CW22" s="27"/>
      <c r="CX22" s="27"/>
      <c r="CY22" s="27"/>
      <c r="CZ22" s="27"/>
      <c r="DA22" s="27"/>
      <c r="DB22" s="27"/>
      <c r="DC22" s="27"/>
      <c r="DD22" s="27"/>
      <c r="DE22" s="27"/>
      <c r="DF22" s="27"/>
      <c r="DG22" s="27"/>
      <c r="DH22" s="27"/>
      <c r="DI22" s="27"/>
      <c r="DJ22" s="27"/>
      <c r="DK22" s="27"/>
      <c r="DL22" s="27"/>
      <c r="DM22" s="27"/>
      <c r="DN22" s="27"/>
      <c r="DO22" s="27"/>
      <c r="DP22" s="27"/>
      <c r="DQ22" s="27"/>
      <c r="DR22" s="27"/>
      <c r="DS22" s="27"/>
      <c r="DT22" s="27"/>
      <c r="DU22" s="27"/>
      <c r="DV22" s="27"/>
      <c r="DW22" s="27"/>
      <c r="DX22" s="27"/>
      <c r="DY22" s="27"/>
      <c r="DZ22" s="27"/>
      <c r="EA22" s="27"/>
      <c r="EB22" s="27"/>
      <c r="EC22" s="27"/>
      <c r="ED22" s="27"/>
      <c r="EE22" s="27"/>
      <c r="EF22" s="27"/>
      <c r="EG22" s="27"/>
      <c r="EH22" s="27"/>
      <c r="EI22" s="27"/>
      <c r="EJ22" s="27"/>
      <c r="EK22" s="27"/>
      <c r="EL22" s="27"/>
      <c r="EM22" s="27"/>
      <c r="EN22" s="27"/>
      <c r="EO22" s="27"/>
      <c r="EP22" s="27"/>
      <c r="EQ22" s="27"/>
      <c r="ER22" s="27"/>
      <c r="ES22" s="27"/>
      <c r="ET22" s="27"/>
      <c r="EU22" s="27"/>
      <c r="EV22" s="27"/>
      <c r="EW22" s="27"/>
      <c r="EX22" s="27"/>
      <c r="EY22" s="27"/>
      <c r="EZ22" s="27"/>
      <c r="FA22" s="27"/>
      <c r="FB22" s="27"/>
      <c r="FC22" s="27"/>
      <c r="FD22" s="27"/>
      <c r="FE22" s="27"/>
      <c r="FF22" s="27"/>
      <c r="FG22" s="27"/>
      <c r="FH22" s="27"/>
      <c r="FI22" s="27"/>
      <c r="FJ22" s="27"/>
      <c r="FK22" s="27"/>
      <c r="FL22" s="27"/>
      <c r="FM22" s="27"/>
      <c r="FN22" s="27"/>
      <c r="FO22" s="27"/>
      <c r="FP22" s="27"/>
      <c r="FQ22" s="27"/>
      <c r="FR22" s="27"/>
      <c r="FS22" s="27"/>
      <c r="FT22" s="27"/>
      <c r="FU22" s="27"/>
      <c r="FV22" s="27"/>
      <c r="FW22" s="27"/>
      <c r="FX22" s="27"/>
      <c r="FY22" s="27"/>
      <c r="FZ22" s="27"/>
      <c r="GA22" s="27"/>
      <c r="GB22" s="27"/>
      <c r="GC22" s="27"/>
      <c r="GD22" s="27"/>
      <c r="GE22" s="27"/>
      <c r="GF22" s="27"/>
      <c r="GG22" s="27"/>
      <c r="GH22" s="27"/>
      <c r="GI22" s="27"/>
      <c r="GJ22" s="27"/>
      <c r="GK22" s="27"/>
      <c r="GL22" s="27"/>
      <c r="GM22" s="27"/>
      <c r="GN22" s="27"/>
      <c r="GO22" s="27"/>
      <c r="GP22" s="27"/>
      <c r="GQ22" s="27"/>
      <c r="GR22" s="27"/>
      <c r="GS22" s="27"/>
      <c r="GT22" s="27"/>
      <c r="GU22" s="27"/>
      <c r="GV22" s="27"/>
      <c r="GW22" s="27"/>
      <c r="GX22" s="27"/>
      <c r="GY22" s="27"/>
      <c r="GZ22" s="27"/>
      <c r="HA22" s="27"/>
      <c r="HB22" s="27"/>
      <c r="HC22" s="27"/>
      <c r="HD22" s="27"/>
      <c r="HE22" s="27"/>
      <c r="HF22" s="27"/>
      <c r="HG22" s="27"/>
      <c r="HH22" s="27"/>
      <c r="HI22" s="27"/>
      <c r="HJ22" s="27"/>
      <c r="HK22" s="27"/>
      <c r="HL22" s="27"/>
      <c r="HM22" s="27"/>
      <c r="HN22" s="27"/>
      <c r="HO22" s="27"/>
      <c r="HP22" s="27"/>
      <c r="HQ22" s="27"/>
      <c r="HR22" s="27"/>
      <c r="HS22" s="27"/>
      <c r="HT22" s="27"/>
      <c r="HU22" s="27"/>
      <c r="HV22" s="27"/>
      <c r="HW22" s="27"/>
      <c r="HX22" s="27"/>
      <c r="HY22" s="27"/>
      <c r="HZ22" s="27"/>
      <c r="IA22" s="27"/>
      <c r="IB22" s="27"/>
      <c r="IC22" s="27"/>
      <c r="ID22" s="27"/>
      <c r="IE22" s="27"/>
      <c r="IF22" s="27"/>
      <c r="IG22" s="27"/>
      <c r="IH22" s="27"/>
      <c r="II22" s="27"/>
      <c r="IJ22" s="27"/>
      <c r="IK22" s="27"/>
      <c r="IL22" s="27"/>
      <c r="IM22" s="27"/>
      <c r="IN22" s="27"/>
      <c r="IO22" s="27"/>
      <c r="IP22" s="27"/>
      <c r="IQ22" s="27"/>
      <c r="IR22" s="27"/>
      <c r="IS22" s="27"/>
      <c r="IT22" s="27"/>
      <c r="IU22" s="27"/>
      <c r="IV22" s="27"/>
      <c r="IW22" s="27"/>
      <c r="IX22" s="27"/>
      <c r="IY22" s="27"/>
      <c r="IZ22" s="27"/>
      <c r="JA22" s="27"/>
    </row>
    <row r="23" spans="1:261" x14ac:dyDescent="0.25">
      <c r="C23" s="75"/>
      <c r="F23" s="37"/>
      <c r="G23" s="37"/>
      <c r="H23" s="37"/>
      <c r="I23" s="37"/>
      <c r="J23" s="37"/>
      <c r="K23" s="37"/>
      <c r="L23" s="110"/>
      <c r="M23" s="110"/>
      <c r="N23" s="110"/>
      <c r="O23" s="27"/>
      <c r="P23" s="27"/>
      <c r="Q23" s="27"/>
      <c r="R23" s="27"/>
      <c r="S23" s="27"/>
      <c r="T23" s="27"/>
      <c r="U23" s="27"/>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7"/>
      <c r="AX23" s="27"/>
      <c r="AY23" s="27"/>
      <c r="AZ23" s="27"/>
      <c r="BA23" s="27"/>
      <c r="BB23" s="27"/>
      <c r="BC23" s="27"/>
      <c r="BD23" s="27"/>
      <c r="BE23" s="27"/>
      <c r="BF23" s="27"/>
      <c r="BG23" s="27"/>
      <c r="BH23" s="27"/>
      <c r="BI23" s="27"/>
      <c r="BJ23" s="27"/>
      <c r="BK23" s="27"/>
      <c r="BL23" s="27"/>
      <c r="BM23" s="27"/>
      <c r="BN23" s="27"/>
      <c r="BO23" s="27"/>
      <c r="BP23" s="27"/>
      <c r="BQ23" s="27"/>
      <c r="BR23" s="27"/>
      <c r="BS23" s="27"/>
      <c r="BT23" s="27"/>
      <c r="BU23" s="27"/>
      <c r="BV23" s="27"/>
      <c r="BW23" s="27"/>
      <c r="BX23" s="27"/>
      <c r="BY23" s="27"/>
      <c r="BZ23" s="27"/>
      <c r="CA23" s="27"/>
      <c r="CB23" s="27"/>
      <c r="CC23" s="27"/>
      <c r="CD23" s="27"/>
      <c r="CE23" s="27"/>
      <c r="CF23" s="27"/>
      <c r="CG23" s="27"/>
      <c r="CH23" s="27"/>
      <c r="CI23" s="27"/>
      <c r="CJ23" s="27"/>
      <c r="CK23" s="27"/>
      <c r="CL23" s="27"/>
      <c r="CM23" s="27"/>
      <c r="CN23" s="27"/>
      <c r="CO23" s="27"/>
      <c r="CP23" s="27"/>
      <c r="CQ23" s="27"/>
      <c r="CR23" s="27"/>
      <c r="CS23" s="27"/>
      <c r="CT23" s="27"/>
      <c r="CU23" s="27"/>
      <c r="CV23" s="27"/>
      <c r="CW23" s="27"/>
      <c r="CX23" s="27"/>
      <c r="CY23" s="27"/>
      <c r="CZ23" s="27"/>
      <c r="DA23" s="27"/>
      <c r="DB23" s="27"/>
      <c r="DC23" s="27"/>
      <c r="DD23" s="27"/>
      <c r="DE23" s="27"/>
      <c r="DF23" s="27"/>
      <c r="DG23" s="27"/>
      <c r="DH23" s="27"/>
      <c r="DI23" s="27"/>
      <c r="DJ23" s="27"/>
      <c r="DK23" s="27"/>
      <c r="DL23" s="27"/>
      <c r="DM23" s="27"/>
      <c r="DN23" s="27"/>
      <c r="DO23" s="27"/>
      <c r="DP23" s="27"/>
      <c r="DQ23" s="27"/>
      <c r="DR23" s="27"/>
      <c r="DS23" s="27"/>
      <c r="DT23" s="27"/>
      <c r="DU23" s="27"/>
      <c r="DV23" s="27"/>
      <c r="DW23" s="27"/>
      <c r="DX23" s="27"/>
      <c r="DY23" s="27"/>
      <c r="DZ23" s="27"/>
      <c r="EA23" s="27"/>
      <c r="EB23" s="27"/>
      <c r="EC23" s="27"/>
      <c r="ED23" s="27"/>
      <c r="EE23" s="27"/>
      <c r="EF23" s="27"/>
      <c r="EG23" s="27"/>
      <c r="EH23" s="27"/>
      <c r="EI23" s="27"/>
      <c r="EJ23" s="27"/>
      <c r="EK23" s="27"/>
      <c r="EL23" s="27"/>
      <c r="EM23" s="27"/>
      <c r="EN23" s="27"/>
      <c r="EO23" s="27"/>
      <c r="EP23" s="27"/>
      <c r="EQ23" s="27"/>
      <c r="ER23" s="27"/>
      <c r="ES23" s="27"/>
      <c r="ET23" s="27"/>
      <c r="EU23" s="27"/>
      <c r="EV23" s="27"/>
      <c r="EW23" s="27"/>
      <c r="EX23" s="27"/>
      <c r="EY23" s="27"/>
      <c r="EZ23" s="27"/>
      <c r="FA23" s="27"/>
      <c r="FB23" s="27"/>
      <c r="FC23" s="27"/>
      <c r="FD23" s="27"/>
      <c r="FE23" s="27"/>
      <c r="FF23" s="27"/>
      <c r="FG23" s="27"/>
      <c r="FH23" s="27"/>
      <c r="FI23" s="27"/>
      <c r="FJ23" s="27"/>
      <c r="FK23" s="27"/>
      <c r="FL23" s="27"/>
      <c r="FM23" s="27"/>
      <c r="FN23" s="27"/>
      <c r="FO23" s="27"/>
      <c r="FP23" s="27"/>
      <c r="FQ23" s="27"/>
      <c r="FR23" s="27"/>
      <c r="FS23" s="27"/>
      <c r="FT23" s="27"/>
      <c r="FU23" s="27"/>
      <c r="FV23" s="27"/>
      <c r="FW23" s="27"/>
      <c r="FX23" s="27"/>
      <c r="FY23" s="27"/>
      <c r="FZ23" s="27"/>
      <c r="GA23" s="27"/>
      <c r="GB23" s="27"/>
      <c r="GC23" s="27"/>
      <c r="GD23" s="27"/>
      <c r="GE23" s="27"/>
      <c r="GF23" s="27"/>
      <c r="GG23" s="27"/>
      <c r="GH23" s="27"/>
      <c r="GI23" s="27"/>
      <c r="GJ23" s="27"/>
      <c r="GK23" s="27"/>
      <c r="GL23" s="27"/>
      <c r="GM23" s="27"/>
      <c r="GN23" s="27"/>
      <c r="GO23" s="27"/>
      <c r="GP23" s="27"/>
      <c r="GQ23" s="27"/>
      <c r="GR23" s="27"/>
      <c r="GS23" s="27"/>
      <c r="GT23" s="27"/>
      <c r="GU23" s="27"/>
      <c r="GV23" s="27"/>
      <c r="GW23" s="27"/>
      <c r="GX23" s="27"/>
      <c r="GY23" s="27"/>
      <c r="GZ23" s="27"/>
      <c r="HA23" s="27"/>
      <c r="HB23" s="27"/>
      <c r="HC23" s="27"/>
      <c r="HD23" s="27"/>
      <c r="HE23" s="27"/>
      <c r="HF23" s="27"/>
      <c r="HG23" s="27"/>
      <c r="HH23" s="27"/>
      <c r="HI23" s="27"/>
      <c r="HJ23" s="27"/>
      <c r="HK23" s="27"/>
      <c r="HL23" s="27"/>
      <c r="HM23" s="27"/>
      <c r="HN23" s="27"/>
      <c r="HO23" s="27"/>
      <c r="HP23" s="27"/>
      <c r="HQ23" s="27"/>
      <c r="HR23" s="27"/>
      <c r="HS23" s="27"/>
      <c r="HT23" s="27"/>
      <c r="HU23" s="27"/>
      <c r="HV23" s="27"/>
      <c r="HW23" s="27"/>
      <c r="HX23" s="27"/>
      <c r="HY23" s="27"/>
      <c r="HZ23" s="27"/>
      <c r="IA23" s="27"/>
      <c r="IB23" s="27"/>
      <c r="IC23" s="27"/>
      <c r="ID23" s="27"/>
      <c r="IE23" s="27"/>
      <c r="IF23" s="27"/>
      <c r="IG23" s="27"/>
      <c r="IH23" s="27"/>
      <c r="II23" s="27"/>
      <c r="IJ23" s="27"/>
      <c r="IK23" s="27"/>
      <c r="IL23" s="27"/>
      <c r="IM23" s="27"/>
      <c r="IN23" s="27"/>
      <c r="IO23" s="27"/>
      <c r="IP23" s="27"/>
      <c r="IQ23" s="27"/>
      <c r="IR23" s="27"/>
      <c r="IS23" s="27"/>
      <c r="IT23" s="27"/>
      <c r="IU23" s="27"/>
      <c r="IV23" s="27"/>
      <c r="IW23" s="27"/>
      <c r="IX23" s="27"/>
      <c r="IY23" s="27"/>
      <c r="IZ23" s="27"/>
      <c r="JA23" s="27"/>
    </row>
    <row r="24" spans="1:261" x14ac:dyDescent="0.25">
      <c r="C24" s="75"/>
      <c r="F24" s="37"/>
      <c r="G24" s="37"/>
      <c r="H24" s="37"/>
      <c r="I24" s="37"/>
      <c r="J24" s="37"/>
      <c r="K24" s="37"/>
      <c r="L24" s="110"/>
      <c r="M24" s="110"/>
      <c r="N24" s="110"/>
      <c r="O24" s="27"/>
      <c r="P24" s="27"/>
      <c r="Q24" s="27"/>
      <c r="R24" s="27"/>
      <c r="S24" s="27"/>
      <c r="T24" s="27"/>
      <c r="U24" s="27"/>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c r="AZ24" s="27"/>
      <c r="BA24" s="27"/>
      <c r="BB24" s="27"/>
      <c r="BC24" s="27"/>
      <c r="BD24" s="27"/>
      <c r="BE24" s="27"/>
      <c r="BF24" s="27"/>
      <c r="BG24" s="27"/>
      <c r="BH24" s="27"/>
      <c r="BI24" s="27"/>
      <c r="BJ24" s="27"/>
      <c r="BK24" s="27"/>
      <c r="BL24" s="27"/>
      <c r="BM24" s="27"/>
      <c r="BN24" s="27"/>
      <c r="BO24" s="27"/>
      <c r="BP24" s="27"/>
      <c r="BQ24" s="27"/>
      <c r="BR24" s="27"/>
      <c r="BS24" s="27"/>
      <c r="BT24" s="27"/>
      <c r="BU24" s="27"/>
      <c r="BV24" s="27"/>
      <c r="BW24" s="27"/>
      <c r="BX24" s="27"/>
      <c r="BY24" s="27"/>
      <c r="BZ24" s="27"/>
      <c r="CA24" s="27"/>
      <c r="CB24" s="27"/>
      <c r="CC24" s="27"/>
      <c r="CD24" s="27"/>
      <c r="CE24" s="27"/>
      <c r="CF24" s="27"/>
      <c r="CG24" s="27"/>
      <c r="CH24" s="27"/>
      <c r="CI24" s="27"/>
      <c r="CJ24" s="27"/>
      <c r="CK24" s="27"/>
      <c r="CL24" s="27"/>
      <c r="CM24" s="27"/>
      <c r="CN24" s="27"/>
      <c r="CO24" s="27"/>
      <c r="CP24" s="27"/>
      <c r="CQ24" s="27"/>
      <c r="CR24" s="27"/>
      <c r="CS24" s="27"/>
      <c r="CT24" s="27"/>
      <c r="CU24" s="27"/>
      <c r="CV24" s="27"/>
      <c r="CW24" s="27"/>
      <c r="CX24" s="27"/>
      <c r="CY24" s="27"/>
      <c r="CZ24" s="27"/>
      <c r="DA24" s="27"/>
      <c r="DB24" s="27"/>
      <c r="DC24" s="27"/>
      <c r="DD24" s="27"/>
      <c r="DE24" s="27"/>
      <c r="DF24" s="27"/>
      <c r="DG24" s="27"/>
      <c r="DH24" s="27"/>
      <c r="DI24" s="27"/>
      <c r="DJ24" s="27"/>
      <c r="DK24" s="27"/>
      <c r="DL24" s="27"/>
      <c r="DM24" s="27"/>
      <c r="DN24" s="27"/>
      <c r="DO24" s="27"/>
      <c r="DP24" s="27"/>
      <c r="DQ24" s="27"/>
      <c r="DR24" s="27"/>
      <c r="DS24" s="27"/>
      <c r="DT24" s="27"/>
      <c r="DU24" s="27"/>
      <c r="DV24" s="27"/>
      <c r="DW24" s="27"/>
      <c r="DX24" s="27"/>
      <c r="DY24" s="27"/>
      <c r="DZ24" s="27"/>
      <c r="EA24" s="27"/>
      <c r="EB24" s="27"/>
      <c r="EC24" s="27"/>
      <c r="ED24" s="27"/>
      <c r="EE24" s="27"/>
      <c r="EF24" s="27"/>
      <c r="EG24" s="27"/>
      <c r="EH24" s="27"/>
      <c r="EI24" s="27"/>
      <c r="EJ24" s="27"/>
      <c r="EK24" s="27"/>
      <c r="EL24" s="27"/>
      <c r="EM24" s="27"/>
      <c r="EN24" s="27"/>
      <c r="EO24" s="27"/>
      <c r="EP24" s="27"/>
      <c r="EQ24" s="27"/>
      <c r="ER24" s="27"/>
      <c r="ES24" s="27"/>
      <c r="ET24" s="27"/>
      <c r="EU24" s="27"/>
      <c r="EV24" s="27"/>
      <c r="EW24" s="27"/>
      <c r="EX24" s="27"/>
      <c r="EY24" s="27"/>
      <c r="EZ24" s="27"/>
      <c r="FA24" s="27"/>
      <c r="FB24" s="27"/>
      <c r="FC24" s="27"/>
      <c r="FD24" s="27"/>
      <c r="FE24" s="27"/>
      <c r="FF24" s="27"/>
      <c r="FG24" s="27"/>
      <c r="FH24" s="27"/>
      <c r="FI24" s="27"/>
      <c r="FJ24" s="27"/>
      <c r="FK24" s="27"/>
      <c r="FL24" s="27"/>
      <c r="FM24" s="27"/>
      <c r="FN24" s="27"/>
      <c r="FO24" s="27"/>
      <c r="FP24" s="27"/>
      <c r="FQ24" s="27"/>
      <c r="FR24" s="27"/>
      <c r="FS24" s="27"/>
      <c r="FT24" s="27"/>
      <c r="FU24" s="27"/>
      <c r="FV24" s="27"/>
      <c r="FW24" s="27"/>
      <c r="FX24" s="27"/>
      <c r="FY24" s="27"/>
      <c r="FZ24" s="27"/>
      <c r="GA24" s="27"/>
      <c r="GB24" s="27"/>
      <c r="GC24" s="27"/>
      <c r="GD24" s="27"/>
      <c r="GE24" s="27"/>
      <c r="GF24" s="27"/>
      <c r="GG24" s="27"/>
      <c r="GH24" s="27"/>
      <c r="GI24" s="27"/>
      <c r="GJ24" s="27"/>
      <c r="GK24" s="27"/>
      <c r="GL24" s="27"/>
      <c r="GM24" s="27"/>
      <c r="GN24" s="27"/>
      <c r="GO24" s="27"/>
      <c r="GP24" s="27"/>
      <c r="GQ24" s="27"/>
      <c r="GR24" s="27"/>
      <c r="GS24" s="27"/>
      <c r="GT24" s="27"/>
      <c r="GU24" s="27"/>
      <c r="GV24" s="27"/>
      <c r="GW24" s="27"/>
      <c r="GX24" s="27"/>
      <c r="GY24" s="27"/>
      <c r="GZ24" s="27"/>
      <c r="HA24" s="27"/>
      <c r="HB24" s="27"/>
      <c r="HC24" s="27"/>
      <c r="HD24" s="27"/>
      <c r="HE24" s="27"/>
      <c r="HF24" s="27"/>
      <c r="HG24" s="27"/>
      <c r="HH24" s="27"/>
      <c r="HI24" s="27"/>
      <c r="HJ24" s="27"/>
      <c r="HK24" s="27"/>
      <c r="HL24" s="27"/>
      <c r="HM24" s="27"/>
      <c r="HN24" s="27"/>
      <c r="HO24" s="27"/>
      <c r="HP24" s="27"/>
      <c r="HQ24" s="27"/>
      <c r="HR24" s="27"/>
      <c r="HS24" s="27"/>
      <c r="HT24" s="27"/>
      <c r="HU24" s="27"/>
      <c r="HV24" s="27"/>
      <c r="HW24" s="27"/>
      <c r="HX24" s="27"/>
      <c r="HY24" s="27"/>
      <c r="HZ24" s="27"/>
      <c r="IA24" s="27"/>
      <c r="IB24" s="27"/>
      <c r="IC24" s="27"/>
      <c r="ID24" s="27"/>
      <c r="IE24" s="27"/>
      <c r="IF24" s="27"/>
      <c r="IG24" s="27"/>
      <c r="IH24" s="27"/>
      <c r="II24" s="27"/>
      <c r="IJ24" s="27"/>
      <c r="IK24" s="27"/>
      <c r="IL24" s="27"/>
      <c r="IM24" s="27"/>
      <c r="IN24" s="27"/>
      <c r="IO24" s="27"/>
      <c r="IP24" s="27"/>
      <c r="IQ24" s="27"/>
      <c r="IR24" s="27"/>
      <c r="IS24" s="27"/>
      <c r="IT24" s="27"/>
      <c r="IU24" s="27"/>
      <c r="IV24" s="27"/>
      <c r="IW24" s="27"/>
      <c r="IX24" s="27"/>
      <c r="IY24" s="27"/>
      <c r="IZ24" s="27"/>
      <c r="JA24" s="27"/>
    </row>
    <row r="25" spans="1:261" x14ac:dyDescent="0.25">
      <c r="C25" s="852" t="str">
        <f>CALEND_!B23</f>
        <v>TOTAL (S/.):</v>
      </c>
      <c r="D25" s="856"/>
      <c r="E25" s="856"/>
      <c r="F25" s="2135">
        <f>F22</f>
        <v>15151078.059999999</v>
      </c>
      <c r="G25" s="2136"/>
      <c r="H25" s="2135">
        <f t="shared" ref="H25:J25" si="0">H22</f>
        <v>2727194.0408000001</v>
      </c>
      <c r="I25" s="2136"/>
      <c r="J25" s="2147">
        <f t="shared" si="0"/>
        <v>17878272.1008</v>
      </c>
      <c r="K25" s="2147"/>
      <c r="L25" s="110"/>
      <c r="M25" s="110"/>
      <c r="N25" s="110"/>
      <c r="O25" s="27"/>
      <c r="P25" s="27"/>
      <c r="Q25" s="27"/>
      <c r="R25" s="27"/>
      <c r="S25" s="27"/>
      <c r="T25" s="27"/>
      <c r="U25" s="27"/>
      <c r="V25" s="27"/>
      <c r="W25" s="27"/>
      <c r="X25" s="27"/>
      <c r="Y25" s="27"/>
      <c r="Z25" s="27"/>
      <c r="AA25" s="27"/>
      <c r="AB25" s="27"/>
      <c r="AC25" s="27"/>
      <c r="AD25" s="27"/>
      <c r="AE25" s="27"/>
      <c r="AF25" s="27"/>
      <c r="AG25" s="27"/>
      <c r="AH25" s="27"/>
      <c r="AI25" s="27"/>
      <c r="AJ25" s="27"/>
      <c r="AK25" s="27"/>
      <c r="AL25" s="27"/>
      <c r="AM25" s="27"/>
      <c r="AN25" s="27"/>
      <c r="AO25" s="27"/>
      <c r="AP25" s="27"/>
      <c r="AQ25" s="27"/>
      <c r="AR25" s="27"/>
      <c r="AS25" s="27"/>
      <c r="AT25" s="27"/>
      <c r="AU25" s="27"/>
      <c r="AV25" s="27"/>
      <c r="AW25" s="27"/>
      <c r="AX25" s="27"/>
      <c r="AY25" s="27"/>
      <c r="AZ25" s="27"/>
      <c r="BA25" s="27"/>
      <c r="BB25" s="27"/>
      <c r="BC25" s="27"/>
      <c r="BD25" s="27"/>
      <c r="BE25" s="27"/>
      <c r="BF25" s="27"/>
      <c r="BG25" s="27"/>
      <c r="BH25" s="27"/>
      <c r="BI25" s="27"/>
      <c r="BJ25" s="27"/>
      <c r="BK25" s="27"/>
      <c r="BL25" s="27"/>
      <c r="BM25" s="27"/>
      <c r="BN25" s="27"/>
      <c r="BO25" s="27"/>
      <c r="BP25" s="27"/>
      <c r="BQ25" s="27"/>
      <c r="BR25" s="27"/>
      <c r="BS25" s="27"/>
      <c r="BT25" s="27"/>
      <c r="BU25" s="27"/>
      <c r="BV25" s="27"/>
      <c r="BW25" s="27"/>
      <c r="BX25" s="27"/>
      <c r="BY25" s="27"/>
      <c r="BZ25" s="27"/>
      <c r="CA25" s="27"/>
      <c r="CB25" s="27"/>
      <c r="CC25" s="27"/>
      <c r="CD25" s="27"/>
      <c r="CE25" s="27"/>
      <c r="CF25" s="27"/>
      <c r="CG25" s="27"/>
      <c r="CH25" s="27"/>
      <c r="CI25" s="27"/>
      <c r="CJ25" s="27"/>
      <c r="CK25" s="27"/>
      <c r="CL25" s="27"/>
      <c r="CM25" s="27"/>
      <c r="CN25" s="27"/>
      <c r="CO25" s="27"/>
      <c r="CP25" s="27"/>
      <c r="CQ25" s="27"/>
      <c r="CR25" s="27"/>
      <c r="CS25" s="27"/>
      <c r="CT25" s="27"/>
      <c r="CU25" s="27"/>
      <c r="CV25" s="27"/>
      <c r="CW25" s="27"/>
      <c r="CX25" s="27"/>
      <c r="CY25" s="27"/>
      <c r="CZ25" s="27"/>
      <c r="DA25" s="27"/>
      <c r="DB25" s="27"/>
      <c r="DC25" s="27"/>
      <c r="DD25" s="27"/>
      <c r="DE25" s="27"/>
      <c r="DF25" s="27"/>
      <c r="DG25" s="27"/>
      <c r="DH25" s="27"/>
      <c r="DI25" s="27"/>
      <c r="DJ25" s="27"/>
      <c r="DK25" s="27"/>
      <c r="DL25" s="27"/>
      <c r="DM25" s="27"/>
      <c r="DN25" s="27"/>
      <c r="DO25" s="27"/>
      <c r="DP25" s="27"/>
      <c r="DQ25" s="27"/>
      <c r="DR25" s="27"/>
      <c r="DS25" s="27"/>
      <c r="DT25" s="27"/>
      <c r="DU25" s="27"/>
      <c r="DV25" s="27"/>
      <c r="DW25" s="27"/>
      <c r="DX25" s="27"/>
      <c r="DY25" s="27"/>
      <c r="DZ25" s="27"/>
      <c r="EA25" s="27"/>
      <c r="EB25" s="27"/>
      <c r="EC25" s="27"/>
      <c r="ED25" s="27"/>
      <c r="EE25" s="27"/>
      <c r="EF25" s="27"/>
      <c r="EG25" s="27"/>
      <c r="EH25" s="27"/>
      <c r="EI25" s="27"/>
      <c r="EJ25" s="27"/>
      <c r="EK25" s="27"/>
      <c r="EL25" s="27"/>
      <c r="EM25" s="27"/>
      <c r="EN25" s="27"/>
      <c r="EO25" s="27"/>
      <c r="EP25" s="27"/>
      <c r="EQ25" s="27"/>
      <c r="ER25" s="27"/>
      <c r="ES25" s="27"/>
      <c r="ET25" s="27"/>
      <c r="EU25" s="27"/>
      <c r="EV25" s="27"/>
      <c r="EW25" s="27"/>
      <c r="EX25" s="27"/>
      <c r="EY25" s="27"/>
      <c r="EZ25" s="27"/>
      <c r="FA25" s="27"/>
      <c r="FB25" s="27"/>
      <c r="FC25" s="27"/>
      <c r="FD25" s="27"/>
      <c r="FE25" s="27"/>
      <c r="FF25" s="27"/>
      <c r="FG25" s="27"/>
      <c r="FH25" s="27"/>
      <c r="FI25" s="27"/>
      <c r="FJ25" s="27"/>
      <c r="FK25" s="27"/>
      <c r="FL25" s="27"/>
      <c r="FM25" s="27"/>
      <c r="FN25" s="27"/>
      <c r="FO25" s="27"/>
      <c r="FP25" s="27"/>
      <c r="FQ25" s="27"/>
      <c r="FR25" s="27"/>
      <c r="FS25" s="27"/>
      <c r="FT25" s="27"/>
      <c r="FU25" s="27"/>
      <c r="FV25" s="27"/>
      <c r="FW25" s="27"/>
      <c r="FX25" s="27"/>
      <c r="FY25" s="27"/>
      <c r="FZ25" s="27"/>
      <c r="GA25" s="27"/>
      <c r="GB25" s="27"/>
      <c r="GC25" s="27"/>
      <c r="GD25" s="27"/>
      <c r="GE25" s="27"/>
      <c r="GF25" s="27"/>
      <c r="GG25" s="27"/>
      <c r="GH25" s="27"/>
      <c r="GI25" s="27"/>
      <c r="GJ25" s="27"/>
      <c r="GK25" s="27"/>
      <c r="GL25" s="27"/>
      <c r="GM25" s="27"/>
      <c r="GN25" s="27"/>
      <c r="GO25" s="27"/>
      <c r="GP25" s="27"/>
      <c r="GQ25" s="27"/>
      <c r="GR25" s="27"/>
      <c r="GS25" s="27"/>
      <c r="GT25" s="27"/>
      <c r="GU25" s="27"/>
      <c r="GV25" s="27"/>
      <c r="GW25" s="27"/>
      <c r="GX25" s="27"/>
      <c r="GY25" s="27"/>
      <c r="GZ25" s="27"/>
      <c r="HA25" s="27"/>
      <c r="HB25" s="27"/>
      <c r="HC25" s="27"/>
      <c r="HD25" s="27"/>
      <c r="HE25" s="27"/>
      <c r="HF25" s="27"/>
      <c r="HG25" s="27"/>
      <c r="HH25" s="27"/>
      <c r="HI25" s="27"/>
      <c r="HJ25" s="27"/>
      <c r="HK25" s="27"/>
      <c r="HL25" s="27"/>
      <c r="HM25" s="27"/>
      <c r="HN25" s="27"/>
      <c r="HO25" s="27"/>
      <c r="HP25" s="27"/>
      <c r="HQ25" s="27"/>
      <c r="HR25" s="27"/>
      <c r="HS25" s="27"/>
      <c r="HT25" s="27"/>
      <c r="HU25" s="27"/>
      <c r="HV25" s="27"/>
      <c r="HW25" s="27"/>
      <c r="HX25" s="27"/>
      <c r="HY25" s="27"/>
      <c r="HZ25" s="27"/>
      <c r="IA25" s="27"/>
      <c r="IB25" s="27"/>
      <c r="IC25" s="27"/>
      <c r="ID25" s="27"/>
      <c r="IE25" s="27"/>
      <c r="IF25" s="27"/>
      <c r="IG25" s="27"/>
      <c r="IH25" s="27"/>
      <c r="II25" s="27"/>
      <c r="IJ25" s="27"/>
      <c r="IK25" s="27"/>
      <c r="IL25" s="27"/>
      <c r="IM25" s="27"/>
      <c r="IN25" s="27"/>
      <c r="IO25" s="27"/>
      <c r="IP25" s="27"/>
      <c r="IQ25" s="27"/>
      <c r="IR25" s="27"/>
      <c r="IS25" s="27"/>
      <c r="IT25" s="27"/>
      <c r="IU25" s="27"/>
      <c r="IV25" s="27"/>
      <c r="IW25" s="27"/>
      <c r="IX25" s="27"/>
      <c r="IY25" s="27"/>
      <c r="IZ25" s="27"/>
      <c r="JA25" s="27"/>
    </row>
    <row r="26" spans="1:261" x14ac:dyDescent="0.25">
      <c r="C26" s="111"/>
      <c r="D26" s="854"/>
      <c r="E26" s="854"/>
      <c r="F26" s="854"/>
      <c r="G26" s="854"/>
      <c r="H26" s="854"/>
      <c r="I26" s="854"/>
      <c r="J26" s="37"/>
      <c r="K26" s="37"/>
      <c r="L26" s="110"/>
      <c r="M26" s="110"/>
      <c r="N26" s="110"/>
      <c r="O26" s="27"/>
      <c r="P26" s="27"/>
      <c r="Q26" s="27"/>
      <c r="R26" s="27"/>
      <c r="S26" s="27"/>
      <c r="T26" s="27"/>
      <c r="U26" s="27"/>
      <c r="V26" s="27"/>
      <c r="W26" s="27"/>
      <c r="X26" s="27"/>
      <c r="Y26" s="27"/>
      <c r="Z26" s="27"/>
      <c r="AA26" s="27"/>
      <c r="AB26" s="27"/>
      <c r="AC26" s="27"/>
      <c r="AD26" s="27"/>
      <c r="AE26" s="27"/>
      <c r="AF26" s="27"/>
      <c r="AG26" s="27"/>
      <c r="AH26" s="27"/>
      <c r="AI26" s="27"/>
      <c r="AJ26" s="27"/>
      <c r="AK26" s="27"/>
      <c r="AL26" s="27"/>
      <c r="AM26" s="27"/>
      <c r="AN26" s="27"/>
      <c r="AO26" s="27"/>
      <c r="AP26" s="27"/>
      <c r="AQ26" s="27"/>
      <c r="AR26" s="27"/>
      <c r="AS26" s="27"/>
      <c r="AT26" s="27"/>
      <c r="AU26" s="27"/>
      <c r="AV26" s="27"/>
      <c r="AW26" s="27"/>
      <c r="AX26" s="27"/>
      <c r="AY26" s="27"/>
      <c r="AZ26" s="27"/>
      <c r="BA26" s="27"/>
      <c r="BB26" s="27"/>
      <c r="BC26" s="27"/>
      <c r="BD26" s="27"/>
      <c r="BE26" s="27"/>
      <c r="BF26" s="27"/>
      <c r="BG26" s="27"/>
      <c r="BH26" s="27"/>
      <c r="BI26" s="27"/>
      <c r="BJ26" s="27"/>
      <c r="BK26" s="27"/>
      <c r="BL26" s="27"/>
      <c r="BM26" s="27"/>
      <c r="BN26" s="27"/>
      <c r="BO26" s="27"/>
      <c r="BP26" s="27"/>
      <c r="BQ26" s="27"/>
      <c r="BR26" s="27"/>
      <c r="BS26" s="27"/>
      <c r="BT26" s="27"/>
      <c r="BU26" s="27"/>
      <c r="BV26" s="27"/>
      <c r="BW26" s="27"/>
      <c r="BX26" s="27"/>
      <c r="BY26" s="27"/>
      <c r="BZ26" s="27"/>
      <c r="CA26" s="27"/>
      <c r="CB26" s="27"/>
      <c r="CC26" s="27"/>
      <c r="CD26" s="27"/>
      <c r="CE26" s="27"/>
      <c r="CF26" s="27"/>
      <c r="CG26" s="27"/>
      <c r="CH26" s="27"/>
      <c r="CI26" s="27"/>
      <c r="CJ26" s="27"/>
      <c r="CK26" s="27"/>
      <c r="CL26" s="27"/>
      <c r="CM26" s="27"/>
      <c r="CN26" s="27"/>
      <c r="CO26" s="27"/>
      <c r="CP26" s="27"/>
      <c r="CQ26" s="27"/>
      <c r="CR26" s="27"/>
      <c r="CS26" s="27"/>
      <c r="CT26" s="27"/>
      <c r="CU26" s="27"/>
      <c r="CV26" s="27"/>
      <c r="CW26" s="27"/>
      <c r="CX26" s="27"/>
      <c r="CY26" s="27"/>
      <c r="CZ26" s="27"/>
      <c r="DA26" s="27"/>
      <c r="DB26" s="27"/>
      <c r="DC26" s="27"/>
      <c r="DD26" s="27"/>
      <c r="DE26" s="27"/>
      <c r="DF26" s="27"/>
      <c r="DG26" s="27"/>
      <c r="DH26" s="27"/>
      <c r="DI26" s="27"/>
      <c r="DJ26" s="27"/>
      <c r="DK26" s="27"/>
      <c r="DL26" s="27"/>
      <c r="DM26" s="27"/>
      <c r="DN26" s="27"/>
      <c r="DO26" s="27"/>
      <c r="DP26" s="27"/>
      <c r="DQ26" s="27"/>
      <c r="DR26" s="27"/>
      <c r="DS26" s="27"/>
      <c r="DT26" s="27"/>
      <c r="DU26" s="27"/>
      <c r="DV26" s="27"/>
      <c r="DW26" s="27"/>
      <c r="DX26" s="27"/>
      <c r="DY26" s="27"/>
      <c r="DZ26" s="27"/>
      <c r="EA26" s="27"/>
      <c r="EB26" s="27"/>
      <c r="EC26" s="27"/>
      <c r="ED26" s="27"/>
      <c r="EE26" s="27"/>
      <c r="EF26" s="27"/>
      <c r="EG26" s="27"/>
      <c r="EH26" s="27"/>
      <c r="EI26" s="27"/>
      <c r="EJ26" s="27"/>
      <c r="EK26" s="27"/>
      <c r="EL26" s="27"/>
      <c r="EM26" s="27"/>
      <c r="EN26" s="27"/>
      <c r="EO26" s="27"/>
      <c r="EP26" s="27"/>
      <c r="EQ26" s="27"/>
      <c r="ER26" s="27"/>
      <c r="ES26" s="27"/>
      <c r="ET26" s="27"/>
      <c r="EU26" s="27"/>
      <c r="EV26" s="27"/>
      <c r="EW26" s="27"/>
      <c r="EX26" s="27"/>
      <c r="EY26" s="27"/>
      <c r="EZ26" s="27"/>
      <c r="FA26" s="27"/>
      <c r="FB26" s="27"/>
      <c r="FC26" s="27"/>
      <c r="FD26" s="27"/>
      <c r="FE26" s="27"/>
      <c r="FF26" s="27"/>
      <c r="FG26" s="27"/>
      <c r="FH26" s="27"/>
      <c r="FI26" s="27"/>
      <c r="FJ26" s="27"/>
      <c r="FK26" s="27"/>
      <c r="FL26" s="27"/>
      <c r="FM26" s="27"/>
      <c r="FN26" s="27"/>
      <c r="FO26" s="27"/>
      <c r="FP26" s="27"/>
      <c r="FQ26" s="27"/>
      <c r="FR26" s="27"/>
      <c r="FS26" s="27"/>
      <c r="FT26" s="27"/>
      <c r="FU26" s="27"/>
      <c r="FV26" s="27"/>
      <c r="FW26" s="27"/>
      <c r="FX26" s="27"/>
      <c r="FY26" s="27"/>
      <c r="FZ26" s="27"/>
      <c r="GA26" s="27"/>
      <c r="GB26" s="27"/>
      <c r="GC26" s="27"/>
      <c r="GD26" s="27"/>
      <c r="GE26" s="27"/>
      <c r="GF26" s="27"/>
      <c r="GG26" s="27"/>
      <c r="GH26" s="27"/>
      <c r="GI26" s="27"/>
      <c r="GJ26" s="27"/>
      <c r="GK26" s="27"/>
      <c r="GL26" s="27"/>
      <c r="GM26" s="27"/>
      <c r="GN26" s="27"/>
      <c r="GO26" s="27"/>
      <c r="GP26" s="27"/>
      <c r="GQ26" s="27"/>
      <c r="GR26" s="27"/>
      <c r="GS26" s="27"/>
      <c r="GT26" s="27"/>
      <c r="GU26" s="27"/>
      <c r="GV26" s="27"/>
      <c r="GW26" s="27"/>
      <c r="GX26" s="27"/>
      <c r="GY26" s="27"/>
      <c r="GZ26" s="27"/>
      <c r="HA26" s="27"/>
      <c r="HB26" s="27"/>
      <c r="HC26" s="27"/>
      <c r="HD26" s="27"/>
      <c r="HE26" s="27"/>
      <c r="HF26" s="27"/>
      <c r="HG26" s="27"/>
      <c r="HH26" s="27"/>
      <c r="HI26" s="27"/>
      <c r="HJ26" s="27"/>
      <c r="HK26" s="27"/>
      <c r="HL26" s="27"/>
      <c r="HM26" s="27"/>
      <c r="HN26" s="27"/>
      <c r="HO26" s="27"/>
      <c r="HP26" s="27"/>
      <c r="HQ26" s="27"/>
      <c r="HR26" s="27"/>
      <c r="HS26" s="27"/>
      <c r="HT26" s="27"/>
      <c r="HU26" s="27"/>
      <c r="HV26" s="27"/>
      <c r="HW26" s="27"/>
      <c r="HX26" s="27"/>
      <c r="HY26" s="27"/>
      <c r="HZ26" s="27"/>
      <c r="IA26" s="27"/>
      <c r="IB26" s="27"/>
      <c r="IC26" s="27"/>
      <c r="ID26" s="27"/>
      <c r="IE26" s="27"/>
      <c r="IF26" s="27"/>
      <c r="IG26" s="27"/>
      <c r="IH26" s="27"/>
      <c r="II26" s="27"/>
      <c r="IJ26" s="27"/>
      <c r="IK26" s="27"/>
      <c r="IL26" s="27"/>
      <c r="IM26" s="27"/>
      <c r="IN26" s="27"/>
      <c r="IO26" s="27"/>
      <c r="IP26" s="27"/>
      <c r="IQ26" s="27"/>
      <c r="IR26" s="27"/>
      <c r="IS26" s="27"/>
      <c r="IT26" s="27"/>
      <c r="IU26" s="27"/>
      <c r="IV26" s="27"/>
      <c r="IW26" s="27"/>
      <c r="IX26" s="27"/>
      <c r="IY26" s="27"/>
      <c r="IZ26" s="27"/>
      <c r="JA26" s="27"/>
    </row>
    <row r="27" spans="1:261" ht="13.8" x14ac:dyDescent="0.25">
      <c r="B27" s="2102" t="s">
        <v>20</v>
      </c>
      <c r="C27" s="2102"/>
      <c r="D27" s="2102"/>
      <c r="E27" s="2102"/>
      <c r="F27" s="2102"/>
      <c r="G27" s="2102"/>
      <c r="H27" s="2102"/>
      <c r="I27" s="2102"/>
      <c r="J27" s="2102"/>
      <c r="K27" s="1107"/>
      <c r="L27" s="110"/>
      <c r="M27" s="110"/>
      <c r="N27" s="110"/>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7"/>
      <c r="BK27" s="27"/>
      <c r="BL27" s="27"/>
      <c r="BM27" s="27"/>
      <c r="BN27" s="27"/>
      <c r="BO27" s="27"/>
      <c r="BP27" s="27"/>
      <c r="BQ27" s="27"/>
      <c r="BR27" s="27"/>
      <c r="BS27" s="27"/>
      <c r="BT27" s="27"/>
      <c r="BU27" s="27"/>
      <c r="BV27" s="27"/>
      <c r="BW27" s="27"/>
      <c r="BX27" s="27"/>
      <c r="BY27" s="27"/>
      <c r="BZ27" s="27"/>
      <c r="CA27" s="27"/>
      <c r="CB27" s="27"/>
      <c r="CC27" s="27"/>
      <c r="CD27" s="27"/>
      <c r="CE27" s="27"/>
      <c r="CF27" s="27"/>
      <c r="CG27" s="27"/>
      <c r="CH27" s="27"/>
      <c r="CI27" s="27"/>
      <c r="CJ27" s="27"/>
      <c r="CK27" s="27"/>
      <c r="CL27" s="27"/>
      <c r="CM27" s="27"/>
      <c r="CN27" s="27"/>
      <c r="CO27" s="27"/>
      <c r="CP27" s="27"/>
      <c r="CQ27" s="27"/>
      <c r="CR27" s="27"/>
      <c r="CS27" s="27"/>
      <c r="CT27" s="27"/>
      <c r="CU27" s="27"/>
      <c r="CV27" s="27"/>
      <c r="CW27" s="27"/>
      <c r="CX27" s="27"/>
      <c r="CY27" s="27"/>
      <c r="CZ27" s="27"/>
      <c r="DA27" s="27"/>
      <c r="DB27" s="27"/>
      <c r="DC27" s="27"/>
      <c r="DD27" s="27"/>
      <c r="DE27" s="27"/>
      <c r="DF27" s="27"/>
      <c r="DG27" s="27"/>
      <c r="DH27" s="27"/>
      <c r="DI27" s="27"/>
      <c r="DJ27" s="27"/>
      <c r="DK27" s="27"/>
      <c r="DL27" s="27"/>
      <c r="DM27" s="27"/>
      <c r="DN27" s="27"/>
      <c r="DO27" s="27"/>
      <c r="DP27" s="27"/>
      <c r="DQ27" s="27"/>
      <c r="DR27" s="27"/>
      <c r="DS27" s="27"/>
      <c r="DT27" s="27"/>
      <c r="DU27" s="27"/>
      <c r="DV27" s="27"/>
      <c r="DW27" s="27"/>
      <c r="DX27" s="27"/>
      <c r="DY27" s="27"/>
      <c r="DZ27" s="27"/>
      <c r="EA27" s="27"/>
      <c r="EB27" s="27"/>
      <c r="EC27" s="27"/>
      <c r="ED27" s="27"/>
      <c r="EE27" s="27"/>
      <c r="EF27" s="27"/>
      <c r="EG27" s="27"/>
      <c r="EH27" s="27"/>
      <c r="EI27" s="27"/>
      <c r="EJ27" s="27"/>
      <c r="EK27" s="27"/>
      <c r="EL27" s="27"/>
      <c r="EM27" s="27"/>
      <c r="EN27" s="27"/>
      <c r="EO27" s="27"/>
      <c r="EP27" s="27"/>
      <c r="EQ27" s="27"/>
      <c r="ER27" s="27"/>
      <c r="ES27" s="27"/>
      <c r="ET27" s="27"/>
      <c r="EU27" s="27"/>
      <c r="EV27" s="27"/>
      <c r="EW27" s="27"/>
      <c r="EX27" s="27"/>
      <c r="EY27" s="27"/>
      <c r="EZ27" s="27"/>
      <c r="FA27" s="27"/>
      <c r="FB27" s="27"/>
      <c r="FC27" s="27"/>
      <c r="FD27" s="27"/>
      <c r="FE27" s="27"/>
      <c r="FF27" s="27"/>
      <c r="FG27" s="27"/>
      <c r="FH27" s="27"/>
      <c r="FI27" s="27"/>
      <c r="FJ27" s="27"/>
      <c r="FK27" s="27"/>
      <c r="FL27" s="27"/>
      <c r="FM27" s="27"/>
      <c r="FN27" s="27"/>
      <c r="FO27" s="27"/>
      <c r="FP27" s="27"/>
      <c r="FQ27" s="27"/>
      <c r="FR27" s="27"/>
      <c r="FS27" s="27"/>
      <c r="FT27" s="27"/>
      <c r="FU27" s="27"/>
      <c r="FV27" s="27"/>
      <c r="FW27" s="27"/>
      <c r="FX27" s="27"/>
      <c r="FY27" s="27"/>
      <c r="FZ27" s="27"/>
      <c r="GA27" s="27"/>
      <c r="GB27" s="27"/>
      <c r="GC27" s="27"/>
      <c r="GD27" s="27"/>
      <c r="GE27" s="27"/>
      <c r="GF27" s="27"/>
      <c r="GG27" s="27"/>
      <c r="GH27" s="27"/>
      <c r="GI27" s="27"/>
      <c r="GJ27" s="27"/>
      <c r="GK27" s="27"/>
      <c r="GL27" s="27"/>
      <c r="GM27" s="27"/>
      <c r="GN27" s="27"/>
      <c r="GO27" s="27"/>
      <c r="GP27" s="27"/>
      <c r="GQ27" s="27"/>
      <c r="GR27" s="27"/>
      <c r="GS27" s="27"/>
      <c r="GT27" s="27"/>
      <c r="GU27" s="27"/>
      <c r="GV27" s="27"/>
      <c r="GW27" s="27"/>
      <c r="GX27" s="27"/>
      <c r="GY27" s="27"/>
      <c r="GZ27" s="27"/>
      <c r="HA27" s="27"/>
      <c r="HB27" s="27"/>
      <c r="HC27" s="27"/>
      <c r="HD27" s="27"/>
      <c r="HE27" s="27"/>
      <c r="HF27" s="27"/>
      <c r="HG27" s="27"/>
      <c r="HH27" s="27"/>
      <c r="HI27" s="27"/>
      <c r="HJ27" s="27"/>
      <c r="HK27" s="27"/>
      <c r="HL27" s="27"/>
      <c r="HM27" s="27"/>
      <c r="HN27" s="27"/>
      <c r="HO27" s="27"/>
      <c r="HP27" s="27"/>
      <c r="HQ27" s="27"/>
      <c r="HR27" s="27"/>
      <c r="HS27" s="27"/>
      <c r="HT27" s="27"/>
      <c r="HU27" s="27"/>
      <c r="HV27" s="27"/>
      <c r="HW27" s="27"/>
      <c r="HX27" s="27"/>
      <c r="HY27" s="27"/>
      <c r="HZ27" s="27"/>
      <c r="IA27" s="27"/>
      <c r="IB27" s="27"/>
      <c r="IC27" s="27"/>
      <c r="ID27" s="27"/>
      <c r="IE27" s="27"/>
      <c r="IF27" s="27"/>
      <c r="IG27" s="27"/>
      <c r="IH27" s="27"/>
      <c r="II27" s="27"/>
      <c r="IJ27" s="27"/>
      <c r="IK27" s="27"/>
      <c r="IL27" s="27"/>
      <c r="IM27" s="27"/>
      <c r="IN27" s="27"/>
      <c r="IO27" s="27"/>
      <c r="IP27" s="27"/>
      <c r="IQ27" s="27"/>
      <c r="IR27" s="27"/>
      <c r="IS27" s="27"/>
      <c r="IT27" s="27"/>
      <c r="IU27" s="27"/>
      <c r="IV27" s="27"/>
      <c r="IW27" s="27"/>
      <c r="IX27" s="27"/>
      <c r="IY27" s="27"/>
      <c r="IZ27" s="27"/>
      <c r="JA27" s="27"/>
    </row>
    <row r="28" spans="1:261" ht="13.8" thickBot="1" x14ac:dyDescent="0.3">
      <c r="C28" s="33"/>
      <c r="D28" s="37"/>
      <c r="E28" s="37"/>
      <c r="F28" s="37"/>
      <c r="G28" s="37"/>
      <c r="H28" s="37"/>
      <c r="I28" s="37"/>
      <c r="J28" s="37"/>
      <c r="K28" s="37"/>
      <c r="L28" s="110"/>
      <c r="M28" s="110"/>
      <c r="N28" s="110"/>
      <c r="O28" s="27"/>
      <c r="P28" s="27"/>
      <c r="Q28" s="27"/>
      <c r="R28" s="27"/>
      <c r="S28" s="27"/>
      <c r="T28" s="27"/>
      <c r="U28" s="27"/>
      <c r="V28" s="27"/>
      <c r="W28" s="27"/>
      <c r="X28" s="27"/>
      <c r="Y28" s="27"/>
      <c r="Z28" s="27"/>
      <c r="AA28" s="27"/>
      <c r="AB28" s="27"/>
      <c r="AC28" s="27"/>
      <c r="AD28" s="27"/>
      <c r="AE28" s="27"/>
      <c r="AF28" s="27"/>
      <c r="AG28" s="27"/>
      <c r="AH28" s="27"/>
      <c r="AI28" s="27"/>
      <c r="AJ28" s="27"/>
      <c r="AK28" s="27"/>
      <c r="AL28" s="27"/>
      <c r="AM28" s="27"/>
      <c r="AN28" s="27"/>
      <c r="AO28" s="27"/>
      <c r="AP28" s="27"/>
      <c r="AQ28" s="27"/>
      <c r="AR28" s="27"/>
      <c r="AS28" s="27"/>
      <c r="AT28" s="27"/>
      <c r="AU28" s="27"/>
      <c r="AV28" s="27"/>
      <c r="AW28" s="27"/>
      <c r="AX28" s="27"/>
      <c r="AY28" s="27"/>
      <c r="AZ28" s="27"/>
      <c r="BA28" s="27"/>
      <c r="BB28" s="27"/>
      <c r="BC28" s="27"/>
      <c r="BD28" s="27"/>
      <c r="BE28" s="27"/>
      <c r="BF28" s="27"/>
      <c r="BG28" s="27"/>
      <c r="BH28" s="27"/>
      <c r="BI28" s="27"/>
      <c r="BJ28" s="27"/>
      <c r="BK28" s="27"/>
      <c r="BL28" s="27"/>
      <c r="BM28" s="27"/>
      <c r="BN28" s="27"/>
      <c r="BO28" s="27"/>
      <c r="BP28" s="27"/>
      <c r="BQ28" s="27"/>
      <c r="BR28" s="27"/>
      <c r="BS28" s="27"/>
      <c r="BT28" s="27"/>
      <c r="BU28" s="27"/>
      <c r="BV28" s="27"/>
      <c r="BW28" s="27"/>
      <c r="BX28" s="27"/>
      <c r="BY28" s="27"/>
      <c r="BZ28" s="27"/>
      <c r="CA28" s="27"/>
      <c r="CB28" s="27"/>
      <c r="CC28" s="27"/>
      <c r="CD28" s="27"/>
      <c r="CE28" s="27"/>
      <c r="CF28" s="27"/>
      <c r="CG28" s="27"/>
      <c r="CH28" s="27"/>
      <c r="CI28" s="27"/>
      <c r="CJ28" s="27"/>
      <c r="CK28" s="27"/>
      <c r="CL28" s="27"/>
      <c r="CM28" s="27"/>
      <c r="CN28" s="27"/>
      <c r="CO28" s="27"/>
      <c r="CP28" s="27"/>
      <c r="CQ28" s="27"/>
      <c r="CR28" s="27"/>
      <c r="CS28" s="27"/>
      <c r="CT28" s="27"/>
      <c r="CU28" s="27"/>
      <c r="CV28" s="27"/>
      <c r="CW28" s="27"/>
      <c r="CX28" s="27"/>
      <c r="CY28" s="27"/>
      <c r="CZ28" s="27"/>
      <c r="DA28" s="27"/>
      <c r="DB28" s="27"/>
      <c r="DC28" s="27"/>
      <c r="DD28" s="27"/>
      <c r="DE28" s="27"/>
      <c r="DF28" s="27"/>
      <c r="DG28" s="27"/>
      <c r="DH28" s="27"/>
      <c r="DI28" s="27"/>
      <c r="DJ28" s="27"/>
      <c r="DK28" s="27"/>
      <c r="DL28" s="27"/>
      <c r="DM28" s="27"/>
      <c r="DN28" s="27"/>
      <c r="DO28" s="27"/>
      <c r="DP28" s="27"/>
      <c r="DQ28" s="27"/>
      <c r="DR28" s="27"/>
      <c r="DS28" s="27"/>
      <c r="DT28" s="27"/>
      <c r="DU28" s="27"/>
      <c r="DV28" s="27"/>
      <c r="DW28" s="27"/>
      <c r="DX28" s="27"/>
      <c r="DY28" s="27"/>
      <c r="DZ28" s="27"/>
      <c r="EA28" s="27"/>
      <c r="EB28" s="27"/>
      <c r="EC28" s="27"/>
      <c r="ED28" s="27"/>
      <c r="EE28" s="27"/>
      <c r="EF28" s="27"/>
      <c r="EG28" s="27"/>
      <c r="EH28" s="27"/>
      <c r="EI28" s="27"/>
      <c r="EJ28" s="27"/>
      <c r="EK28" s="27"/>
      <c r="EL28" s="27"/>
      <c r="EM28" s="27"/>
      <c r="EN28" s="27"/>
      <c r="EO28" s="27"/>
      <c r="EP28" s="27"/>
      <c r="EQ28" s="27"/>
      <c r="ER28" s="27"/>
      <c r="ES28" s="27"/>
      <c r="ET28" s="27"/>
      <c r="EU28" s="27"/>
      <c r="EV28" s="27"/>
      <c r="EW28" s="27"/>
      <c r="EX28" s="27"/>
      <c r="EY28" s="27"/>
      <c r="EZ28" s="27"/>
      <c r="FA28" s="27"/>
      <c r="FB28" s="27"/>
      <c r="FC28" s="27"/>
      <c r="FD28" s="27"/>
      <c r="FE28" s="27"/>
      <c r="FF28" s="27"/>
      <c r="FG28" s="27"/>
      <c r="FH28" s="27"/>
      <c r="FI28" s="27"/>
      <c r="FJ28" s="27"/>
      <c r="FK28" s="27"/>
      <c r="FL28" s="27"/>
      <c r="FM28" s="27"/>
      <c r="FN28" s="27"/>
      <c r="FO28" s="27"/>
      <c r="FP28" s="27"/>
      <c r="FQ28" s="27"/>
      <c r="FR28" s="27"/>
      <c r="FS28" s="27"/>
      <c r="FT28" s="27"/>
      <c r="FU28" s="27"/>
      <c r="FV28" s="27"/>
      <c r="FW28" s="27"/>
      <c r="FX28" s="27"/>
      <c r="FY28" s="27"/>
      <c r="FZ28" s="27"/>
      <c r="GA28" s="27"/>
      <c r="GB28" s="27"/>
      <c r="GC28" s="27"/>
      <c r="GD28" s="27"/>
      <c r="GE28" s="27"/>
      <c r="GF28" s="27"/>
      <c r="GG28" s="27"/>
      <c r="GH28" s="27"/>
      <c r="GI28" s="27"/>
      <c r="GJ28" s="27"/>
      <c r="GK28" s="27"/>
      <c r="GL28" s="27"/>
      <c r="GM28" s="27"/>
      <c r="GN28" s="27"/>
      <c r="GO28" s="27"/>
      <c r="GP28" s="27"/>
      <c r="GQ28" s="27"/>
      <c r="GR28" s="27"/>
      <c r="GS28" s="27"/>
      <c r="GT28" s="27"/>
      <c r="GU28" s="27"/>
      <c r="GV28" s="27"/>
      <c r="GW28" s="27"/>
      <c r="GX28" s="27"/>
      <c r="GY28" s="27"/>
      <c r="GZ28" s="27"/>
      <c r="HA28" s="27"/>
      <c r="HB28" s="27"/>
      <c r="HC28" s="27"/>
      <c r="HD28" s="27"/>
      <c r="HE28" s="27"/>
      <c r="HF28" s="27"/>
      <c r="HG28" s="27"/>
      <c r="HH28" s="27"/>
      <c r="HI28" s="27"/>
      <c r="HJ28" s="27"/>
      <c r="HK28" s="27"/>
      <c r="HL28" s="27"/>
      <c r="HM28" s="27"/>
      <c r="HN28" s="27"/>
      <c r="HO28" s="27"/>
      <c r="HP28" s="27"/>
      <c r="HQ28" s="27"/>
      <c r="HR28" s="27"/>
      <c r="HS28" s="27"/>
      <c r="HT28" s="27"/>
      <c r="HU28" s="27"/>
      <c r="HV28" s="27"/>
      <c r="HW28" s="27"/>
      <c r="HX28" s="27"/>
      <c r="HY28" s="27"/>
      <c r="HZ28" s="27"/>
      <c r="IA28" s="27"/>
      <c r="IB28" s="27"/>
      <c r="IC28" s="27"/>
      <c r="ID28" s="27"/>
      <c r="IE28" s="27"/>
      <c r="IF28" s="27"/>
      <c r="IG28" s="27"/>
      <c r="IH28" s="27"/>
      <c r="II28" s="27"/>
      <c r="IJ28" s="27"/>
      <c r="IK28" s="27"/>
      <c r="IL28" s="27"/>
      <c r="IM28" s="27"/>
      <c r="IN28" s="27"/>
      <c r="IO28" s="27"/>
      <c r="IP28" s="27"/>
      <c r="IQ28" s="27"/>
      <c r="IR28" s="27"/>
      <c r="IS28" s="27"/>
      <c r="IT28" s="27"/>
      <c r="IU28" s="27"/>
      <c r="IV28" s="27"/>
      <c r="IW28" s="27"/>
      <c r="IX28" s="27"/>
      <c r="IY28" s="27"/>
      <c r="IZ28" s="27"/>
      <c r="JA28" s="27"/>
    </row>
    <row r="29" spans="1:261" ht="12.75" customHeight="1" x14ac:dyDescent="0.25">
      <c r="A29" s="2092" t="s">
        <v>1392</v>
      </c>
      <c r="B29" s="2105" t="s">
        <v>21</v>
      </c>
      <c r="C29" s="2106"/>
      <c r="D29" s="2116" t="s">
        <v>494</v>
      </c>
      <c r="E29" s="2117"/>
      <c r="F29" s="2117"/>
      <c r="G29" s="2118"/>
      <c r="H29" s="2122" t="s">
        <v>22</v>
      </c>
      <c r="I29" s="2123"/>
      <c r="J29" s="2123"/>
      <c r="K29" s="2123"/>
      <c r="L29" s="110"/>
      <c r="M29" s="110"/>
      <c r="N29" s="110"/>
      <c r="O29" s="27"/>
      <c r="P29" s="27"/>
      <c r="Q29" s="27"/>
      <c r="R29" s="27"/>
      <c r="S29" s="27"/>
      <c r="T29" s="27"/>
      <c r="U29" s="27"/>
      <c r="V29" s="27"/>
      <c r="W29" s="27"/>
      <c r="X29" s="27"/>
      <c r="Y29" s="27"/>
      <c r="Z29" s="27"/>
      <c r="AA29" s="27"/>
      <c r="AB29" s="27"/>
      <c r="AC29" s="27"/>
      <c r="AD29" s="27"/>
      <c r="AE29" s="27"/>
      <c r="AF29" s="27"/>
      <c r="AG29" s="27"/>
      <c r="AH29" s="27"/>
      <c r="AI29" s="27"/>
      <c r="AJ29" s="27"/>
      <c r="AK29" s="27"/>
      <c r="AL29" s="27"/>
      <c r="AM29" s="27"/>
      <c r="AN29" s="27"/>
      <c r="AO29" s="27"/>
      <c r="AP29" s="27"/>
      <c r="AQ29" s="27"/>
      <c r="AR29" s="27"/>
      <c r="AS29" s="27"/>
      <c r="AT29" s="27"/>
      <c r="AU29" s="27"/>
      <c r="AV29" s="27"/>
      <c r="AW29" s="27"/>
      <c r="AX29" s="27"/>
      <c r="AY29" s="27"/>
      <c r="AZ29" s="27"/>
      <c r="BA29" s="27"/>
      <c r="BB29" s="27"/>
      <c r="BC29" s="27"/>
      <c r="BD29" s="27"/>
      <c r="BE29" s="27"/>
      <c r="BF29" s="27"/>
      <c r="BG29" s="27"/>
      <c r="BH29" s="27"/>
      <c r="BI29" s="27"/>
      <c r="BJ29" s="27"/>
      <c r="BK29" s="27"/>
      <c r="BL29" s="27"/>
      <c r="BM29" s="27"/>
      <c r="BN29" s="27"/>
      <c r="BO29" s="27"/>
      <c r="BP29" s="27"/>
      <c r="BQ29" s="27"/>
      <c r="BR29" s="27"/>
      <c r="BS29" s="27"/>
      <c r="BT29" s="27"/>
      <c r="BU29" s="27"/>
      <c r="BV29" s="27"/>
      <c r="BW29" s="27"/>
      <c r="BX29" s="27"/>
      <c r="BY29" s="27"/>
      <c r="BZ29" s="27"/>
      <c r="CA29" s="27"/>
      <c r="CB29" s="27"/>
      <c r="CC29" s="27"/>
      <c r="CD29" s="27"/>
      <c r="CE29" s="27"/>
      <c r="CF29" s="27"/>
      <c r="CG29" s="27"/>
      <c r="CH29" s="27"/>
      <c r="CI29" s="27"/>
      <c r="CJ29" s="27"/>
      <c r="CK29" s="27"/>
      <c r="CL29" s="27"/>
      <c r="CM29" s="27"/>
      <c r="CN29" s="27"/>
      <c r="CO29" s="27"/>
      <c r="CP29" s="27"/>
      <c r="CQ29" s="27"/>
      <c r="CR29" s="27"/>
      <c r="CS29" s="27"/>
      <c r="CT29" s="27"/>
      <c r="CU29" s="27"/>
      <c r="CV29" s="27"/>
      <c r="CW29" s="27"/>
      <c r="CX29" s="27"/>
      <c r="CY29" s="27"/>
      <c r="CZ29" s="27"/>
      <c r="DA29" s="27"/>
      <c r="DB29" s="27"/>
      <c r="DC29" s="27"/>
      <c r="DD29" s="27"/>
      <c r="DE29" s="27"/>
      <c r="DF29" s="27"/>
      <c r="DG29" s="27"/>
      <c r="DH29" s="27"/>
      <c r="DI29" s="27"/>
      <c r="DJ29" s="27"/>
      <c r="DK29" s="27"/>
      <c r="DL29" s="27"/>
      <c r="DM29" s="27"/>
      <c r="DN29" s="27"/>
      <c r="DO29" s="27"/>
      <c r="DP29" s="27"/>
      <c r="DQ29" s="27"/>
      <c r="DR29" s="27"/>
      <c r="DS29" s="27"/>
      <c r="DT29" s="27"/>
      <c r="DU29" s="27"/>
      <c r="DV29" s="27"/>
      <c r="DW29" s="27"/>
      <c r="DX29" s="27"/>
      <c r="DY29" s="27"/>
      <c r="DZ29" s="27"/>
      <c r="EA29" s="27"/>
      <c r="EB29" s="27"/>
      <c r="EC29" s="27"/>
      <c r="ED29" s="27"/>
      <c r="EE29" s="27"/>
      <c r="EF29" s="27"/>
      <c r="EG29" s="27"/>
      <c r="EH29" s="27"/>
      <c r="EI29" s="27"/>
      <c r="EJ29" s="27"/>
      <c r="EK29" s="27"/>
      <c r="EL29" s="27"/>
      <c r="EM29" s="27"/>
      <c r="EN29" s="27"/>
      <c r="EO29" s="27"/>
      <c r="EP29" s="27"/>
      <c r="EQ29" s="27"/>
      <c r="ER29" s="27"/>
      <c r="ES29" s="27"/>
      <c r="ET29" s="27"/>
      <c r="EU29" s="27"/>
      <c r="EV29" s="27"/>
      <c r="EW29" s="27"/>
      <c r="EX29" s="27"/>
      <c r="EY29" s="27"/>
      <c r="EZ29" s="27"/>
      <c r="FA29" s="27"/>
      <c r="FB29" s="27"/>
      <c r="FC29" s="27"/>
      <c r="FD29" s="27"/>
      <c r="FE29" s="27"/>
      <c r="FF29" s="27"/>
      <c r="FG29" s="27"/>
      <c r="FH29" s="27"/>
      <c r="FI29" s="27"/>
      <c r="FJ29" s="27"/>
      <c r="FK29" s="27"/>
      <c r="FL29" s="27"/>
      <c r="FM29" s="27"/>
      <c r="FN29" s="27"/>
      <c r="FO29" s="27"/>
      <c r="FP29" s="27"/>
      <c r="FQ29" s="27"/>
      <c r="FR29" s="27"/>
      <c r="FS29" s="27"/>
      <c r="FT29" s="27"/>
      <c r="FU29" s="27"/>
      <c r="FV29" s="27"/>
      <c r="FW29" s="27"/>
      <c r="FX29" s="27"/>
      <c r="FY29" s="27"/>
      <c r="FZ29" s="27"/>
      <c r="GA29" s="27"/>
      <c r="GB29" s="27"/>
      <c r="GC29" s="27"/>
      <c r="GD29" s="27"/>
      <c r="GE29" s="27"/>
      <c r="GF29" s="27"/>
      <c r="GG29" s="27"/>
      <c r="GH29" s="27"/>
      <c r="GI29" s="27"/>
      <c r="GJ29" s="27"/>
      <c r="GK29" s="27"/>
      <c r="GL29" s="27"/>
      <c r="GM29" s="27"/>
      <c r="GN29" s="27"/>
      <c r="GO29" s="27"/>
      <c r="GP29" s="27"/>
      <c r="GQ29" s="27"/>
      <c r="GR29" s="27"/>
      <c r="GS29" s="27"/>
      <c r="GT29" s="27"/>
      <c r="GU29" s="27"/>
      <c r="GV29" s="27"/>
      <c r="GW29" s="27"/>
      <c r="GX29" s="27"/>
      <c r="GY29" s="27"/>
      <c r="GZ29" s="27"/>
      <c r="HA29" s="27"/>
      <c r="HB29" s="27"/>
      <c r="HC29" s="27"/>
      <c r="HD29" s="27"/>
      <c r="HE29" s="27"/>
      <c r="HF29" s="27"/>
      <c r="HG29" s="27"/>
      <c r="HH29" s="27"/>
      <c r="HI29" s="27"/>
      <c r="HJ29" s="27"/>
      <c r="HK29" s="27"/>
      <c r="HL29" s="27"/>
      <c r="HM29" s="27"/>
      <c r="HN29" s="27"/>
      <c r="HO29" s="27"/>
      <c r="HP29" s="27"/>
      <c r="HQ29" s="27"/>
      <c r="HR29" s="27"/>
      <c r="HS29" s="27"/>
      <c r="HT29" s="27"/>
      <c r="HU29" s="27"/>
      <c r="HV29" s="27"/>
      <c r="HW29" s="27"/>
      <c r="HX29" s="27"/>
      <c r="HY29" s="27"/>
      <c r="HZ29" s="27"/>
      <c r="IA29" s="27"/>
      <c r="IB29" s="27"/>
      <c r="IC29" s="27"/>
      <c r="ID29" s="27"/>
      <c r="IE29" s="27"/>
      <c r="IF29" s="27"/>
      <c r="IG29" s="27"/>
      <c r="IH29" s="27"/>
      <c r="II29" s="27"/>
      <c r="IJ29" s="27"/>
      <c r="IK29" s="27"/>
      <c r="IL29" s="27"/>
      <c r="IM29" s="27"/>
      <c r="IN29" s="27"/>
      <c r="IO29" s="27"/>
      <c r="IP29" s="27"/>
      <c r="IQ29" s="27"/>
      <c r="IR29" s="27"/>
      <c r="IS29" s="27"/>
      <c r="IT29" s="27"/>
      <c r="IU29" s="27"/>
      <c r="IV29" s="27"/>
      <c r="IW29" s="27"/>
      <c r="IX29" s="27"/>
      <c r="IY29" s="27"/>
      <c r="IZ29" s="27"/>
      <c r="JA29" s="27"/>
    </row>
    <row r="30" spans="1:261" x14ac:dyDescent="0.25">
      <c r="A30" s="2093"/>
      <c r="B30" s="2107"/>
      <c r="C30" s="2108"/>
      <c r="D30" s="2119"/>
      <c r="E30" s="2120"/>
      <c r="F30" s="2120"/>
      <c r="G30" s="2121"/>
      <c r="H30" s="2124"/>
      <c r="I30" s="2125"/>
      <c r="J30" s="2125"/>
      <c r="K30" s="2125"/>
      <c r="L30" s="110"/>
      <c r="M30" s="110"/>
      <c r="N30" s="110"/>
      <c r="O30" s="27"/>
      <c r="P30" s="27"/>
      <c r="Q30" s="27"/>
      <c r="R30" s="27"/>
      <c r="S30" s="27"/>
      <c r="T30" s="27"/>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27"/>
      <c r="AS30" s="27"/>
      <c r="AT30" s="27"/>
      <c r="AU30" s="27"/>
      <c r="AV30" s="27"/>
      <c r="AW30" s="27"/>
      <c r="AX30" s="27"/>
      <c r="AY30" s="27"/>
      <c r="AZ30" s="27"/>
      <c r="BA30" s="27"/>
      <c r="BB30" s="27"/>
      <c r="BC30" s="27"/>
      <c r="BD30" s="27"/>
      <c r="BE30" s="27"/>
      <c r="BF30" s="27"/>
      <c r="BG30" s="27"/>
      <c r="BH30" s="27"/>
      <c r="BI30" s="27"/>
      <c r="BJ30" s="27"/>
      <c r="BK30" s="27"/>
      <c r="BL30" s="27"/>
      <c r="BM30" s="27"/>
      <c r="BN30" s="27"/>
      <c r="BO30" s="27"/>
      <c r="BP30" s="27"/>
      <c r="BQ30" s="27"/>
      <c r="BR30" s="27"/>
      <c r="BS30" s="27"/>
      <c r="BT30" s="27"/>
      <c r="BU30" s="27"/>
      <c r="BV30" s="27"/>
      <c r="BW30" s="27"/>
      <c r="BX30" s="27"/>
      <c r="BY30" s="27"/>
      <c r="BZ30" s="27"/>
      <c r="CA30" s="27"/>
      <c r="CB30" s="27"/>
      <c r="CC30" s="27"/>
      <c r="CD30" s="27"/>
      <c r="CE30" s="27"/>
      <c r="CF30" s="27"/>
      <c r="CG30" s="27"/>
      <c r="CH30" s="27"/>
      <c r="CI30" s="27"/>
      <c r="CJ30" s="27"/>
      <c r="CK30" s="27"/>
      <c r="CL30" s="27"/>
      <c r="CM30" s="27"/>
      <c r="CN30" s="27"/>
      <c r="CO30" s="27"/>
      <c r="CP30" s="27"/>
      <c r="CQ30" s="27"/>
      <c r="CR30" s="27"/>
      <c r="CS30" s="27"/>
      <c r="CT30" s="27"/>
      <c r="CU30" s="27"/>
      <c r="CV30" s="27"/>
      <c r="CW30" s="27"/>
      <c r="CX30" s="27"/>
      <c r="CY30" s="27"/>
      <c r="CZ30" s="27"/>
      <c r="DA30" s="27"/>
      <c r="DB30" s="27"/>
      <c r="DC30" s="27"/>
      <c r="DD30" s="27"/>
      <c r="DE30" s="27"/>
      <c r="DF30" s="27"/>
      <c r="DG30" s="27"/>
      <c r="DH30" s="27"/>
      <c r="DI30" s="27"/>
      <c r="DJ30" s="27"/>
      <c r="DK30" s="27"/>
      <c r="DL30" s="27"/>
      <c r="DM30" s="27"/>
      <c r="DN30" s="27"/>
      <c r="DO30" s="27"/>
      <c r="DP30" s="27"/>
      <c r="DQ30" s="27"/>
      <c r="DR30" s="27"/>
      <c r="DS30" s="27"/>
      <c r="DT30" s="27"/>
      <c r="DU30" s="27"/>
      <c r="DV30" s="27"/>
      <c r="DW30" s="27"/>
      <c r="DX30" s="27"/>
      <c r="DY30" s="27"/>
      <c r="DZ30" s="27"/>
      <c r="EA30" s="27"/>
      <c r="EB30" s="27"/>
      <c r="EC30" s="27"/>
      <c r="ED30" s="27"/>
      <c r="EE30" s="27"/>
      <c r="EF30" s="27"/>
      <c r="EG30" s="27"/>
      <c r="EH30" s="27"/>
      <c r="EI30" s="27"/>
      <c r="EJ30" s="27"/>
      <c r="EK30" s="27"/>
      <c r="EL30" s="27"/>
      <c r="EM30" s="27"/>
      <c r="EN30" s="27"/>
      <c r="EO30" s="27"/>
      <c r="EP30" s="27"/>
      <c r="EQ30" s="27"/>
      <c r="ER30" s="27"/>
      <c r="ES30" s="27"/>
      <c r="ET30" s="27"/>
      <c r="EU30" s="27"/>
      <c r="EV30" s="27"/>
      <c r="EW30" s="27"/>
      <c r="EX30" s="27"/>
      <c r="EY30" s="27"/>
      <c r="EZ30" s="27"/>
      <c r="FA30" s="27"/>
      <c r="FB30" s="27"/>
      <c r="FC30" s="27"/>
      <c r="FD30" s="27"/>
      <c r="FE30" s="27"/>
      <c r="FF30" s="27"/>
      <c r="FG30" s="27"/>
      <c r="FH30" s="27"/>
      <c r="FI30" s="27"/>
      <c r="FJ30" s="27"/>
      <c r="FK30" s="27"/>
      <c r="FL30" s="27"/>
      <c r="FM30" s="27"/>
      <c r="FN30" s="27"/>
      <c r="FO30" s="27"/>
      <c r="FP30" s="27"/>
      <c r="FQ30" s="27"/>
      <c r="FR30" s="27"/>
      <c r="FS30" s="27"/>
      <c r="FT30" s="27"/>
      <c r="FU30" s="27"/>
      <c r="FV30" s="27"/>
      <c r="FW30" s="27"/>
      <c r="FX30" s="27"/>
      <c r="FY30" s="27"/>
      <c r="FZ30" s="27"/>
      <c r="GA30" s="27"/>
      <c r="GB30" s="27"/>
      <c r="GC30" s="27"/>
      <c r="GD30" s="27"/>
      <c r="GE30" s="27"/>
      <c r="GF30" s="27"/>
      <c r="GG30" s="27"/>
      <c r="GH30" s="27"/>
      <c r="GI30" s="27"/>
      <c r="GJ30" s="27"/>
      <c r="GK30" s="27"/>
      <c r="GL30" s="27"/>
      <c r="GM30" s="27"/>
      <c r="GN30" s="27"/>
      <c r="GO30" s="27"/>
      <c r="GP30" s="27"/>
      <c r="GQ30" s="27"/>
      <c r="GR30" s="27"/>
      <c r="GS30" s="27"/>
      <c r="GT30" s="27"/>
      <c r="GU30" s="27"/>
      <c r="GV30" s="27"/>
      <c r="GW30" s="27"/>
      <c r="GX30" s="27"/>
      <c r="GY30" s="27"/>
      <c r="GZ30" s="27"/>
      <c r="HA30" s="27"/>
      <c r="HB30" s="27"/>
      <c r="HC30" s="27"/>
      <c r="HD30" s="27"/>
      <c r="HE30" s="27"/>
      <c r="HF30" s="27"/>
      <c r="HG30" s="27"/>
      <c r="HH30" s="27"/>
      <c r="HI30" s="27"/>
      <c r="HJ30" s="27"/>
      <c r="HK30" s="27"/>
      <c r="HL30" s="27"/>
      <c r="HM30" s="27"/>
      <c r="HN30" s="27"/>
      <c r="HO30" s="27"/>
      <c r="HP30" s="27"/>
      <c r="HQ30" s="27"/>
      <c r="HR30" s="27"/>
      <c r="HS30" s="27"/>
      <c r="HT30" s="27"/>
      <c r="HU30" s="27"/>
      <c r="HV30" s="27"/>
      <c r="HW30" s="27"/>
      <c r="HX30" s="27"/>
      <c r="HY30" s="27"/>
      <c r="HZ30" s="27"/>
      <c r="IA30" s="27"/>
      <c r="IB30" s="27"/>
      <c r="IC30" s="27"/>
      <c r="ID30" s="27"/>
      <c r="IE30" s="27"/>
      <c r="IF30" s="27"/>
      <c r="IG30" s="27"/>
      <c r="IH30" s="27"/>
      <c r="II30" s="27"/>
      <c r="IJ30" s="27"/>
      <c r="IK30" s="27"/>
      <c r="IL30" s="27"/>
      <c r="IM30" s="27"/>
      <c r="IN30" s="27"/>
      <c r="IO30" s="27"/>
      <c r="IP30" s="27"/>
      <c r="IQ30" s="27"/>
      <c r="IR30" s="27"/>
      <c r="IS30" s="27"/>
      <c r="IT30" s="27"/>
      <c r="IU30" s="27"/>
      <c r="IV30" s="27"/>
      <c r="IW30" s="27"/>
      <c r="IX30" s="27"/>
      <c r="IY30" s="27"/>
      <c r="IZ30" s="27"/>
      <c r="JA30" s="27"/>
    </row>
    <row r="31" spans="1:261" x14ac:dyDescent="0.25">
      <c r="A31" s="2093"/>
      <c r="B31" s="2107"/>
      <c r="C31" s="2108"/>
      <c r="D31" s="2094" t="s">
        <v>23</v>
      </c>
      <c r="E31" s="2095"/>
      <c r="F31" s="2094" t="s">
        <v>24</v>
      </c>
      <c r="G31" s="2095"/>
      <c r="H31" s="2094" t="s">
        <v>23</v>
      </c>
      <c r="I31" s="2113"/>
      <c r="J31" s="2114" t="s">
        <v>24</v>
      </c>
      <c r="K31" s="2115"/>
      <c r="L31" s="112"/>
      <c r="M31" s="112"/>
      <c r="N31" s="112"/>
      <c r="O31" s="27"/>
      <c r="P31" s="27"/>
      <c r="Q31" s="27"/>
      <c r="R31" s="27"/>
      <c r="S31" s="27"/>
      <c r="T31" s="27"/>
      <c r="U31" s="27"/>
      <c r="V31" s="27"/>
      <c r="W31" s="27"/>
      <c r="X31" s="27"/>
      <c r="Y31" s="27"/>
      <c r="Z31" s="27"/>
      <c r="AA31" s="27"/>
      <c r="AB31" s="27"/>
      <c r="AC31" s="27"/>
      <c r="AD31" s="27"/>
      <c r="AE31" s="27"/>
      <c r="AF31" s="27"/>
      <c r="AG31" s="27"/>
      <c r="AH31" s="27"/>
      <c r="AI31" s="27"/>
      <c r="AJ31" s="27"/>
      <c r="AK31" s="27"/>
      <c r="AL31" s="27"/>
      <c r="AM31" s="27"/>
      <c r="AN31" s="27"/>
      <c r="AO31" s="27"/>
      <c r="AP31" s="27"/>
      <c r="AQ31" s="27"/>
      <c r="AR31" s="27"/>
      <c r="AS31" s="27"/>
      <c r="AT31" s="27"/>
      <c r="AU31" s="27"/>
      <c r="AV31" s="27"/>
      <c r="AW31" s="27"/>
      <c r="AX31" s="27"/>
      <c r="AY31" s="27"/>
      <c r="AZ31" s="27"/>
      <c r="BA31" s="27"/>
      <c r="BB31" s="27"/>
      <c r="BC31" s="27"/>
      <c r="BD31" s="27"/>
      <c r="BE31" s="27"/>
      <c r="BF31" s="27"/>
      <c r="BG31" s="27"/>
      <c r="BH31" s="27"/>
      <c r="BI31" s="27"/>
      <c r="BJ31" s="27"/>
      <c r="BK31" s="27"/>
      <c r="BL31" s="27"/>
      <c r="BM31" s="27"/>
      <c r="BN31" s="27"/>
      <c r="BO31" s="27"/>
      <c r="BP31" s="27"/>
      <c r="BQ31" s="27"/>
      <c r="BR31" s="27"/>
      <c r="BS31" s="27"/>
      <c r="BT31" s="27"/>
      <c r="BU31" s="27"/>
      <c r="BV31" s="27"/>
      <c r="BW31" s="27"/>
      <c r="BX31" s="27"/>
      <c r="BY31" s="27"/>
      <c r="BZ31" s="27"/>
      <c r="CA31" s="27"/>
      <c r="CB31" s="27"/>
      <c r="CC31" s="27"/>
      <c r="CD31" s="27"/>
      <c r="CE31" s="27"/>
      <c r="CF31" s="27"/>
      <c r="CG31" s="27"/>
      <c r="CH31" s="27"/>
      <c r="CI31" s="27"/>
      <c r="CJ31" s="27"/>
      <c r="CK31" s="27"/>
      <c r="CL31" s="27"/>
      <c r="CM31" s="27"/>
      <c r="CN31" s="27"/>
      <c r="CO31" s="27"/>
      <c r="CP31" s="27"/>
      <c r="CQ31" s="27"/>
      <c r="CR31" s="27"/>
      <c r="CS31" s="27"/>
      <c r="CT31" s="27"/>
      <c r="CU31" s="27"/>
      <c r="CV31" s="27"/>
      <c r="CW31" s="27"/>
      <c r="CX31" s="27"/>
      <c r="CY31" s="27"/>
      <c r="CZ31" s="27"/>
      <c r="DA31" s="27"/>
      <c r="DB31" s="27"/>
      <c r="DC31" s="27"/>
      <c r="DD31" s="27"/>
      <c r="DE31" s="27"/>
      <c r="DF31" s="27"/>
      <c r="DG31" s="27"/>
      <c r="DH31" s="27"/>
      <c r="DI31" s="27"/>
      <c r="DJ31" s="27"/>
      <c r="DK31" s="27"/>
      <c r="DL31" s="27"/>
      <c r="DM31" s="27"/>
      <c r="DN31" s="27"/>
      <c r="DO31" s="27"/>
      <c r="DP31" s="27"/>
      <c r="DQ31" s="27"/>
      <c r="DR31" s="27"/>
      <c r="DS31" s="27"/>
      <c r="DT31" s="27"/>
      <c r="DU31" s="27"/>
      <c r="DV31" s="27"/>
      <c r="DW31" s="27"/>
      <c r="DX31" s="27"/>
      <c r="DY31" s="27"/>
      <c r="DZ31" s="27"/>
      <c r="EA31" s="27"/>
      <c r="EB31" s="27"/>
      <c r="EC31" s="27"/>
      <c r="ED31" s="27"/>
      <c r="EE31" s="27"/>
      <c r="EF31" s="27"/>
      <c r="EG31" s="27"/>
      <c r="EH31" s="27"/>
      <c r="EI31" s="27"/>
      <c r="EJ31" s="27"/>
      <c r="EK31" s="27"/>
      <c r="EL31" s="27"/>
      <c r="EM31" s="27"/>
      <c r="EN31" s="27"/>
      <c r="EO31" s="27"/>
      <c r="EP31" s="27"/>
      <c r="EQ31" s="27"/>
      <c r="ER31" s="27"/>
      <c r="ES31" s="27"/>
      <c r="ET31" s="27"/>
      <c r="EU31" s="27"/>
      <c r="EV31" s="27"/>
      <c r="EW31" s="27"/>
      <c r="EX31" s="27"/>
      <c r="EY31" s="27"/>
      <c r="EZ31" s="27"/>
      <c r="FA31" s="27"/>
      <c r="FB31" s="27"/>
      <c r="FC31" s="27"/>
      <c r="FD31" s="27"/>
      <c r="FE31" s="27"/>
      <c r="FF31" s="27"/>
      <c r="FG31" s="27"/>
      <c r="FH31" s="27"/>
      <c r="FI31" s="27"/>
      <c r="FJ31" s="27"/>
      <c r="FK31" s="27"/>
      <c r="FL31" s="27"/>
      <c r="FM31" s="27"/>
      <c r="FN31" s="27"/>
      <c r="FO31" s="27"/>
      <c r="FP31" s="27"/>
      <c r="FQ31" s="27"/>
      <c r="FR31" s="27"/>
      <c r="FS31" s="27"/>
      <c r="FT31" s="27"/>
      <c r="FU31" s="27"/>
      <c r="FV31" s="27"/>
      <c r="FW31" s="27"/>
      <c r="FX31" s="27"/>
      <c r="FY31" s="27"/>
      <c r="FZ31" s="27"/>
      <c r="GA31" s="27"/>
      <c r="GB31" s="27"/>
      <c r="GC31" s="27"/>
      <c r="GD31" s="27"/>
      <c r="GE31" s="27"/>
      <c r="GF31" s="27"/>
      <c r="GG31" s="27"/>
      <c r="GH31" s="27"/>
      <c r="GI31" s="27"/>
      <c r="GJ31" s="27"/>
      <c r="GK31" s="27"/>
      <c r="GL31" s="27"/>
      <c r="GM31" s="27"/>
      <c r="GN31" s="27"/>
      <c r="GO31" s="27"/>
      <c r="GP31" s="27"/>
      <c r="GQ31" s="27"/>
      <c r="GR31" s="27"/>
      <c r="GS31" s="27"/>
      <c r="GT31" s="27"/>
      <c r="GU31" s="27"/>
      <c r="GV31" s="27"/>
      <c r="GW31" s="27"/>
      <c r="GX31" s="27"/>
      <c r="GY31" s="27"/>
      <c r="GZ31" s="27"/>
      <c r="HA31" s="27"/>
      <c r="HB31" s="27"/>
      <c r="HC31" s="27"/>
      <c r="HD31" s="27"/>
      <c r="HE31" s="27"/>
      <c r="HF31" s="27"/>
      <c r="HG31" s="27"/>
      <c r="HH31" s="27"/>
      <c r="HI31" s="27"/>
      <c r="HJ31" s="27"/>
      <c r="HK31" s="27"/>
      <c r="HL31" s="27"/>
      <c r="HM31" s="27"/>
      <c r="HN31" s="27"/>
      <c r="HO31" s="27"/>
      <c r="HP31" s="27"/>
      <c r="HQ31" s="27"/>
      <c r="HR31" s="27"/>
      <c r="HS31" s="27"/>
      <c r="HT31" s="27"/>
      <c r="HU31" s="27"/>
      <c r="HV31" s="27"/>
      <c r="HW31" s="27"/>
      <c r="HX31" s="27"/>
      <c r="HY31" s="27"/>
      <c r="HZ31" s="27"/>
      <c r="IA31" s="27"/>
      <c r="IB31" s="27"/>
      <c r="IC31" s="27"/>
      <c r="ID31" s="27"/>
      <c r="IE31" s="27"/>
      <c r="IF31" s="27"/>
      <c r="IG31" s="27"/>
      <c r="IH31" s="27"/>
      <c r="II31" s="27"/>
      <c r="IJ31" s="27"/>
      <c r="IK31" s="27"/>
      <c r="IL31" s="27"/>
      <c r="IM31" s="27"/>
      <c r="IN31" s="27"/>
      <c r="IO31" s="27"/>
      <c r="IP31" s="27"/>
      <c r="IQ31" s="27"/>
      <c r="IR31" s="27"/>
      <c r="IS31" s="27"/>
      <c r="IT31" s="27"/>
      <c r="IU31" s="27"/>
      <c r="IV31" s="27"/>
      <c r="IW31" s="27"/>
      <c r="IX31" s="27"/>
      <c r="IY31" s="27"/>
      <c r="IZ31" s="27"/>
      <c r="JA31" s="27"/>
    </row>
    <row r="32" spans="1:261" x14ac:dyDescent="0.25">
      <c r="A32" s="1214"/>
      <c r="B32" s="2109"/>
      <c r="C32" s="2110"/>
      <c r="D32" s="1215" t="s">
        <v>16</v>
      </c>
      <c r="E32" s="1215" t="s">
        <v>11</v>
      </c>
      <c r="F32" s="1215" t="s">
        <v>16</v>
      </c>
      <c r="G32" s="1215" t="s">
        <v>11</v>
      </c>
      <c r="H32" s="1215" t="s">
        <v>16</v>
      </c>
      <c r="I32" s="1215" t="s">
        <v>11</v>
      </c>
      <c r="J32" s="1215" t="s">
        <v>16</v>
      </c>
      <c r="K32" s="1215" t="s">
        <v>11</v>
      </c>
      <c r="L32" s="104"/>
      <c r="M32" s="104"/>
      <c r="N32" s="104"/>
      <c r="O32" s="27"/>
      <c r="P32" s="27"/>
      <c r="Q32" s="27"/>
      <c r="R32" s="27"/>
      <c r="S32" s="27"/>
      <c r="T32" s="27"/>
      <c r="U32" s="27"/>
      <c r="V32" s="27"/>
      <c r="W32" s="27"/>
      <c r="X32" s="27"/>
      <c r="Y32" s="27"/>
      <c r="Z32" s="27"/>
      <c r="AA32" s="27"/>
      <c r="AB32" s="27"/>
      <c r="AC32" s="27"/>
      <c r="AD32" s="27"/>
      <c r="AE32" s="27"/>
      <c r="AF32" s="27"/>
      <c r="AG32" s="27"/>
      <c r="AH32" s="27"/>
      <c r="AI32" s="27"/>
      <c r="AJ32" s="27"/>
      <c r="AK32" s="27"/>
      <c r="AL32" s="27"/>
      <c r="AM32" s="27"/>
      <c r="AN32" s="27"/>
      <c r="AO32" s="27"/>
      <c r="AP32" s="27"/>
      <c r="AQ32" s="27"/>
      <c r="AR32" s="27"/>
      <c r="AS32" s="27"/>
      <c r="AT32" s="27"/>
      <c r="AU32" s="27"/>
      <c r="AV32" s="27"/>
      <c r="AW32" s="27"/>
      <c r="AX32" s="27"/>
      <c r="AY32" s="27"/>
      <c r="AZ32" s="27"/>
      <c r="BA32" s="27"/>
      <c r="BB32" s="27"/>
      <c r="BC32" s="27"/>
      <c r="BD32" s="27"/>
      <c r="BE32" s="27"/>
      <c r="BF32" s="27"/>
      <c r="BG32" s="27"/>
      <c r="BH32" s="27"/>
      <c r="BI32" s="27"/>
      <c r="BJ32" s="27"/>
      <c r="BK32" s="27"/>
      <c r="BL32" s="27"/>
      <c r="BM32" s="27"/>
      <c r="BN32" s="27"/>
      <c r="BO32" s="27"/>
      <c r="BP32" s="27"/>
      <c r="BQ32" s="27"/>
      <c r="BR32" s="27"/>
      <c r="BS32" s="27"/>
      <c r="BT32" s="27"/>
      <c r="BU32" s="27"/>
      <c r="BV32" s="27"/>
      <c r="BW32" s="27"/>
      <c r="BX32" s="27"/>
      <c r="BY32" s="27"/>
      <c r="BZ32" s="27"/>
      <c r="CA32" s="27"/>
      <c r="CB32" s="27"/>
      <c r="CC32" s="27"/>
      <c r="CD32" s="27"/>
      <c r="CE32" s="27"/>
      <c r="CF32" s="27"/>
      <c r="CG32" s="27"/>
      <c r="CH32" s="27"/>
      <c r="CI32" s="27"/>
      <c r="CJ32" s="27"/>
      <c r="CK32" s="27"/>
      <c r="CL32" s="27"/>
      <c r="CM32" s="27"/>
      <c r="CN32" s="27"/>
      <c r="CO32" s="27"/>
      <c r="CP32" s="27"/>
      <c r="CQ32" s="27"/>
      <c r="CR32" s="27"/>
      <c r="CS32" s="27"/>
      <c r="CT32" s="27"/>
      <c r="CU32" s="27"/>
      <c r="CV32" s="27"/>
      <c r="CW32" s="27"/>
      <c r="CX32" s="27"/>
      <c r="CY32" s="27"/>
      <c r="CZ32" s="27"/>
      <c r="DA32" s="27"/>
      <c r="DB32" s="27"/>
      <c r="DC32" s="27"/>
      <c r="DD32" s="27"/>
      <c r="DE32" s="27"/>
      <c r="DF32" s="27"/>
      <c r="DG32" s="27"/>
      <c r="DH32" s="27"/>
      <c r="DI32" s="27"/>
      <c r="DJ32" s="27"/>
      <c r="DK32" s="27"/>
      <c r="DL32" s="27"/>
      <c r="DM32" s="27"/>
      <c r="DN32" s="27"/>
      <c r="DO32" s="27"/>
      <c r="DP32" s="27"/>
      <c r="DQ32" s="27"/>
      <c r="DR32" s="27"/>
      <c r="DS32" s="27"/>
      <c r="DT32" s="27"/>
      <c r="DU32" s="27"/>
      <c r="DV32" s="27"/>
      <c r="DW32" s="27"/>
      <c r="DX32" s="27"/>
      <c r="DY32" s="27"/>
      <c r="DZ32" s="27"/>
      <c r="EA32" s="27"/>
      <c r="EB32" s="27"/>
      <c r="EC32" s="27"/>
      <c r="ED32" s="27"/>
      <c r="EE32" s="27"/>
      <c r="EF32" s="27"/>
      <c r="EG32" s="27"/>
      <c r="EH32" s="27"/>
      <c r="EI32" s="27"/>
      <c r="EJ32" s="27"/>
      <c r="EK32" s="27"/>
      <c r="EL32" s="27"/>
      <c r="EM32" s="27"/>
      <c r="EN32" s="27"/>
      <c r="EO32" s="27"/>
      <c r="EP32" s="27"/>
      <c r="EQ32" s="27"/>
      <c r="ER32" s="27"/>
      <c r="ES32" s="27"/>
      <c r="ET32" s="27"/>
      <c r="EU32" s="27"/>
      <c r="EV32" s="27"/>
      <c r="EW32" s="27"/>
      <c r="EX32" s="27"/>
      <c r="EY32" s="27"/>
      <c r="EZ32" s="27"/>
      <c r="FA32" s="27"/>
      <c r="FB32" s="27"/>
      <c r="FC32" s="27"/>
      <c r="FD32" s="27"/>
      <c r="FE32" s="27"/>
      <c r="FF32" s="27"/>
      <c r="FG32" s="27"/>
      <c r="FH32" s="27"/>
      <c r="FI32" s="27"/>
      <c r="FJ32" s="27"/>
      <c r="FK32" s="27"/>
      <c r="FL32" s="27"/>
      <c r="FM32" s="27"/>
      <c r="FN32" s="27"/>
      <c r="FO32" s="27"/>
      <c r="FP32" s="27"/>
      <c r="FQ32" s="27"/>
      <c r="FR32" s="27"/>
      <c r="FS32" s="27"/>
      <c r="FT32" s="27"/>
      <c r="FU32" s="27"/>
      <c r="FV32" s="27"/>
      <c r="FW32" s="27"/>
      <c r="FX32" s="27"/>
      <c r="FY32" s="27"/>
      <c r="FZ32" s="27"/>
      <c r="GA32" s="27"/>
      <c r="GB32" s="27"/>
      <c r="GC32" s="27"/>
      <c r="GD32" s="27"/>
      <c r="GE32" s="27"/>
      <c r="GF32" s="27"/>
      <c r="GG32" s="27"/>
      <c r="GH32" s="27"/>
      <c r="GI32" s="27"/>
      <c r="GJ32" s="27"/>
      <c r="GK32" s="27"/>
      <c r="GL32" s="27"/>
      <c r="GM32" s="27"/>
      <c r="GN32" s="27"/>
      <c r="GO32" s="27"/>
      <c r="GP32" s="27"/>
      <c r="GQ32" s="27"/>
      <c r="GR32" s="27"/>
      <c r="GS32" s="27"/>
      <c r="GT32" s="27"/>
      <c r="GU32" s="27"/>
      <c r="GV32" s="27"/>
      <c r="GW32" s="27"/>
      <c r="GX32" s="27"/>
      <c r="GY32" s="27"/>
      <c r="GZ32" s="27"/>
      <c r="HA32" s="27"/>
      <c r="HB32" s="27"/>
      <c r="HC32" s="27"/>
      <c r="HD32" s="27"/>
      <c r="HE32" s="27"/>
      <c r="HF32" s="27"/>
      <c r="HG32" s="27"/>
      <c r="HH32" s="27"/>
      <c r="HI32" s="27"/>
      <c r="HJ32" s="27"/>
      <c r="HK32" s="27"/>
      <c r="HL32" s="27"/>
      <c r="HM32" s="27"/>
      <c r="HN32" s="27"/>
      <c r="HO32" s="27"/>
      <c r="HP32" s="27"/>
      <c r="HQ32" s="27"/>
      <c r="HR32" s="27"/>
      <c r="HS32" s="27"/>
      <c r="HT32" s="27"/>
      <c r="HU32" s="27"/>
      <c r="HV32" s="27"/>
      <c r="HW32" s="27"/>
      <c r="HX32" s="27"/>
      <c r="HY32" s="27"/>
      <c r="HZ32" s="27"/>
      <c r="IA32" s="27"/>
      <c r="IB32" s="27"/>
      <c r="IC32" s="27"/>
      <c r="ID32" s="27"/>
      <c r="IE32" s="27"/>
      <c r="IF32" s="27"/>
      <c r="IG32" s="27"/>
      <c r="IH32" s="27"/>
      <c r="II32" s="27"/>
      <c r="IJ32" s="27"/>
      <c r="IK32" s="27"/>
      <c r="IL32" s="27"/>
      <c r="IM32" s="27"/>
      <c r="IN32" s="27"/>
      <c r="IO32" s="27"/>
      <c r="IP32" s="27"/>
      <c r="IQ32" s="27"/>
      <c r="IR32" s="27"/>
      <c r="IS32" s="27"/>
      <c r="IT32" s="27"/>
      <c r="IU32" s="27"/>
      <c r="IV32" s="27"/>
      <c r="IW32" s="27"/>
      <c r="IX32" s="27"/>
      <c r="IY32" s="27"/>
      <c r="IZ32" s="27"/>
      <c r="JA32" s="27"/>
    </row>
    <row r="33" spans="1:261" x14ac:dyDescent="0.25">
      <c r="A33" s="1211">
        <v>1</v>
      </c>
      <c r="B33" s="2111">
        <v>44681</v>
      </c>
      <c r="C33" s="2112"/>
      <c r="D33" s="1212">
        <f>+CALEND_!F33</f>
        <v>1994.0265400000001</v>
      </c>
      <c r="E33" s="1212">
        <f>+D33</f>
        <v>1994.0265400000001</v>
      </c>
      <c r="F33" s="1212">
        <f>+'CURVA S'!D22</f>
        <v>1994.0229999999997</v>
      </c>
      <c r="G33" s="1212">
        <f>+F33</f>
        <v>1994.0229999999997</v>
      </c>
      <c r="H33" s="1210">
        <f>ROUND(D33/$D$17,4)</f>
        <v>1E-4</v>
      </c>
      <c r="I33" s="1213">
        <f>+H33</f>
        <v>1E-4</v>
      </c>
      <c r="J33" s="1210">
        <f t="shared" ref="J33:J45" si="1">ROUND(F33/$D$17,4)</f>
        <v>1E-4</v>
      </c>
      <c r="K33" s="1209">
        <f>+J33</f>
        <v>1E-4</v>
      </c>
      <c r="L33" s="104"/>
      <c r="M33" s="104"/>
      <c r="N33" s="104"/>
      <c r="O33" s="27"/>
      <c r="P33" s="27"/>
      <c r="Q33" s="27"/>
      <c r="R33" s="27"/>
      <c r="S33" s="27"/>
      <c r="T33" s="27"/>
      <c r="U33" s="27"/>
      <c r="V33" s="27"/>
      <c r="W33" s="27"/>
      <c r="X33" s="27"/>
      <c r="Y33" s="27"/>
      <c r="Z33" s="27"/>
      <c r="AA33" s="27"/>
      <c r="AB33" s="27"/>
      <c r="AC33" s="27"/>
      <c r="AD33" s="27"/>
      <c r="AE33" s="27"/>
      <c r="AF33" s="27"/>
      <c r="AG33" s="27"/>
      <c r="AH33" s="27"/>
      <c r="AI33" s="27"/>
      <c r="AJ33" s="27"/>
      <c r="AK33" s="27"/>
      <c r="AL33" s="27"/>
      <c r="AM33" s="27"/>
      <c r="AN33" s="27"/>
      <c r="AO33" s="27"/>
      <c r="AP33" s="27"/>
      <c r="AQ33" s="27"/>
      <c r="AR33" s="27"/>
      <c r="AS33" s="27"/>
      <c r="AT33" s="27"/>
      <c r="AU33" s="27"/>
      <c r="AV33" s="27"/>
      <c r="AW33" s="27"/>
      <c r="AX33" s="27"/>
      <c r="AY33" s="27"/>
      <c r="AZ33" s="27"/>
      <c r="BA33" s="27"/>
      <c r="BB33" s="27"/>
      <c r="BC33" s="27"/>
      <c r="BD33" s="27"/>
      <c r="BE33" s="27"/>
      <c r="BF33" s="27"/>
      <c r="BG33" s="27"/>
      <c r="BH33" s="27"/>
      <c r="BI33" s="27"/>
      <c r="BJ33" s="27"/>
      <c r="BK33" s="27"/>
      <c r="BL33" s="27"/>
      <c r="BM33" s="27"/>
      <c r="BN33" s="27"/>
      <c r="BO33" s="27"/>
      <c r="BP33" s="27"/>
      <c r="BQ33" s="27"/>
      <c r="BR33" s="27"/>
      <c r="BS33" s="27"/>
      <c r="BT33" s="27"/>
      <c r="BU33" s="27"/>
      <c r="BV33" s="27"/>
      <c r="BW33" s="27"/>
      <c r="BX33" s="27"/>
      <c r="BY33" s="27"/>
      <c r="BZ33" s="27"/>
      <c r="CA33" s="27"/>
      <c r="CB33" s="27"/>
      <c r="CC33" s="27"/>
      <c r="CD33" s="27"/>
      <c r="CE33" s="27"/>
      <c r="CF33" s="27"/>
      <c r="CG33" s="27"/>
      <c r="CH33" s="27"/>
      <c r="CI33" s="27"/>
      <c r="CJ33" s="27"/>
      <c r="CK33" s="27"/>
      <c r="CL33" s="27"/>
      <c r="CM33" s="27"/>
      <c r="CN33" s="27"/>
      <c r="CO33" s="27"/>
      <c r="CP33" s="27"/>
      <c r="CQ33" s="27"/>
      <c r="CR33" s="27"/>
      <c r="CS33" s="27"/>
      <c r="CT33" s="27"/>
      <c r="CU33" s="27"/>
      <c r="CV33" s="27"/>
      <c r="CW33" s="27"/>
      <c r="CX33" s="27"/>
      <c r="CY33" s="27"/>
      <c r="CZ33" s="27"/>
      <c r="DA33" s="27"/>
      <c r="DB33" s="27"/>
      <c r="DC33" s="27"/>
      <c r="DD33" s="27"/>
      <c r="DE33" s="27"/>
      <c r="DF33" s="27"/>
      <c r="DG33" s="27"/>
      <c r="DH33" s="27"/>
      <c r="DI33" s="27"/>
      <c r="DJ33" s="27"/>
      <c r="DK33" s="27"/>
      <c r="DL33" s="27"/>
      <c r="DM33" s="27"/>
      <c r="DN33" s="27"/>
      <c r="DO33" s="27"/>
      <c r="DP33" s="27"/>
      <c r="DQ33" s="27"/>
      <c r="DR33" s="27"/>
      <c r="DS33" s="27"/>
      <c r="DT33" s="27"/>
      <c r="DU33" s="27"/>
      <c r="DV33" s="27"/>
      <c r="DW33" s="27"/>
      <c r="DX33" s="27"/>
      <c r="DY33" s="27"/>
      <c r="DZ33" s="27"/>
      <c r="EA33" s="27"/>
      <c r="EB33" s="27"/>
      <c r="EC33" s="27"/>
      <c r="ED33" s="27"/>
      <c r="EE33" s="27"/>
      <c r="EF33" s="27"/>
      <c r="EG33" s="27"/>
      <c r="EH33" s="27"/>
      <c r="EI33" s="27"/>
      <c r="EJ33" s="27"/>
      <c r="EK33" s="27"/>
      <c r="EL33" s="27"/>
      <c r="EM33" s="27"/>
      <c r="EN33" s="27"/>
      <c r="EO33" s="27"/>
      <c r="EP33" s="27"/>
      <c r="EQ33" s="27"/>
      <c r="ER33" s="27"/>
      <c r="ES33" s="27"/>
      <c r="ET33" s="27"/>
      <c r="EU33" s="27"/>
      <c r="EV33" s="27"/>
      <c r="EW33" s="27"/>
      <c r="EX33" s="27"/>
      <c r="EY33" s="27"/>
      <c r="EZ33" s="27"/>
      <c r="FA33" s="27"/>
      <c r="FB33" s="27"/>
      <c r="FC33" s="27"/>
      <c r="FD33" s="27"/>
      <c r="FE33" s="27"/>
      <c r="FF33" s="27"/>
      <c r="FG33" s="27"/>
      <c r="FH33" s="27"/>
      <c r="FI33" s="27"/>
      <c r="FJ33" s="27"/>
      <c r="FK33" s="27"/>
      <c r="FL33" s="27"/>
      <c r="FM33" s="27"/>
      <c r="FN33" s="27"/>
      <c r="FO33" s="27"/>
      <c r="FP33" s="27"/>
      <c r="FQ33" s="27"/>
      <c r="FR33" s="27"/>
      <c r="FS33" s="27"/>
      <c r="FT33" s="27"/>
      <c r="FU33" s="27"/>
      <c r="FV33" s="27"/>
      <c r="FW33" s="27"/>
      <c r="FX33" s="27"/>
      <c r="FY33" s="27"/>
      <c r="FZ33" s="27"/>
      <c r="GA33" s="27"/>
      <c r="GB33" s="27"/>
      <c r="GC33" s="27"/>
      <c r="GD33" s="27"/>
      <c r="GE33" s="27"/>
      <c r="GF33" s="27"/>
      <c r="GG33" s="27"/>
      <c r="GH33" s="27"/>
      <c r="GI33" s="27"/>
      <c r="GJ33" s="27"/>
      <c r="GK33" s="27"/>
      <c r="GL33" s="27"/>
      <c r="GM33" s="27"/>
      <c r="GN33" s="27"/>
      <c r="GO33" s="27"/>
      <c r="GP33" s="27"/>
      <c r="GQ33" s="27"/>
      <c r="GR33" s="27"/>
      <c r="GS33" s="27"/>
      <c r="GT33" s="27"/>
      <c r="GU33" s="27"/>
      <c r="GV33" s="27"/>
      <c r="GW33" s="27"/>
      <c r="GX33" s="27"/>
      <c r="GY33" s="27"/>
      <c r="GZ33" s="27"/>
      <c r="HA33" s="27"/>
      <c r="HB33" s="27"/>
      <c r="HC33" s="27"/>
      <c r="HD33" s="27"/>
      <c r="HE33" s="27"/>
      <c r="HF33" s="27"/>
      <c r="HG33" s="27"/>
      <c r="HH33" s="27"/>
      <c r="HI33" s="27"/>
      <c r="HJ33" s="27"/>
      <c r="HK33" s="27"/>
      <c r="HL33" s="27"/>
      <c r="HM33" s="27"/>
      <c r="HN33" s="27"/>
      <c r="HO33" s="27"/>
      <c r="HP33" s="27"/>
      <c r="HQ33" s="27"/>
      <c r="HR33" s="27"/>
      <c r="HS33" s="27"/>
      <c r="HT33" s="27"/>
      <c r="HU33" s="27"/>
      <c r="HV33" s="27"/>
      <c r="HW33" s="27"/>
      <c r="HX33" s="27"/>
      <c r="HY33" s="27"/>
      <c r="HZ33" s="27"/>
      <c r="IA33" s="27"/>
      <c r="IB33" s="27"/>
      <c r="IC33" s="27"/>
      <c r="ID33" s="27"/>
      <c r="IE33" s="27"/>
      <c r="IF33" s="27"/>
      <c r="IG33" s="27"/>
      <c r="IH33" s="27"/>
      <c r="II33" s="27"/>
      <c r="IJ33" s="27"/>
      <c r="IK33" s="27"/>
      <c r="IL33" s="27"/>
      <c r="IM33" s="27"/>
      <c r="IN33" s="27"/>
      <c r="IO33" s="27"/>
      <c r="IP33" s="27"/>
      <c r="IQ33" s="27"/>
      <c r="IR33" s="27"/>
      <c r="IS33" s="27"/>
      <c r="IT33" s="27"/>
      <c r="IU33" s="27"/>
      <c r="IV33" s="27"/>
      <c r="IW33" s="27"/>
      <c r="IX33" s="27"/>
      <c r="IY33" s="27"/>
      <c r="IZ33" s="27"/>
      <c r="JA33" s="27"/>
    </row>
    <row r="34" spans="1:261" x14ac:dyDescent="0.25">
      <c r="A34" s="1205">
        <f>+A33+1</f>
        <v>2</v>
      </c>
      <c r="B34" s="2100">
        <v>44712</v>
      </c>
      <c r="C34" s="2101"/>
      <c r="D34" s="1202">
        <f>+CALEND_!G33</f>
        <v>167932.07678263262</v>
      </c>
      <c r="E34" s="1207">
        <f>+E33+D34</f>
        <v>169926.10332263261</v>
      </c>
      <c r="F34" s="1202">
        <f>+'CURVA S'!E22</f>
        <v>167932.07759999999</v>
      </c>
      <c r="G34" s="1212">
        <f t="shared" ref="G34:G40" si="2">+G33+F34</f>
        <v>169926.10059999998</v>
      </c>
      <c r="H34" s="1203">
        <f>ROUND(D34/$J$25,4)</f>
        <v>9.4000000000000004E-3</v>
      </c>
      <c r="I34" s="1208">
        <f>+I33+H34</f>
        <v>9.4999999999999998E-3</v>
      </c>
      <c r="J34" s="1203">
        <f t="shared" si="1"/>
        <v>9.4000000000000004E-3</v>
      </c>
      <c r="K34" s="1204">
        <f t="shared" ref="K34:K39" si="3">+K33+J34</f>
        <v>9.4999999999999998E-3</v>
      </c>
      <c r="L34" s="104"/>
      <c r="M34" s="104"/>
      <c r="N34" s="104"/>
      <c r="O34" s="27"/>
      <c r="P34" s="27"/>
      <c r="Q34" s="27"/>
      <c r="R34" s="27"/>
      <c r="S34" s="27"/>
      <c r="T34" s="27"/>
      <c r="U34" s="27"/>
      <c r="V34" s="27"/>
      <c r="W34" s="27"/>
      <c r="X34" s="27"/>
      <c r="Y34" s="27"/>
      <c r="Z34" s="27"/>
      <c r="AA34" s="27"/>
      <c r="AB34" s="27"/>
      <c r="AC34" s="27"/>
      <c r="AD34" s="27"/>
      <c r="AE34" s="27"/>
      <c r="AF34" s="27"/>
      <c r="AG34" s="27"/>
      <c r="AH34" s="27"/>
      <c r="AI34" s="27"/>
      <c r="AJ34" s="27"/>
      <c r="AK34" s="27"/>
      <c r="AL34" s="27"/>
      <c r="AM34" s="27"/>
      <c r="AN34" s="27"/>
      <c r="AO34" s="27"/>
      <c r="AP34" s="27"/>
      <c r="AQ34" s="27"/>
      <c r="AR34" s="27"/>
      <c r="AS34" s="27"/>
      <c r="AT34" s="27"/>
      <c r="AU34" s="27"/>
      <c r="AV34" s="27"/>
      <c r="AW34" s="27"/>
      <c r="AX34" s="27"/>
      <c r="AY34" s="27"/>
      <c r="AZ34" s="27"/>
      <c r="BA34" s="27"/>
      <c r="BB34" s="27"/>
      <c r="BC34" s="27"/>
      <c r="BD34" s="27"/>
      <c r="BE34" s="27"/>
      <c r="BF34" s="27"/>
      <c r="BG34" s="27"/>
      <c r="BH34" s="27"/>
      <c r="BI34" s="27"/>
      <c r="BJ34" s="27"/>
      <c r="BK34" s="27"/>
      <c r="BL34" s="27"/>
      <c r="BM34" s="27"/>
      <c r="BN34" s="27"/>
      <c r="BO34" s="27"/>
      <c r="BP34" s="27"/>
      <c r="BQ34" s="27"/>
      <c r="BR34" s="27"/>
      <c r="BS34" s="27"/>
      <c r="BT34" s="27"/>
      <c r="BU34" s="27"/>
      <c r="BV34" s="27"/>
      <c r="BW34" s="27"/>
      <c r="BX34" s="27"/>
      <c r="BY34" s="27"/>
      <c r="BZ34" s="27"/>
      <c r="CA34" s="27"/>
      <c r="CB34" s="27"/>
      <c r="CC34" s="27"/>
      <c r="CD34" s="27"/>
      <c r="CE34" s="27"/>
      <c r="CF34" s="27"/>
      <c r="CG34" s="27"/>
      <c r="CH34" s="27"/>
      <c r="CI34" s="27"/>
      <c r="CJ34" s="27"/>
      <c r="CK34" s="27"/>
      <c r="CL34" s="27"/>
      <c r="CM34" s="27"/>
      <c r="CN34" s="27"/>
      <c r="CO34" s="27"/>
      <c r="CP34" s="27"/>
      <c r="CQ34" s="27"/>
      <c r="CR34" s="27"/>
      <c r="CS34" s="27"/>
      <c r="CT34" s="27"/>
      <c r="CU34" s="27"/>
      <c r="CV34" s="27"/>
      <c r="CW34" s="27"/>
      <c r="CX34" s="27"/>
      <c r="CY34" s="27"/>
      <c r="CZ34" s="27"/>
      <c r="DA34" s="27"/>
      <c r="DB34" s="27"/>
      <c r="DC34" s="27"/>
      <c r="DD34" s="27"/>
      <c r="DE34" s="27"/>
      <c r="DF34" s="27"/>
      <c r="DG34" s="27"/>
      <c r="DH34" s="27"/>
      <c r="DI34" s="27"/>
      <c r="DJ34" s="27"/>
      <c r="DK34" s="27"/>
      <c r="DL34" s="27"/>
      <c r="DM34" s="27"/>
      <c r="DN34" s="27"/>
      <c r="DO34" s="27"/>
      <c r="DP34" s="27"/>
      <c r="DQ34" s="27"/>
      <c r="DR34" s="27"/>
      <c r="DS34" s="27"/>
      <c r="DT34" s="27"/>
      <c r="DU34" s="27"/>
      <c r="DV34" s="27"/>
      <c r="DW34" s="27"/>
      <c r="DX34" s="27"/>
      <c r="DY34" s="27"/>
      <c r="DZ34" s="27"/>
      <c r="EA34" s="27"/>
      <c r="EB34" s="27"/>
      <c r="EC34" s="27"/>
      <c r="ED34" s="27"/>
      <c r="EE34" s="27"/>
      <c r="EF34" s="27"/>
      <c r="EG34" s="27"/>
      <c r="EH34" s="27"/>
      <c r="EI34" s="27"/>
      <c r="EJ34" s="27"/>
      <c r="EK34" s="27"/>
      <c r="EL34" s="27"/>
      <c r="EM34" s="27"/>
      <c r="EN34" s="27"/>
      <c r="EO34" s="27"/>
      <c r="EP34" s="27"/>
      <c r="EQ34" s="27"/>
      <c r="ER34" s="27"/>
      <c r="ES34" s="27"/>
      <c r="ET34" s="27"/>
      <c r="EU34" s="27"/>
      <c r="EV34" s="27"/>
      <c r="EW34" s="27"/>
      <c r="EX34" s="27"/>
      <c r="EY34" s="27"/>
      <c r="EZ34" s="27"/>
      <c r="FA34" s="27"/>
      <c r="FB34" s="27"/>
      <c r="FC34" s="27"/>
      <c r="FD34" s="27"/>
      <c r="FE34" s="27"/>
      <c r="FF34" s="27"/>
      <c r="FG34" s="27"/>
      <c r="FH34" s="27"/>
      <c r="FI34" s="27"/>
      <c r="FJ34" s="27"/>
      <c r="FK34" s="27"/>
      <c r="FL34" s="27"/>
      <c r="FM34" s="27"/>
      <c r="FN34" s="27"/>
      <c r="FO34" s="27"/>
      <c r="FP34" s="27"/>
      <c r="FQ34" s="27"/>
      <c r="FR34" s="27"/>
      <c r="FS34" s="27"/>
      <c r="FT34" s="27"/>
      <c r="FU34" s="27"/>
      <c r="FV34" s="27"/>
      <c r="FW34" s="27"/>
      <c r="FX34" s="27"/>
      <c r="FY34" s="27"/>
      <c r="FZ34" s="27"/>
      <c r="GA34" s="27"/>
      <c r="GB34" s="27"/>
      <c r="GC34" s="27"/>
      <c r="GD34" s="27"/>
      <c r="GE34" s="27"/>
      <c r="GF34" s="27"/>
      <c r="GG34" s="27"/>
      <c r="GH34" s="27"/>
      <c r="GI34" s="27"/>
      <c r="GJ34" s="27"/>
      <c r="GK34" s="27"/>
      <c r="GL34" s="27"/>
      <c r="GM34" s="27"/>
      <c r="GN34" s="27"/>
      <c r="GO34" s="27"/>
      <c r="GP34" s="27"/>
      <c r="GQ34" s="27"/>
      <c r="GR34" s="27"/>
      <c r="GS34" s="27"/>
      <c r="GT34" s="27"/>
      <c r="GU34" s="27"/>
      <c r="GV34" s="27"/>
      <c r="GW34" s="27"/>
      <c r="GX34" s="27"/>
      <c r="GY34" s="27"/>
      <c r="GZ34" s="27"/>
      <c r="HA34" s="27"/>
      <c r="HB34" s="27"/>
      <c r="HC34" s="27"/>
      <c r="HD34" s="27"/>
      <c r="HE34" s="27"/>
      <c r="HF34" s="27"/>
      <c r="HG34" s="27"/>
      <c r="HH34" s="27"/>
      <c r="HI34" s="27"/>
      <c r="HJ34" s="27"/>
      <c r="HK34" s="27"/>
      <c r="HL34" s="27"/>
      <c r="HM34" s="27"/>
      <c r="HN34" s="27"/>
      <c r="HO34" s="27"/>
      <c r="HP34" s="27"/>
      <c r="HQ34" s="27"/>
      <c r="HR34" s="27"/>
      <c r="HS34" s="27"/>
      <c r="HT34" s="27"/>
      <c r="HU34" s="27"/>
      <c r="HV34" s="27"/>
      <c r="HW34" s="27"/>
      <c r="HX34" s="27"/>
      <c r="HY34" s="27"/>
      <c r="HZ34" s="27"/>
      <c r="IA34" s="27"/>
      <c r="IB34" s="27"/>
      <c r="IC34" s="27"/>
      <c r="ID34" s="27"/>
      <c r="IE34" s="27"/>
      <c r="IF34" s="27"/>
      <c r="IG34" s="27"/>
      <c r="IH34" s="27"/>
      <c r="II34" s="27"/>
      <c r="IJ34" s="27"/>
      <c r="IK34" s="27"/>
      <c r="IL34" s="27"/>
      <c r="IM34" s="27"/>
      <c r="IN34" s="27"/>
      <c r="IO34" s="27"/>
      <c r="IP34" s="27"/>
      <c r="IQ34" s="27"/>
      <c r="IR34" s="27"/>
      <c r="IS34" s="27"/>
      <c r="IT34" s="27"/>
      <c r="IU34" s="27"/>
      <c r="IV34" s="27"/>
      <c r="IW34" s="27"/>
      <c r="IX34" s="27"/>
      <c r="IY34" s="27"/>
      <c r="IZ34" s="27"/>
      <c r="JA34" s="27"/>
    </row>
    <row r="35" spans="1:261" x14ac:dyDescent="0.25">
      <c r="A35" s="1205">
        <f t="shared" ref="A35:A47" si="4">+A34+1</f>
        <v>3</v>
      </c>
      <c r="B35" s="2103">
        <v>44742</v>
      </c>
      <c r="C35" s="2104"/>
      <c r="D35" s="1202">
        <f>+CALEND_!H33</f>
        <v>205472.9607050773</v>
      </c>
      <c r="E35" s="1207">
        <f t="shared" ref="E35:E45" si="5">+E34+D35</f>
        <v>375399.06402770989</v>
      </c>
      <c r="F35" s="1202">
        <f>+'CURVA S'!F22</f>
        <v>205472.96340000001</v>
      </c>
      <c r="G35" s="1212">
        <f t="shared" si="2"/>
        <v>375399.06400000001</v>
      </c>
      <c r="H35" s="1203">
        <f>ROUND(D35/$J$25,4)</f>
        <v>1.15E-2</v>
      </c>
      <c r="I35" s="1208">
        <f>+I34+H35</f>
        <v>2.0999999999999998E-2</v>
      </c>
      <c r="J35" s="1203">
        <f t="shared" si="1"/>
        <v>1.15E-2</v>
      </c>
      <c r="K35" s="1204">
        <f t="shared" si="3"/>
        <v>2.0999999999999998E-2</v>
      </c>
      <c r="L35" s="104"/>
      <c r="M35" s="104"/>
      <c r="N35" s="104"/>
      <c r="O35" s="27"/>
      <c r="P35" s="27"/>
      <c r="Q35" s="27"/>
      <c r="R35" s="27"/>
      <c r="S35" s="27"/>
      <c r="T35" s="27"/>
      <c r="U35" s="27"/>
      <c r="V35" s="27"/>
      <c r="W35" s="27"/>
      <c r="X35" s="27"/>
      <c r="Y35" s="27"/>
      <c r="Z35" s="27"/>
      <c r="AA35" s="27"/>
      <c r="AB35" s="27"/>
      <c r="AC35" s="27"/>
      <c r="AD35" s="27"/>
      <c r="AE35" s="27"/>
      <c r="AF35" s="27"/>
      <c r="AG35" s="27"/>
      <c r="AH35" s="27"/>
      <c r="AI35" s="27"/>
      <c r="AJ35" s="27"/>
      <c r="AK35" s="27"/>
      <c r="AL35" s="27"/>
      <c r="AM35" s="27"/>
      <c r="AN35" s="27"/>
      <c r="AO35" s="27"/>
      <c r="AP35" s="27"/>
      <c r="AQ35" s="27"/>
      <c r="AR35" s="27"/>
      <c r="AS35" s="27"/>
      <c r="AT35" s="27"/>
      <c r="AU35" s="27"/>
      <c r="AV35" s="27"/>
      <c r="AW35" s="27"/>
      <c r="AX35" s="27"/>
      <c r="AY35" s="27"/>
      <c r="AZ35" s="27"/>
      <c r="BA35" s="27"/>
      <c r="BB35" s="27"/>
      <c r="BC35" s="27"/>
      <c r="BD35" s="27"/>
      <c r="BE35" s="27"/>
      <c r="BF35" s="27"/>
      <c r="BG35" s="27"/>
      <c r="BH35" s="27"/>
      <c r="BI35" s="27"/>
      <c r="BJ35" s="27"/>
      <c r="BK35" s="27"/>
      <c r="BL35" s="27"/>
      <c r="BM35" s="27"/>
      <c r="BN35" s="27"/>
      <c r="BO35" s="27"/>
      <c r="BP35" s="27"/>
      <c r="BQ35" s="27"/>
      <c r="BR35" s="27"/>
      <c r="BS35" s="27"/>
      <c r="BT35" s="27"/>
      <c r="BU35" s="27"/>
      <c r="BV35" s="27"/>
      <c r="BW35" s="27"/>
      <c r="BX35" s="27"/>
      <c r="BY35" s="27"/>
      <c r="BZ35" s="27"/>
      <c r="CA35" s="27"/>
      <c r="CB35" s="27"/>
      <c r="CC35" s="27"/>
      <c r="CD35" s="27"/>
      <c r="CE35" s="27"/>
      <c r="CF35" s="27"/>
      <c r="CG35" s="27"/>
      <c r="CH35" s="27"/>
      <c r="CI35" s="27"/>
      <c r="CJ35" s="27"/>
      <c r="CK35" s="27"/>
      <c r="CL35" s="27"/>
      <c r="CM35" s="27"/>
      <c r="CN35" s="27"/>
      <c r="CO35" s="27"/>
      <c r="CP35" s="27"/>
      <c r="CQ35" s="27"/>
      <c r="CR35" s="27"/>
      <c r="CS35" s="27"/>
      <c r="CT35" s="27"/>
      <c r="CU35" s="27"/>
      <c r="CV35" s="27"/>
      <c r="CW35" s="27"/>
      <c r="CX35" s="27"/>
      <c r="CY35" s="27"/>
      <c r="CZ35" s="27"/>
      <c r="DA35" s="27"/>
      <c r="DB35" s="27"/>
      <c r="DC35" s="27"/>
      <c r="DD35" s="27"/>
      <c r="DE35" s="27"/>
      <c r="DF35" s="27"/>
      <c r="DG35" s="27"/>
      <c r="DH35" s="27"/>
      <c r="DI35" s="27"/>
      <c r="DJ35" s="27"/>
      <c r="DK35" s="27"/>
      <c r="DL35" s="27"/>
      <c r="DM35" s="27"/>
      <c r="DN35" s="27"/>
      <c r="DO35" s="27"/>
      <c r="DP35" s="27"/>
      <c r="DQ35" s="27"/>
      <c r="DR35" s="27"/>
      <c r="DS35" s="27"/>
      <c r="DT35" s="27"/>
      <c r="DU35" s="27"/>
      <c r="DV35" s="27"/>
      <c r="DW35" s="27"/>
      <c r="DX35" s="27"/>
      <c r="DY35" s="27"/>
      <c r="DZ35" s="27"/>
      <c r="EA35" s="27"/>
      <c r="EB35" s="27"/>
      <c r="EC35" s="27"/>
      <c r="ED35" s="27"/>
      <c r="EE35" s="27"/>
      <c r="EF35" s="27"/>
      <c r="EG35" s="27"/>
      <c r="EH35" s="27"/>
      <c r="EI35" s="27"/>
      <c r="EJ35" s="27"/>
      <c r="EK35" s="27"/>
      <c r="EL35" s="27"/>
      <c r="EM35" s="27"/>
      <c r="EN35" s="27"/>
      <c r="EO35" s="27"/>
      <c r="EP35" s="27"/>
      <c r="EQ35" s="27"/>
      <c r="ER35" s="27"/>
      <c r="ES35" s="27"/>
      <c r="ET35" s="27"/>
      <c r="EU35" s="27"/>
      <c r="EV35" s="27"/>
      <c r="EW35" s="27"/>
      <c r="EX35" s="27"/>
      <c r="EY35" s="27"/>
      <c r="EZ35" s="27"/>
      <c r="FA35" s="27"/>
      <c r="FB35" s="27"/>
      <c r="FC35" s="27"/>
      <c r="FD35" s="27"/>
      <c r="FE35" s="27"/>
      <c r="FF35" s="27"/>
      <c r="FG35" s="27"/>
      <c r="FH35" s="27"/>
      <c r="FI35" s="27"/>
      <c r="FJ35" s="27"/>
      <c r="FK35" s="27"/>
      <c r="FL35" s="27"/>
      <c r="FM35" s="27"/>
      <c r="FN35" s="27"/>
      <c r="FO35" s="27"/>
      <c r="FP35" s="27"/>
      <c r="FQ35" s="27"/>
      <c r="FR35" s="27"/>
      <c r="FS35" s="27"/>
      <c r="FT35" s="27"/>
      <c r="FU35" s="27"/>
      <c r="FV35" s="27"/>
      <c r="FW35" s="27"/>
      <c r="FX35" s="27"/>
      <c r="FY35" s="27"/>
      <c r="FZ35" s="27"/>
      <c r="GA35" s="27"/>
      <c r="GB35" s="27"/>
      <c r="GC35" s="27"/>
      <c r="GD35" s="27"/>
      <c r="GE35" s="27"/>
      <c r="GF35" s="27"/>
      <c r="GG35" s="27"/>
      <c r="GH35" s="27"/>
      <c r="GI35" s="27"/>
      <c r="GJ35" s="27"/>
      <c r="GK35" s="27"/>
      <c r="GL35" s="27"/>
      <c r="GM35" s="27"/>
      <c r="GN35" s="27"/>
      <c r="GO35" s="27"/>
      <c r="GP35" s="27"/>
      <c r="GQ35" s="27"/>
      <c r="GR35" s="27"/>
      <c r="GS35" s="27"/>
      <c r="GT35" s="27"/>
      <c r="GU35" s="27"/>
      <c r="GV35" s="27"/>
      <c r="GW35" s="27"/>
      <c r="GX35" s="27"/>
      <c r="GY35" s="27"/>
      <c r="GZ35" s="27"/>
      <c r="HA35" s="27"/>
      <c r="HB35" s="27"/>
      <c r="HC35" s="27"/>
      <c r="HD35" s="27"/>
      <c r="HE35" s="27"/>
      <c r="HF35" s="27"/>
      <c r="HG35" s="27"/>
      <c r="HH35" s="27"/>
      <c r="HI35" s="27"/>
      <c r="HJ35" s="27"/>
      <c r="HK35" s="27"/>
      <c r="HL35" s="27"/>
      <c r="HM35" s="27"/>
      <c r="HN35" s="27"/>
      <c r="HO35" s="27"/>
      <c r="HP35" s="27"/>
      <c r="HQ35" s="27"/>
      <c r="HR35" s="27"/>
      <c r="HS35" s="27"/>
      <c r="HT35" s="27"/>
      <c r="HU35" s="27"/>
      <c r="HV35" s="27"/>
      <c r="HW35" s="27"/>
      <c r="HX35" s="27"/>
      <c r="HY35" s="27"/>
      <c r="HZ35" s="27"/>
      <c r="IA35" s="27"/>
      <c r="IB35" s="27"/>
      <c r="IC35" s="27"/>
      <c r="ID35" s="27"/>
      <c r="IE35" s="27"/>
      <c r="IF35" s="27"/>
      <c r="IG35" s="27"/>
      <c r="IH35" s="27"/>
      <c r="II35" s="27"/>
      <c r="IJ35" s="27"/>
      <c r="IK35" s="27"/>
      <c r="IL35" s="27"/>
      <c r="IM35" s="27"/>
      <c r="IN35" s="27"/>
      <c r="IO35" s="27"/>
      <c r="IP35" s="27"/>
      <c r="IQ35" s="27"/>
      <c r="IR35" s="27"/>
      <c r="IS35" s="27"/>
      <c r="IT35" s="27"/>
      <c r="IU35" s="27"/>
      <c r="IV35" s="27"/>
      <c r="IW35" s="27"/>
      <c r="IX35" s="27"/>
      <c r="IY35" s="27"/>
      <c r="IZ35" s="27"/>
      <c r="JA35" s="27"/>
    </row>
    <row r="36" spans="1:261" x14ac:dyDescent="0.25">
      <c r="A36" s="1205">
        <f t="shared" si="4"/>
        <v>4</v>
      </c>
      <c r="B36" s="2103">
        <v>44773</v>
      </c>
      <c r="C36" s="2104"/>
      <c r="D36" s="1202">
        <f>+CALEND_!I33</f>
        <v>803227.70744939614</v>
      </c>
      <c r="E36" s="1207">
        <f t="shared" si="5"/>
        <v>1178626.771477106</v>
      </c>
      <c r="F36" s="1202">
        <f>+'CURVA S'!G22</f>
        <v>803227.71099999989</v>
      </c>
      <c r="G36" s="1212">
        <f t="shared" si="2"/>
        <v>1178626.7749999999</v>
      </c>
      <c r="H36" s="1203">
        <f t="shared" ref="H36:H45" si="6">ROUND(D36/$J$25,4)</f>
        <v>4.4900000000000002E-2</v>
      </c>
      <c r="I36" s="1208">
        <f t="shared" ref="I36:I45" si="7">+I35+H36</f>
        <v>6.59E-2</v>
      </c>
      <c r="J36" s="1203">
        <f t="shared" si="1"/>
        <v>4.4900000000000002E-2</v>
      </c>
      <c r="K36" s="1204">
        <f t="shared" si="3"/>
        <v>6.59E-2</v>
      </c>
      <c r="L36" s="104"/>
      <c r="M36" s="104"/>
      <c r="N36" s="144"/>
      <c r="O36" s="27"/>
      <c r="P36" s="27"/>
      <c r="Q36" s="27"/>
      <c r="R36" s="27"/>
      <c r="S36" s="27"/>
      <c r="T36" s="27"/>
      <c r="U36" s="27"/>
      <c r="V36" s="27"/>
      <c r="W36" s="27"/>
      <c r="X36" s="27"/>
      <c r="Y36" s="27"/>
      <c r="Z36" s="27"/>
      <c r="AA36" s="27"/>
      <c r="AB36" s="27"/>
      <c r="AC36" s="27"/>
      <c r="AD36" s="27"/>
      <c r="AE36" s="27"/>
      <c r="AF36" s="27"/>
      <c r="AG36" s="27"/>
      <c r="AH36" s="27"/>
      <c r="AI36" s="27"/>
      <c r="AJ36" s="27"/>
      <c r="AK36" s="27"/>
      <c r="AL36" s="27"/>
      <c r="AM36" s="27"/>
      <c r="AN36" s="27"/>
      <c r="AO36" s="27"/>
      <c r="AP36" s="27"/>
      <c r="AQ36" s="27"/>
      <c r="AR36" s="27"/>
      <c r="AS36" s="27"/>
      <c r="AT36" s="27"/>
      <c r="AU36" s="27"/>
      <c r="AV36" s="27"/>
      <c r="AW36" s="27"/>
      <c r="AX36" s="27"/>
      <c r="AY36" s="27"/>
      <c r="AZ36" s="27"/>
      <c r="BA36" s="27"/>
      <c r="BB36" s="27"/>
      <c r="BC36" s="27"/>
      <c r="BD36" s="27"/>
      <c r="BE36" s="27"/>
      <c r="BF36" s="27"/>
      <c r="BG36" s="27"/>
      <c r="BH36" s="27"/>
      <c r="BI36" s="27"/>
      <c r="BJ36" s="27"/>
      <c r="BK36" s="27"/>
      <c r="BL36" s="27"/>
      <c r="BM36" s="27"/>
      <c r="BN36" s="27"/>
      <c r="BO36" s="27"/>
      <c r="BP36" s="27"/>
      <c r="BQ36" s="27"/>
      <c r="BR36" s="27"/>
      <c r="BS36" s="27"/>
      <c r="BT36" s="27"/>
      <c r="BU36" s="27"/>
      <c r="BV36" s="27"/>
      <c r="BW36" s="27"/>
      <c r="BX36" s="27"/>
      <c r="BY36" s="27"/>
      <c r="BZ36" s="27"/>
      <c r="CA36" s="27"/>
      <c r="CB36" s="27"/>
      <c r="CC36" s="27"/>
      <c r="CD36" s="27"/>
      <c r="CE36" s="27"/>
      <c r="CF36" s="27"/>
      <c r="CG36" s="27"/>
      <c r="CH36" s="27"/>
      <c r="CI36" s="27"/>
      <c r="CJ36" s="27"/>
      <c r="CK36" s="27"/>
      <c r="CL36" s="27"/>
      <c r="CM36" s="27"/>
      <c r="CN36" s="27"/>
      <c r="CO36" s="27"/>
      <c r="CP36" s="27"/>
      <c r="CQ36" s="27"/>
      <c r="CR36" s="27"/>
      <c r="CS36" s="27"/>
      <c r="CT36" s="27"/>
      <c r="CU36" s="27"/>
      <c r="CV36" s="27"/>
      <c r="CW36" s="27"/>
      <c r="CX36" s="27"/>
      <c r="CY36" s="27"/>
      <c r="CZ36" s="27"/>
      <c r="DA36" s="27"/>
      <c r="DB36" s="27"/>
      <c r="DC36" s="27"/>
      <c r="DD36" s="27"/>
      <c r="DE36" s="27"/>
      <c r="DF36" s="27"/>
      <c r="DG36" s="27"/>
      <c r="DH36" s="27"/>
      <c r="DI36" s="27"/>
      <c r="DJ36" s="27"/>
      <c r="DK36" s="27"/>
      <c r="DL36" s="27"/>
      <c r="DM36" s="27"/>
      <c r="DN36" s="27"/>
      <c r="DO36" s="27"/>
      <c r="DP36" s="27"/>
      <c r="DQ36" s="27"/>
      <c r="DR36" s="27"/>
      <c r="DS36" s="27"/>
      <c r="DT36" s="27"/>
      <c r="DU36" s="27"/>
      <c r="DV36" s="27"/>
      <c r="DW36" s="27"/>
      <c r="DX36" s="27"/>
      <c r="DY36" s="27"/>
      <c r="DZ36" s="27"/>
      <c r="EA36" s="27"/>
      <c r="EB36" s="27"/>
      <c r="EC36" s="27"/>
      <c r="ED36" s="27"/>
      <c r="EE36" s="27"/>
      <c r="EF36" s="27"/>
      <c r="EG36" s="27"/>
      <c r="EH36" s="27"/>
      <c r="EI36" s="27"/>
      <c r="EJ36" s="27"/>
      <c r="EK36" s="27"/>
      <c r="EL36" s="27"/>
      <c r="EM36" s="27"/>
      <c r="EN36" s="27"/>
      <c r="EO36" s="27"/>
      <c r="EP36" s="27"/>
      <c r="EQ36" s="27"/>
      <c r="ER36" s="27"/>
      <c r="ES36" s="27"/>
      <c r="ET36" s="27"/>
      <c r="EU36" s="27"/>
      <c r="EV36" s="27"/>
      <c r="EW36" s="27"/>
      <c r="EX36" s="27"/>
      <c r="EY36" s="27"/>
      <c r="EZ36" s="27"/>
      <c r="FA36" s="27"/>
      <c r="FB36" s="27"/>
      <c r="FC36" s="27"/>
      <c r="FD36" s="27"/>
      <c r="FE36" s="27"/>
      <c r="FF36" s="27"/>
      <c r="FG36" s="27"/>
      <c r="FH36" s="27"/>
      <c r="FI36" s="27"/>
      <c r="FJ36" s="27"/>
      <c r="FK36" s="27"/>
      <c r="FL36" s="27"/>
      <c r="FM36" s="27"/>
      <c r="FN36" s="27"/>
      <c r="FO36" s="27"/>
      <c r="FP36" s="27"/>
      <c r="FQ36" s="27"/>
      <c r="FR36" s="27"/>
      <c r="FS36" s="27"/>
      <c r="FT36" s="27"/>
      <c r="FU36" s="27"/>
      <c r="FV36" s="27"/>
      <c r="FW36" s="27"/>
      <c r="FX36" s="27"/>
      <c r="FY36" s="27"/>
      <c r="FZ36" s="27"/>
      <c r="GA36" s="27"/>
      <c r="GB36" s="27"/>
      <c r="GC36" s="27"/>
      <c r="GD36" s="27"/>
      <c r="GE36" s="27"/>
      <c r="GF36" s="27"/>
      <c r="GG36" s="27"/>
      <c r="GH36" s="27"/>
      <c r="GI36" s="27"/>
      <c r="GJ36" s="27"/>
      <c r="GK36" s="27"/>
      <c r="GL36" s="27"/>
      <c r="GM36" s="27"/>
      <c r="GN36" s="27"/>
      <c r="GO36" s="27"/>
      <c r="GP36" s="27"/>
      <c r="GQ36" s="27"/>
      <c r="GR36" s="27"/>
      <c r="GS36" s="27"/>
      <c r="GT36" s="27"/>
      <c r="GU36" s="27"/>
      <c r="GV36" s="27"/>
      <c r="GW36" s="27"/>
      <c r="GX36" s="27"/>
      <c r="GY36" s="27"/>
      <c r="GZ36" s="27"/>
      <c r="HA36" s="27"/>
      <c r="HB36" s="27"/>
      <c r="HC36" s="27"/>
      <c r="HD36" s="27"/>
      <c r="HE36" s="27"/>
      <c r="HF36" s="27"/>
      <c r="HG36" s="27"/>
      <c r="HH36" s="27"/>
      <c r="HI36" s="27"/>
      <c r="HJ36" s="27"/>
      <c r="HK36" s="27"/>
      <c r="HL36" s="27"/>
      <c r="HM36" s="27"/>
      <c r="HN36" s="27"/>
      <c r="HO36" s="27"/>
      <c r="HP36" s="27"/>
      <c r="HQ36" s="27"/>
      <c r="HR36" s="27"/>
      <c r="HS36" s="27"/>
      <c r="HT36" s="27"/>
      <c r="HU36" s="27"/>
      <c r="HV36" s="27"/>
      <c r="HW36" s="27"/>
      <c r="HX36" s="27"/>
      <c r="HY36" s="27"/>
      <c r="HZ36" s="27"/>
      <c r="IA36" s="27"/>
      <c r="IB36" s="27"/>
      <c r="IC36" s="27"/>
      <c r="ID36" s="27"/>
      <c r="IE36" s="27"/>
      <c r="IF36" s="27"/>
      <c r="IG36" s="27"/>
      <c r="IH36" s="27"/>
      <c r="II36" s="27"/>
      <c r="IJ36" s="27"/>
      <c r="IK36" s="27"/>
      <c r="IL36" s="27"/>
      <c r="IM36" s="27"/>
      <c r="IN36" s="27"/>
      <c r="IO36" s="27"/>
      <c r="IP36" s="27"/>
      <c r="IQ36" s="27"/>
      <c r="IR36" s="27"/>
      <c r="IS36" s="27"/>
      <c r="IT36" s="27"/>
      <c r="IU36" s="27"/>
      <c r="IV36" s="27"/>
      <c r="IW36" s="27"/>
      <c r="IX36" s="27"/>
      <c r="IY36" s="27"/>
      <c r="IZ36" s="27"/>
      <c r="JA36" s="27"/>
    </row>
    <row r="37" spans="1:261" x14ac:dyDescent="0.25">
      <c r="A37" s="1205">
        <f t="shared" si="4"/>
        <v>5</v>
      </c>
      <c r="B37" s="2103">
        <v>44804</v>
      </c>
      <c r="C37" s="2104"/>
      <c r="D37" s="1202">
        <f>+CALEND_!J33</f>
        <v>1841216.7080780719</v>
      </c>
      <c r="E37" s="1207">
        <f t="shared" si="5"/>
        <v>3019843.479555178</v>
      </c>
      <c r="F37" s="1202">
        <f>VAL_RES.!I88</f>
        <v>1841216.7169999997</v>
      </c>
      <c r="G37" s="1212">
        <f t="shared" si="2"/>
        <v>3019843.4919999996</v>
      </c>
      <c r="H37" s="1203">
        <f>ROUND(D37/$J$25,4)</f>
        <v>0.10299999999999999</v>
      </c>
      <c r="I37" s="1208">
        <f>+I36+H37</f>
        <v>0.16889999999999999</v>
      </c>
      <c r="J37" s="1203">
        <f t="shared" si="1"/>
        <v>0.10299999999999999</v>
      </c>
      <c r="K37" s="1204">
        <f t="shared" si="3"/>
        <v>0.16889999999999999</v>
      </c>
      <c r="L37" s="104"/>
      <c r="M37" s="104"/>
      <c r="N37" s="104"/>
      <c r="O37" s="27"/>
      <c r="P37" s="27"/>
      <c r="Q37" s="27"/>
      <c r="R37" s="27"/>
      <c r="S37" s="27"/>
      <c r="T37" s="27"/>
      <c r="U37" s="27"/>
      <c r="V37" s="27"/>
      <c r="W37" s="27"/>
      <c r="X37" s="27"/>
      <c r="Y37" s="27"/>
      <c r="Z37" s="27"/>
      <c r="AA37" s="27"/>
      <c r="AB37" s="27"/>
      <c r="AC37" s="27"/>
      <c r="AD37" s="27"/>
      <c r="AE37" s="27"/>
      <c r="AF37" s="27"/>
      <c r="AG37" s="27"/>
      <c r="AH37" s="27"/>
      <c r="AI37" s="27"/>
      <c r="AJ37" s="27"/>
      <c r="AK37" s="27"/>
      <c r="AL37" s="27"/>
      <c r="AM37" s="27"/>
      <c r="AN37" s="27"/>
      <c r="AO37" s="27"/>
      <c r="AP37" s="27"/>
      <c r="AQ37" s="27"/>
      <c r="AR37" s="27"/>
      <c r="AS37" s="27"/>
      <c r="AT37" s="27"/>
      <c r="AU37" s="27"/>
      <c r="AV37" s="27"/>
      <c r="AW37" s="27"/>
      <c r="AX37" s="27"/>
      <c r="AY37" s="27"/>
      <c r="AZ37" s="27"/>
      <c r="BA37" s="27"/>
      <c r="BB37" s="27"/>
      <c r="BC37" s="27"/>
      <c r="BD37" s="27"/>
      <c r="BE37" s="27"/>
      <c r="BF37" s="27"/>
      <c r="BG37" s="27"/>
      <c r="BH37" s="27"/>
      <c r="BI37" s="27"/>
      <c r="BJ37" s="27"/>
      <c r="BK37" s="27"/>
      <c r="BL37" s="27"/>
      <c r="BM37" s="27"/>
      <c r="BN37" s="27"/>
      <c r="BO37" s="27"/>
      <c r="BP37" s="27"/>
      <c r="BQ37" s="27"/>
      <c r="BR37" s="27"/>
      <c r="BS37" s="27"/>
      <c r="BT37" s="27"/>
      <c r="BU37" s="27"/>
      <c r="BV37" s="27"/>
      <c r="BW37" s="27"/>
      <c r="BX37" s="27"/>
      <c r="BY37" s="27"/>
      <c r="BZ37" s="27"/>
      <c r="CA37" s="27"/>
      <c r="CB37" s="27"/>
      <c r="CC37" s="27"/>
      <c r="CD37" s="27"/>
      <c r="CE37" s="27"/>
      <c r="CF37" s="27"/>
      <c r="CG37" s="27"/>
      <c r="CH37" s="27"/>
      <c r="CI37" s="27"/>
      <c r="CJ37" s="27"/>
      <c r="CK37" s="27"/>
      <c r="CL37" s="27"/>
      <c r="CM37" s="27"/>
      <c r="CN37" s="27"/>
      <c r="CO37" s="27"/>
      <c r="CP37" s="27"/>
      <c r="CQ37" s="27"/>
      <c r="CR37" s="27"/>
      <c r="CS37" s="27"/>
      <c r="CT37" s="27"/>
      <c r="CU37" s="27"/>
      <c r="CV37" s="27"/>
      <c r="CW37" s="27"/>
      <c r="CX37" s="27"/>
      <c r="CY37" s="27"/>
      <c r="CZ37" s="27"/>
      <c r="DA37" s="27"/>
      <c r="DB37" s="27"/>
      <c r="DC37" s="27"/>
      <c r="DD37" s="27"/>
      <c r="DE37" s="27"/>
      <c r="DF37" s="27"/>
      <c r="DG37" s="27"/>
      <c r="DH37" s="27"/>
      <c r="DI37" s="27"/>
      <c r="DJ37" s="27"/>
      <c r="DK37" s="27"/>
      <c r="DL37" s="27"/>
      <c r="DM37" s="27"/>
      <c r="DN37" s="27"/>
      <c r="DO37" s="27"/>
      <c r="DP37" s="27"/>
      <c r="DQ37" s="27"/>
      <c r="DR37" s="27"/>
      <c r="DS37" s="27"/>
      <c r="DT37" s="27"/>
      <c r="DU37" s="27"/>
      <c r="DV37" s="27"/>
      <c r="DW37" s="27"/>
      <c r="DX37" s="27"/>
      <c r="DY37" s="27"/>
      <c r="DZ37" s="27"/>
      <c r="EA37" s="27"/>
      <c r="EB37" s="27"/>
      <c r="EC37" s="27"/>
      <c r="ED37" s="27"/>
      <c r="EE37" s="27"/>
      <c r="EF37" s="27"/>
      <c r="EG37" s="27"/>
      <c r="EH37" s="27"/>
      <c r="EI37" s="27"/>
      <c r="EJ37" s="27"/>
      <c r="EK37" s="27"/>
      <c r="EL37" s="27"/>
      <c r="EM37" s="27"/>
      <c r="EN37" s="27"/>
      <c r="EO37" s="27"/>
      <c r="EP37" s="27"/>
      <c r="EQ37" s="27"/>
      <c r="ER37" s="27"/>
      <c r="ES37" s="27"/>
      <c r="ET37" s="27"/>
      <c r="EU37" s="27"/>
      <c r="EV37" s="27"/>
      <c r="EW37" s="27"/>
      <c r="EX37" s="27"/>
      <c r="EY37" s="27"/>
      <c r="EZ37" s="27"/>
      <c r="FA37" s="27"/>
      <c r="FB37" s="27"/>
      <c r="FC37" s="27"/>
      <c r="FD37" s="27"/>
      <c r="FE37" s="27"/>
      <c r="FF37" s="27"/>
      <c r="FG37" s="27"/>
      <c r="FH37" s="27"/>
      <c r="FI37" s="27"/>
      <c r="FJ37" s="27"/>
      <c r="FK37" s="27"/>
      <c r="FL37" s="27"/>
      <c r="FM37" s="27"/>
      <c r="FN37" s="27"/>
      <c r="FO37" s="27"/>
      <c r="FP37" s="27"/>
      <c r="FQ37" s="27"/>
      <c r="FR37" s="27"/>
      <c r="FS37" s="27"/>
      <c r="FT37" s="27"/>
      <c r="FU37" s="27"/>
      <c r="FV37" s="27"/>
      <c r="FW37" s="27"/>
      <c r="FX37" s="27"/>
      <c r="FY37" s="27"/>
      <c r="FZ37" s="27"/>
      <c r="GA37" s="27"/>
      <c r="GB37" s="27"/>
      <c r="GC37" s="27"/>
      <c r="GD37" s="27"/>
      <c r="GE37" s="27"/>
      <c r="GF37" s="27"/>
      <c r="GG37" s="27"/>
      <c r="GH37" s="27"/>
      <c r="GI37" s="27"/>
      <c r="GJ37" s="27"/>
      <c r="GK37" s="27"/>
      <c r="GL37" s="27"/>
      <c r="GM37" s="27"/>
      <c r="GN37" s="27"/>
      <c r="GO37" s="27"/>
      <c r="GP37" s="27"/>
      <c r="GQ37" s="27"/>
      <c r="GR37" s="27"/>
      <c r="GS37" s="27"/>
      <c r="GT37" s="27"/>
      <c r="GU37" s="27"/>
      <c r="GV37" s="27"/>
      <c r="GW37" s="27"/>
      <c r="GX37" s="27"/>
      <c r="GY37" s="27"/>
      <c r="GZ37" s="27"/>
      <c r="HA37" s="27"/>
      <c r="HB37" s="27"/>
      <c r="HC37" s="27"/>
      <c r="HD37" s="27"/>
      <c r="HE37" s="27"/>
      <c r="HF37" s="27"/>
      <c r="HG37" s="27"/>
      <c r="HH37" s="27"/>
      <c r="HI37" s="27"/>
      <c r="HJ37" s="27"/>
      <c r="HK37" s="27"/>
      <c r="HL37" s="27"/>
      <c r="HM37" s="27"/>
      <c r="HN37" s="27"/>
      <c r="HO37" s="27"/>
      <c r="HP37" s="27"/>
      <c r="HQ37" s="27"/>
      <c r="HR37" s="27"/>
      <c r="HS37" s="27"/>
      <c r="HT37" s="27"/>
      <c r="HU37" s="27"/>
      <c r="HV37" s="27"/>
      <c r="HW37" s="27"/>
      <c r="HX37" s="27"/>
      <c r="HY37" s="27"/>
      <c r="HZ37" s="27"/>
      <c r="IA37" s="27"/>
      <c r="IB37" s="27"/>
      <c r="IC37" s="27"/>
      <c r="ID37" s="27"/>
      <c r="IE37" s="27"/>
      <c r="IF37" s="27"/>
      <c r="IG37" s="27"/>
      <c r="IH37" s="27"/>
      <c r="II37" s="27"/>
      <c r="IJ37" s="27"/>
      <c r="IK37" s="27"/>
      <c r="IL37" s="27"/>
      <c r="IM37" s="27"/>
      <c r="IN37" s="27"/>
      <c r="IO37" s="27"/>
      <c r="IP37" s="27"/>
      <c r="IQ37" s="27"/>
      <c r="IR37" s="27"/>
      <c r="IS37" s="27"/>
      <c r="IT37" s="27"/>
      <c r="IU37" s="27"/>
      <c r="IV37" s="27"/>
      <c r="IW37" s="27"/>
      <c r="IX37" s="27"/>
      <c r="IY37" s="27"/>
      <c r="IZ37" s="27"/>
      <c r="JA37" s="27"/>
    </row>
    <row r="38" spans="1:261" x14ac:dyDescent="0.25">
      <c r="A38" s="1205">
        <f t="shared" si="4"/>
        <v>6</v>
      </c>
      <c r="B38" s="2100">
        <v>44834</v>
      </c>
      <c r="C38" s="2101"/>
      <c r="D38" s="1202">
        <f>+CALEND_!K33</f>
        <v>1969783.1343799999</v>
      </c>
      <c r="E38" s="1207">
        <f t="shared" si="5"/>
        <v>4989626.6139351781</v>
      </c>
      <c r="F38" s="1667">
        <f>'[2]PUENTE CCANCHI'!J129</f>
        <v>1969783.13</v>
      </c>
      <c r="G38" s="1212">
        <f t="shared" si="2"/>
        <v>4989626.6219999995</v>
      </c>
      <c r="H38" s="1203">
        <f t="shared" si="6"/>
        <v>0.11020000000000001</v>
      </c>
      <c r="I38" s="1208">
        <f t="shared" si="7"/>
        <v>0.27910000000000001</v>
      </c>
      <c r="J38" s="1203">
        <f t="shared" si="1"/>
        <v>0.11020000000000001</v>
      </c>
      <c r="K38" s="1204">
        <f t="shared" si="3"/>
        <v>0.27910000000000001</v>
      </c>
      <c r="L38" s="104"/>
      <c r="M38" s="104"/>
      <c r="N38" s="104"/>
      <c r="O38" s="27"/>
      <c r="P38" s="27"/>
      <c r="Q38" s="27"/>
      <c r="R38" s="27"/>
      <c r="S38" s="27"/>
      <c r="T38" s="27"/>
      <c r="U38" s="27"/>
      <c r="V38" s="27"/>
      <c r="W38" s="27"/>
      <c r="X38" s="27"/>
      <c r="Y38" s="27"/>
      <c r="Z38" s="27"/>
      <c r="AA38" s="27"/>
      <c r="AB38" s="27"/>
      <c r="AC38" s="27"/>
      <c r="AD38" s="27"/>
      <c r="AE38" s="27"/>
      <c r="AF38" s="27"/>
      <c r="AG38" s="27"/>
      <c r="AH38" s="27"/>
      <c r="AI38" s="27"/>
      <c r="AJ38" s="27"/>
      <c r="AK38" s="27"/>
      <c r="AL38" s="27"/>
      <c r="AM38" s="27"/>
      <c r="AN38" s="27"/>
      <c r="AO38" s="27"/>
      <c r="AP38" s="27"/>
      <c r="AQ38" s="27"/>
      <c r="AR38" s="27"/>
      <c r="AS38" s="27"/>
      <c r="AT38" s="27"/>
      <c r="AU38" s="27"/>
      <c r="AV38" s="27"/>
      <c r="AW38" s="27"/>
      <c r="AX38" s="27"/>
      <c r="AY38" s="27"/>
      <c r="AZ38" s="27"/>
      <c r="BA38" s="27"/>
      <c r="BB38" s="27"/>
      <c r="BC38" s="27"/>
      <c r="BD38" s="27"/>
      <c r="BE38" s="27"/>
      <c r="BF38" s="27"/>
      <c r="BG38" s="27"/>
      <c r="BH38" s="27"/>
      <c r="BI38" s="27"/>
      <c r="BJ38" s="27"/>
      <c r="BK38" s="27"/>
      <c r="BL38" s="27"/>
      <c r="BM38" s="27"/>
      <c r="BN38" s="27"/>
      <c r="BO38" s="27"/>
      <c r="BP38" s="27"/>
      <c r="BQ38" s="27"/>
      <c r="BR38" s="27"/>
      <c r="BS38" s="27"/>
      <c r="BT38" s="27"/>
      <c r="BU38" s="27"/>
      <c r="BV38" s="27"/>
      <c r="BW38" s="27"/>
      <c r="BX38" s="27"/>
      <c r="BY38" s="27"/>
      <c r="BZ38" s="27"/>
      <c r="CA38" s="27"/>
      <c r="CB38" s="27"/>
      <c r="CC38" s="27"/>
      <c r="CD38" s="27"/>
      <c r="CE38" s="27"/>
      <c r="CF38" s="27"/>
      <c r="CG38" s="27"/>
      <c r="CH38" s="27"/>
      <c r="CI38" s="27"/>
      <c r="CJ38" s="27"/>
      <c r="CK38" s="27"/>
      <c r="CL38" s="27"/>
      <c r="CM38" s="27"/>
      <c r="CN38" s="27"/>
      <c r="CO38" s="27"/>
      <c r="CP38" s="27"/>
      <c r="CQ38" s="27"/>
      <c r="CR38" s="27"/>
      <c r="CS38" s="27"/>
      <c r="CT38" s="27"/>
      <c r="CU38" s="27"/>
      <c r="CV38" s="27"/>
      <c r="CW38" s="27"/>
      <c r="CX38" s="27"/>
      <c r="CY38" s="27"/>
      <c r="CZ38" s="27"/>
      <c r="DA38" s="27"/>
      <c r="DB38" s="27"/>
      <c r="DC38" s="27"/>
      <c r="DD38" s="27"/>
      <c r="DE38" s="27"/>
      <c r="DF38" s="27"/>
      <c r="DG38" s="27"/>
      <c r="DH38" s="27"/>
      <c r="DI38" s="27"/>
      <c r="DJ38" s="27"/>
      <c r="DK38" s="27"/>
      <c r="DL38" s="27"/>
      <c r="DM38" s="27"/>
      <c r="DN38" s="27"/>
      <c r="DO38" s="27"/>
      <c r="DP38" s="27"/>
      <c r="DQ38" s="27"/>
      <c r="DR38" s="27"/>
      <c r="DS38" s="27"/>
      <c r="DT38" s="27"/>
      <c r="DU38" s="27"/>
      <c r="DV38" s="27"/>
      <c r="DW38" s="27"/>
      <c r="DX38" s="27"/>
      <c r="DY38" s="27"/>
      <c r="DZ38" s="27"/>
      <c r="EA38" s="27"/>
      <c r="EB38" s="27"/>
      <c r="EC38" s="27"/>
      <c r="ED38" s="27"/>
      <c r="EE38" s="27"/>
      <c r="EF38" s="27"/>
      <c r="EG38" s="27"/>
      <c r="EH38" s="27"/>
      <c r="EI38" s="27"/>
      <c r="EJ38" s="27"/>
      <c r="EK38" s="27"/>
      <c r="EL38" s="27"/>
      <c r="EM38" s="27"/>
      <c r="EN38" s="27"/>
      <c r="EO38" s="27"/>
      <c r="EP38" s="27"/>
      <c r="EQ38" s="27"/>
      <c r="ER38" s="27"/>
      <c r="ES38" s="27"/>
      <c r="ET38" s="27"/>
      <c r="EU38" s="27"/>
      <c r="EV38" s="27"/>
      <c r="EW38" s="27"/>
      <c r="EX38" s="27"/>
      <c r="EY38" s="27"/>
      <c r="EZ38" s="27"/>
      <c r="FA38" s="27"/>
      <c r="FB38" s="27"/>
      <c r="FC38" s="27"/>
      <c r="FD38" s="27"/>
      <c r="FE38" s="27"/>
      <c r="FF38" s="27"/>
      <c r="FG38" s="27"/>
      <c r="FH38" s="27"/>
      <c r="FI38" s="27"/>
      <c r="FJ38" s="27"/>
      <c r="FK38" s="27"/>
      <c r="FL38" s="27"/>
      <c r="FM38" s="27"/>
      <c r="FN38" s="27"/>
      <c r="FO38" s="27"/>
      <c r="FP38" s="27"/>
      <c r="FQ38" s="27"/>
      <c r="FR38" s="27"/>
      <c r="FS38" s="27"/>
      <c r="FT38" s="27"/>
      <c r="FU38" s="27"/>
      <c r="FV38" s="27"/>
      <c r="FW38" s="27"/>
      <c r="FX38" s="27"/>
      <c r="FY38" s="27"/>
      <c r="FZ38" s="27"/>
      <c r="GA38" s="27"/>
      <c r="GB38" s="27"/>
      <c r="GC38" s="27"/>
      <c r="GD38" s="27"/>
      <c r="GE38" s="27"/>
      <c r="GF38" s="27"/>
      <c r="GG38" s="27"/>
      <c r="GH38" s="27"/>
      <c r="GI38" s="27"/>
      <c r="GJ38" s="27"/>
      <c r="GK38" s="27"/>
      <c r="GL38" s="27"/>
      <c r="GM38" s="27"/>
      <c r="GN38" s="27"/>
      <c r="GO38" s="27"/>
      <c r="GP38" s="27"/>
      <c r="GQ38" s="27"/>
      <c r="GR38" s="27"/>
      <c r="GS38" s="27"/>
      <c r="GT38" s="27"/>
      <c r="GU38" s="27"/>
      <c r="GV38" s="27"/>
      <c r="GW38" s="27"/>
      <c r="GX38" s="27"/>
      <c r="GY38" s="27"/>
      <c r="GZ38" s="27"/>
      <c r="HA38" s="27"/>
      <c r="HB38" s="27"/>
      <c r="HC38" s="27"/>
      <c r="HD38" s="27"/>
      <c r="HE38" s="27"/>
      <c r="HF38" s="27"/>
      <c r="HG38" s="27"/>
      <c r="HH38" s="27"/>
      <c r="HI38" s="27"/>
      <c r="HJ38" s="27"/>
      <c r="HK38" s="27"/>
      <c r="HL38" s="27"/>
      <c r="HM38" s="27"/>
      <c r="HN38" s="27"/>
      <c r="HO38" s="27"/>
      <c r="HP38" s="27"/>
      <c r="HQ38" s="27"/>
      <c r="HR38" s="27"/>
      <c r="HS38" s="27"/>
      <c r="HT38" s="27"/>
      <c r="HU38" s="27"/>
      <c r="HV38" s="27"/>
      <c r="HW38" s="27"/>
      <c r="HX38" s="27"/>
      <c r="HY38" s="27"/>
      <c r="HZ38" s="27"/>
      <c r="IA38" s="27"/>
      <c r="IB38" s="27"/>
      <c r="IC38" s="27"/>
      <c r="ID38" s="27"/>
      <c r="IE38" s="27"/>
      <c r="IF38" s="27"/>
      <c r="IG38" s="27"/>
      <c r="IH38" s="27"/>
      <c r="II38" s="27"/>
      <c r="IJ38" s="27"/>
      <c r="IK38" s="27"/>
      <c r="IL38" s="27"/>
      <c r="IM38" s="27"/>
      <c r="IN38" s="27"/>
      <c r="IO38" s="27"/>
      <c r="IP38" s="27"/>
      <c r="IQ38" s="27"/>
      <c r="IR38" s="27"/>
      <c r="IS38" s="27"/>
      <c r="IT38" s="27"/>
      <c r="IU38" s="27"/>
      <c r="IV38" s="27"/>
      <c r="IW38" s="27"/>
      <c r="IX38" s="27"/>
      <c r="IY38" s="27"/>
      <c r="IZ38" s="27"/>
      <c r="JA38" s="27"/>
    </row>
    <row r="39" spans="1:261" x14ac:dyDescent="0.25">
      <c r="A39" s="1205">
        <f t="shared" si="4"/>
        <v>7</v>
      </c>
      <c r="B39" s="2100">
        <v>44865</v>
      </c>
      <c r="C39" s="2101"/>
      <c r="D39" s="1202">
        <f>+CALEND_!L33</f>
        <v>158708.93328</v>
      </c>
      <c r="E39" s="1207">
        <f t="shared" si="5"/>
        <v>5148335.5472151786</v>
      </c>
      <c r="F39" s="1202">
        <f>'REINT_REAJ_ (2)'!E24*1.18</f>
        <v>158708.93799999999</v>
      </c>
      <c r="G39" s="1212">
        <f t="shared" si="2"/>
        <v>5148335.5599999996</v>
      </c>
      <c r="H39" s="1203">
        <f t="shared" ref="H39" si="8">ROUND(D39/$J$25,4)</f>
        <v>8.8999999999999999E-3</v>
      </c>
      <c r="I39" s="1208">
        <f t="shared" ref="I39" si="9">+I38+H39</f>
        <v>0.28800000000000003</v>
      </c>
      <c r="J39" s="1203">
        <f>ROUND(F39/$D$17,4)</f>
        <v>8.8999999999999999E-3</v>
      </c>
      <c r="K39" s="1204">
        <f t="shared" si="3"/>
        <v>0.28800000000000003</v>
      </c>
      <c r="L39" s="104"/>
      <c r="M39" s="104"/>
      <c r="N39" s="104"/>
      <c r="O39" s="27"/>
      <c r="P39" s="27"/>
      <c r="Q39" s="27"/>
      <c r="R39" s="27"/>
      <c r="S39" s="27"/>
      <c r="T39" s="27"/>
      <c r="U39" s="27"/>
      <c r="V39" s="27"/>
      <c r="W39" s="27"/>
      <c r="X39" s="27"/>
      <c r="Y39" s="27"/>
      <c r="Z39" s="27"/>
      <c r="AA39" s="27"/>
      <c r="AB39" s="27"/>
      <c r="AC39" s="27"/>
      <c r="AD39" s="27"/>
      <c r="AE39" s="27"/>
      <c r="AF39" s="27"/>
      <c r="AG39" s="27"/>
      <c r="AH39" s="27"/>
      <c r="AI39" s="27"/>
      <c r="AJ39" s="27"/>
      <c r="AK39" s="27"/>
      <c r="AL39" s="27"/>
      <c r="AM39" s="27"/>
      <c r="AN39" s="27"/>
      <c r="AO39" s="27"/>
      <c r="AP39" s="27"/>
      <c r="AQ39" s="27"/>
      <c r="AR39" s="27"/>
      <c r="AS39" s="27"/>
      <c r="AT39" s="27"/>
      <c r="AU39" s="27"/>
      <c r="AV39" s="27"/>
      <c r="AW39" s="27"/>
      <c r="AX39" s="27"/>
      <c r="AY39" s="27"/>
      <c r="AZ39" s="27"/>
      <c r="BA39" s="27"/>
      <c r="BB39" s="27"/>
      <c r="BC39" s="27"/>
      <c r="BD39" s="27"/>
      <c r="BE39" s="27"/>
      <c r="BF39" s="27"/>
      <c r="BG39" s="27"/>
      <c r="BH39" s="27"/>
      <c r="BI39" s="27"/>
      <c r="BJ39" s="27"/>
      <c r="BK39" s="27"/>
      <c r="BL39" s="27"/>
      <c r="BM39" s="27"/>
      <c r="BN39" s="27"/>
      <c r="BO39" s="27"/>
      <c r="BP39" s="27"/>
      <c r="BQ39" s="27"/>
      <c r="BR39" s="27"/>
      <c r="BS39" s="27"/>
      <c r="BT39" s="27"/>
      <c r="BU39" s="27"/>
      <c r="BV39" s="27"/>
      <c r="BW39" s="27"/>
      <c r="BX39" s="27"/>
      <c r="BY39" s="27"/>
      <c r="BZ39" s="27"/>
      <c r="CA39" s="27"/>
      <c r="CB39" s="27"/>
      <c r="CC39" s="27"/>
      <c r="CD39" s="27"/>
      <c r="CE39" s="27"/>
      <c r="CF39" s="27"/>
      <c r="CG39" s="27"/>
      <c r="CH39" s="27"/>
      <c r="CI39" s="27"/>
      <c r="CJ39" s="27"/>
      <c r="CK39" s="27"/>
      <c r="CL39" s="27"/>
      <c r="CM39" s="27"/>
      <c r="CN39" s="27"/>
      <c r="CO39" s="27"/>
      <c r="CP39" s="27"/>
      <c r="CQ39" s="27"/>
      <c r="CR39" s="27"/>
      <c r="CS39" s="27"/>
      <c r="CT39" s="27"/>
      <c r="CU39" s="27"/>
      <c r="CV39" s="27"/>
      <c r="CW39" s="27"/>
      <c r="CX39" s="27"/>
      <c r="CY39" s="27"/>
      <c r="CZ39" s="27"/>
      <c r="DA39" s="27"/>
      <c r="DB39" s="27"/>
      <c r="DC39" s="27"/>
      <c r="DD39" s="27"/>
      <c r="DE39" s="27"/>
      <c r="DF39" s="27"/>
      <c r="DG39" s="27"/>
      <c r="DH39" s="27"/>
      <c r="DI39" s="27"/>
      <c r="DJ39" s="27"/>
      <c r="DK39" s="27"/>
      <c r="DL39" s="27"/>
      <c r="DM39" s="27"/>
      <c r="DN39" s="27"/>
      <c r="DO39" s="27"/>
      <c r="DP39" s="27"/>
      <c r="DQ39" s="27"/>
      <c r="DR39" s="27"/>
      <c r="DS39" s="27"/>
      <c r="DT39" s="27"/>
      <c r="DU39" s="27"/>
      <c r="DV39" s="27"/>
      <c r="DW39" s="27"/>
      <c r="DX39" s="27"/>
      <c r="DY39" s="27"/>
      <c r="DZ39" s="27"/>
      <c r="EA39" s="27"/>
      <c r="EB39" s="27"/>
      <c r="EC39" s="27"/>
      <c r="ED39" s="27"/>
      <c r="EE39" s="27"/>
      <c r="EF39" s="27"/>
      <c r="EG39" s="27"/>
      <c r="EH39" s="27"/>
      <c r="EI39" s="27"/>
      <c r="EJ39" s="27"/>
      <c r="EK39" s="27"/>
      <c r="EL39" s="27"/>
      <c r="EM39" s="27"/>
      <c r="EN39" s="27"/>
      <c r="EO39" s="27"/>
      <c r="EP39" s="27"/>
      <c r="EQ39" s="27"/>
      <c r="ER39" s="27"/>
      <c r="ES39" s="27"/>
      <c r="ET39" s="27"/>
      <c r="EU39" s="27"/>
      <c r="EV39" s="27"/>
      <c r="EW39" s="27"/>
      <c r="EX39" s="27"/>
      <c r="EY39" s="27"/>
      <c r="EZ39" s="27"/>
      <c r="FA39" s="27"/>
      <c r="FB39" s="27"/>
      <c r="FC39" s="27"/>
      <c r="FD39" s="27"/>
      <c r="FE39" s="27"/>
      <c r="FF39" s="27"/>
      <c r="FG39" s="27"/>
      <c r="FH39" s="27"/>
      <c r="FI39" s="27"/>
      <c r="FJ39" s="27"/>
      <c r="FK39" s="27"/>
      <c r="FL39" s="27"/>
      <c r="FM39" s="27"/>
      <c r="FN39" s="27"/>
      <c r="FO39" s="27"/>
      <c r="FP39" s="27"/>
      <c r="FQ39" s="27"/>
      <c r="FR39" s="27"/>
      <c r="FS39" s="27"/>
      <c r="FT39" s="27"/>
      <c r="FU39" s="27"/>
      <c r="FV39" s="27"/>
      <c r="FW39" s="27"/>
      <c r="FX39" s="27"/>
      <c r="FY39" s="27"/>
      <c r="FZ39" s="27"/>
      <c r="GA39" s="27"/>
      <c r="GB39" s="27"/>
      <c r="GC39" s="27"/>
      <c r="GD39" s="27"/>
      <c r="GE39" s="27"/>
      <c r="GF39" s="27"/>
      <c r="GG39" s="27"/>
      <c r="GH39" s="27"/>
      <c r="GI39" s="27"/>
      <c r="GJ39" s="27"/>
      <c r="GK39" s="27"/>
      <c r="GL39" s="27"/>
      <c r="GM39" s="27"/>
      <c r="GN39" s="27"/>
      <c r="GO39" s="27"/>
      <c r="GP39" s="27"/>
      <c r="GQ39" s="27"/>
      <c r="GR39" s="27"/>
      <c r="GS39" s="27"/>
      <c r="GT39" s="27"/>
      <c r="GU39" s="27"/>
      <c r="GV39" s="27"/>
      <c r="GW39" s="27"/>
      <c r="GX39" s="27"/>
      <c r="GY39" s="27"/>
      <c r="GZ39" s="27"/>
      <c r="HA39" s="27"/>
      <c r="HB39" s="27"/>
      <c r="HC39" s="27"/>
      <c r="HD39" s="27"/>
      <c r="HE39" s="27"/>
      <c r="HF39" s="27"/>
      <c r="HG39" s="27"/>
      <c r="HH39" s="27"/>
      <c r="HI39" s="27"/>
      <c r="HJ39" s="27"/>
      <c r="HK39" s="27"/>
      <c r="HL39" s="27"/>
      <c r="HM39" s="27"/>
      <c r="HN39" s="27"/>
      <c r="HO39" s="27"/>
      <c r="HP39" s="27"/>
      <c r="HQ39" s="27"/>
      <c r="HR39" s="27"/>
      <c r="HS39" s="27"/>
      <c r="HT39" s="27"/>
      <c r="HU39" s="27"/>
      <c r="HV39" s="27"/>
      <c r="HW39" s="27"/>
      <c r="HX39" s="27"/>
      <c r="HY39" s="27"/>
      <c r="HZ39" s="27"/>
      <c r="IA39" s="27"/>
      <c r="IB39" s="27"/>
      <c r="IC39" s="27"/>
      <c r="ID39" s="27"/>
      <c r="IE39" s="27"/>
      <c r="IF39" s="27"/>
      <c r="IG39" s="27"/>
      <c r="IH39" s="27"/>
      <c r="II39" s="27"/>
      <c r="IJ39" s="27"/>
      <c r="IK39" s="27"/>
      <c r="IL39" s="27"/>
      <c r="IM39" s="27"/>
      <c r="IN39" s="27"/>
      <c r="IO39" s="27"/>
      <c r="IP39" s="27"/>
      <c r="IQ39" s="27"/>
      <c r="IR39" s="27"/>
      <c r="IS39" s="27"/>
      <c r="IT39" s="27"/>
      <c r="IU39" s="27"/>
      <c r="IV39" s="27"/>
      <c r="IW39" s="27"/>
      <c r="IX39" s="27"/>
      <c r="IY39" s="27"/>
      <c r="IZ39" s="27"/>
      <c r="JA39" s="27"/>
    </row>
    <row r="40" spans="1:261" x14ac:dyDescent="0.25">
      <c r="A40" s="1205">
        <f t="shared" si="4"/>
        <v>8</v>
      </c>
      <c r="B40" s="2100">
        <v>44895</v>
      </c>
      <c r="C40" s="2101"/>
      <c r="D40" s="1202">
        <f>+CALEND_!M33</f>
        <v>1668106.96</v>
      </c>
      <c r="E40" s="1207">
        <f t="shared" si="5"/>
        <v>6816442.5072151786</v>
      </c>
      <c r="F40" s="1202">
        <f>'PUENTE CCANCHI'!J129</f>
        <v>252039.5</v>
      </c>
      <c r="G40" s="1212">
        <f t="shared" si="2"/>
        <v>5400375.0599999996</v>
      </c>
      <c r="H40" s="1203">
        <f t="shared" si="6"/>
        <v>9.3299999999999994E-2</v>
      </c>
      <c r="I40" s="1208">
        <f>+I39+H40-0.0001</f>
        <v>0.38120000000000004</v>
      </c>
      <c r="J40" s="1203">
        <f>ROUND(F40/$D$17,4)</f>
        <v>1.41E-2</v>
      </c>
      <c r="K40" s="1204">
        <f>+K39+J40-0.0001</f>
        <v>0.30200000000000005</v>
      </c>
      <c r="L40" s="112"/>
      <c r="M40" s="112"/>
      <c r="N40" s="112"/>
      <c r="O40" s="27"/>
      <c r="P40" s="27"/>
      <c r="Q40" s="27"/>
      <c r="R40" s="27"/>
      <c r="S40" s="27"/>
      <c r="T40" s="27"/>
      <c r="U40" s="27"/>
      <c r="V40" s="27"/>
      <c r="W40" s="27"/>
      <c r="X40" s="27"/>
      <c r="Y40" s="27"/>
      <c r="Z40" s="27"/>
      <c r="AA40" s="27"/>
      <c r="AB40" s="27"/>
      <c r="AC40" s="27"/>
      <c r="AD40" s="27"/>
      <c r="AE40" s="27"/>
      <c r="AF40" s="27"/>
      <c r="AG40" s="27"/>
      <c r="AH40" s="27"/>
      <c r="AI40" s="27"/>
      <c r="AJ40" s="27"/>
      <c r="AK40" s="27"/>
      <c r="AL40" s="27"/>
      <c r="AM40" s="27"/>
      <c r="AN40" s="27"/>
      <c r="AO40" s="27"/>
      <c r="AP40" s="27"/>
      <c r="AQ40" s="27"/>
      <c r="AR40" s="27"/>
      <c r="AS40" s="27"/>
      <c r="AT40" s="27"/>
      <c r="AU40" s="27"/>
      <c r="AV40" s="27"/>
      <c r="AW40" s="27"/>
      <c r="AX40" s="27"/>
      <c r="AY40" s="27"/>
      <c r="AZ40" s="27"/>
      <c r="BA40" s="27"/>
      <c r="BB40" s="27"/>
      <c r="BC40" s="27"/>
      <c r="BD40" s="27"/>
      <c r="BE40" s="27"/>
      <c r="BF40" s="27"/>
      <c r="BG40" s="27"/>
      <c r="BH40" s="27"/>
      <c r="BI40" s="27"/>
      <c r="BJ40" s="27"/>
      <c r="BK40" s="27"/>
      <c r="BL40" s="27"/>
      <c r="BM40" s="27"/>
      <c r="BN40" s="27"/>
      <c r="BO40" s="27"/>
      <c r="BP40" s="27"/>
      <c r="BQ40" s="27"/>
      <c r="BR40" s="27"/>
      <c r="BS40" s="27"/>
      <c r="BT40" s="27"/>
      <c r="BU40" s="27"/>
      <c r="BV40" s="27"/>
      <c r="BW40" s="27"/>
      <c r="BX40" s="27"/>
      <c r="BY40" s="27"/>
      <c r="BZ40" s="27"/>
      <c r="CA40" s="27"/>
      <c r="CB40" s="27"/>
      <c r="CC40" s="27"/>
      <c r="CD40" s="27"/>
      <c r="CE40" s="27"/>
      <c r="CF40" s="27"/>
      <c r="CG40" s="27"/>
      <c r="CH40" s="27"/>
      <c r="CI40" s="27"/>
      <c r="CJ40" s="27"/>
      <c r="CK40" s="27"/>
      <c r="CL40" s="27"/>
      <c r="CM40" s="27"/>
      <c r="CN40" s="27"/>
      <c r="CO40" s="27"/>
      <c r="CP40" s="27"/>
      <c r="CQ40" s="27"/>
      <c r="CR40" s="27"/>
      <c r="CS40" s="27"/>
      <c r="CT40" s="27"/>
      <c r="CU40" s="27"/>
      <c r="CV40" s="27"/>
      <c r="CW40" s="27"/>
      <c r="CX40" s="27"/>
      <c r="CY40" s="27"/>
      <c r="CZ40" s="27"/>
      <c r="DA40" s="27"/>
      <c r="DB40" s="27"/>
      <c r="DC40" s="27"/>
      <c r="DD40" s="27"/>
      <c r="DE40" s="27"/>
      <c r="DF40" s="27"/>
      <c r="DG40" s="27"/>
      <c r="DH40" s="27"/>
      <c r="DI40" s="27"/>
      <c r="DJ40" s="27"/>
      <c r="DK40" s="27"/>
      <c r="DL40" s="27"/>
      <c r="DM40" s="27"/>
      <c r="DN40" s="27"/>
      <c r="DO40" s="27"/>
      <c r="DP40" s="27"/>
      <c r="DQ40" s="27"/>
      <c r="DR40" s="27"/>
      <c r="DS40" s="27"/>
      <c r="DT40" s="27"/>
      <c r="DU40" s="27"/>
      <c r="DV40" s="27"/>
      <c r="DW40" s="27"/>
      <c r="DX40" s="27"/>
      <c r="DY40" s="27"/>
      <c r="DZ40" s="27"/>
      <c r="EA40" s="27"/>
      <c r="EB40" s="27"/>
      <c r="EC40" s="27"/>
      <c r="ED40" s="27"/>
      <c r="EE40" s="27"/>
      <c r="EF40" s="27"/>
      <c r="EG40" s="27"/>
      <c r="EH40" s="27"/>
      <c r="EI40" s="27"/>
      <c r="EJ40" s="27"/>
      <c r="EK40" s="27"/>
      <c r="EL40" s="27"/>
      <c r="EM40" s="27"/>
      <c r="EN40" s="27"/>
      <c r="EO40" s="27"/>
      <c r="EP40" s="27"/>
      <c r="EQ40" s="27"/>
      <c r="ER40" s="27"/>
      <c r="ES40" s="27"/>
      <c r="ET40" s="27"/>
      <c r="EU40" s="27"/>
      <c r="EV40" s="27"/>
      <c r="EW40" s="27"/>
      <c r="EX40" s="27"/>
      <c r="EY40" s="27"/>
      <c r="EZ40" s="27"/>
      <c r="FA40" s="27"/>
      <c r="FB40" s="27"/>
      <c r="FC40" s="27"/>
      <c r="FD40" s="27"/>
      <c r="FE40" s="27"/>
      <c r="FF40" s="27"/>
      <c r="FG40" s="27"/>
      <c r="FH40" s="27"/>
      <c r="FI40" s="27"/>
      <c r="FJ40" s="27"/>
      <c r="FK40" s="27"/>
      <c r="FL40" s="27"/>
      <c r="FM40" s="27"/>
      <c r="FN40" s="27"/>
      <c r="FO40" s="27"/>
      <c r="FP40" s="27"/>
      <c r="FQ40" s="27"/>
      <c r="FR40" s="27"/>
      <c r="FS40" s="27"/>
      <c r="FT40" s="27"/>
      <c r="FU40" s="27"/>
      <c r="FV40" s="27"/>
      <c r="FW40" s="27"/>
      <c r="FX40" s="27"/>
      <c r="FY40" s="27"/>
      <c r="FZ40" s="27"/>
      <c r="GA40" s="27"/>
      <c r="GB40" s="27"/>
      <c r="GC40" s="27"/>
      <c r="GD40" s="27"/>
      <c r="GE40" s="27"/>
      <c r="GF40" s="27"/>
      <c r="GG40" s="27"/>
      <c r="GH40" s="27"/>
      <c r="GI40" s="27"/>
      <c r="GJ40" s="27"/>
      <c r="GK40" s="27"/>
      <c r="GL40" s="27"/>
      <c r="GM40" s="27"/>
      <c r="GN40" s="27"/>
      <c r="GO40" s="27"/>
      <c r="GP40" s="27"/>
      <c r="GQ40" s="27"/>
      <c r="GR40" s="27"/>
      <c r="GS40" s="27"/>
      <c r="GT40" s="27"/>
      <c r="GU40" s="27"/>
      <c r="GV40" s="27"/>
      <c r="GW40" s="27"/>
      <c r="GX40" s="27"/>
      <c r="GY40" s="27"/>
      <c r="GZ40" s="27"/>
      <c r="HA40" s="27"/>
      <c r="HB40" s="27"/>
      <c r="HC40" s="27"/>
      <c r="HD40" s="27"/>
      <c r="HE40" s="27"/>
      <c r="HF40" s="27"/>
      <c r="HG40" s="27"/>
      <c r="HH40" s="27"/>
      <c r="HI40" s="27"/>
      <c r="HJ40" s="27"/>
      <c r="HK40" s="27"/>
      <c r="HL40" s="27"/>
      <c r="HM40" s="27"/>
      <c r="HN40" s="27"/>
      <c r="HO40" s="27"/>
      <c r="HP40" s="27"/>
      <c r="HQ40" s="27"/>
      <c r="HR40" s="27"/>
      <c r="HS40" s="27"/>
      <c r="HT40" s="27"/>
      <c r="HU40" s="27"/>
      <c r="HV40" s="27"/>
      <c r="HW40" s="27"/>
      <c r="HX40" s="27"/>
      <c r="HY40" s="27"/>
      <c r="HZ40" s="27"/>
      <c r="IA40" s="27"/>
      <c r="IB40" s="27"/>
      <c r="IC40" s="27"/>
      <c r="ID40" s="27"/>
      <c r="IE40" s="27"/>
      <c r="IF40" s="27"/>
      <c r="IG40" s="27"/>
      <c r="IH40" s="27"/>
      <c r="II40" s="27"/>
      <c r="IJ40" s="27"/>
      <c r="IK40" s="27"/>
      <c r="IL40" s="27"/>
      <c r="IM40" s="27"/>
      <c r="IN40" s="27"/>
      <c r="IO40" s="27"/>
      <c r="IP40" s="27"/>
      <c r="IQ40" s="27"/>
      <c r="IR40" s="27"/>
      <c r="IS40" s="27"/>
      <c r="IT40" s="27"/>
      <c r="IU40" s="27"/>
      <c r="IV40" s="27"/>
      <c r="IW40" s="27"/>
      <c r="IX40" s="27"/>
      <c r="IY40" s="27"/>
      <c r="IZ40" s="27"/>
      <c r="JA40" s="27"/>
    </row>
    <row r="41" spans="1:261" x14ac:dyDescent="0.25">
      <c r="A41" s="1205">
        <f t="shared" si="4"/>
        <v>9</v>
      </c>
      <c r="B41" s="2100">
        <v>44926</v>
      </c>
      <c r="C41" s="2101"/>
      <c r="D41" s="1202">
        <f>+CALEND_!N33</f>
        <v>145063.26999999999</v>
      </c>
      <c r="E41" s="1207">
        <f t="shared" si="5"/>
        <v>6961505.7772151781</v>
      </c>
      <c r="F41" s="1202">
        <f>+'CURVA S'!L22</f>
        <v>252039.50399999999</v>
      </c>
      <c r="G41" s="1207"/>
      <c r="H41" s="1203">
        <f t="shared" si="6"/>
        <v>8.0999999999999996E-3</v>
      </c>
      <c r="I41" s="1208">
        <f>+I40+H41+0.0001</f>
        <v>0.38940000000000002</v>
      </c>
      <c r="J41" s="1203">
        <f t="shared" si="1"/>
        <v>1.41E-2</v>
      </c>
      <c r="K41" s="1204"/>
      <c r="L41" s="112"/>
      <c r="M41" s="112"/>
      <c r="N41" s="112"/>
      <c r="O41" s="27"/>
      <c r="P41" s="27"/>
      <c r="Q41" s="27"/>
      <c r="R41" s="27"/>
      <c r="S41" s="27"/>
      <c r="T41" s="27"/>
      <c r="U41" s="27"/>
      <c r="V41" s="27"/>
      <c r="W41" s="27"/>
      <c r="X41" s="27"/>
      <c r="Y41" s="27"/>
      <c r="Z41" s="27"/>
      <c r="AA41" s="27"/>
      <c r="AB41" s="27"/>
      <c r="AC41" s="27"/>
      <c r="AD41" s="27"/>
      <c r="AE41" s="27"/>
      <c r="AF41" s="27"/>
      <c r="AG41" s="27"/>
      <c r="AH41" s="27"/>
      <c r="AI41" s="27"/>
      <c r="AJ41" s="27"/>
      <c r="AK41" s="27"/>
      <c r="AL41" s="27"/>
      <c r="AM41" s="27"/>
      <c r="AN41" s="27"/>
      <c r="AO41" s="27"/>
      <c r="AP41" s="27"/>
      <c r="AQ41" s="27"/>
      <c r="AR41" s="27"/>
      <c r="AS41" s="27"/>
      <c r="AT41" s="27"/>
      <c r="AU41" s="27"/>
      <c r="AV41" s="27"/>
      <c r="AW41" s="27"/>
      <c r="AX41" s="27"/>
      <c r="AY41" s="27"/>
      <c r="AZ41" s="27"/>
      <c r="BA41" s="27"/>
      <c r="BB41" s="27"/>
      <c r="BC41" s="27"/>
      <c r="BD41" s="27"/>
      <c r="BE41" s="27"/>
      <c r="BF41" s="27"/>
      <c r="BG41" s="27"/>
      <c r="BH41" s="27"/>
      <c r="BI41" s="27"/>
      <c r="BJ41" s="27"/>
      <c r="BK41" s="27"/>
      <c r="BL41" s="27"/>
      <c r="BM41" s="27"/>
      <c r="BN41" s="27"/>
      <c r="BO41" s="27"/>
      <c r="BP41" s="27"/>
      <c r="BQ41" s="27"/>
      <c r="BR41" s="27"/>
      <c r="BS41" s="27"/>
      <c r="BT41" s="27"/>
      <c r="BU41" s="27"/>
      <c r="BV41" s="27"/>
      <c r="BW41" s="27"/>
      <c r="BX41" s="27"/>
      <c r="BY41" s="27"/>
      <c r="BZ41" s="27"/>
      <c r="CA41" s="27"/>
      <c r="CB41" s="27"/>
      <c r="CC41" s="27"/>
      <c r="CD41" s="27"/>
      <c r="CE41" s="27"/>
      <c r="CF41" s="27"/>
      <c r="CG41" s="27"/>
      <c r="CH41" s="27"/>
      <c r="CI41" s="27"/>
      <c r="CJ41" s="27"/>
      <c r="CK41" s="27"/>
      <c r="CL41" s="27"/>
      <c r="CM41" s="27"/>
      <c r="CN41" s="27"/>
      <c r="CO41" s="27"/>
      <c r="CP41" s="27"/>
      <c r="CQ41" s="27"/>
      <c r="CR41" s="27"/>
      <c r="CS41" s="27"/>
      <c r="CT41" s="27"/>
      <c r="CU41" s="27"/>
      <c r="CV41" s="27"/>
      <c r="CW41" s="27"/>
      <c r="CX41" s="27"/>
      <c r="CY41" s="27"/>
      <c r="CZ41" s="27"/>
      <c r="DA41" s="27"/>
      <c r="DB41" s="27"/>
      <c r="DC41" s="27"/>
      <c r="DD41" s="27"/>
      <c r="DE41" s="27"/>
      <c r="DF41" s="27"/>
      <c r="DG41" s="27"/>
      <c r="DH41" s="27"/>
      <c r="DI41" s="27"/>
      <c r="DJ41" s="27"/>
      <c r="DK41" s="27"/>
      <c r="DL41" s="27"/>
      <c r="DM41" s="27"/>
      <c r="DN41" s="27"/>
      <c r="DO41" s="27"/>
      <c r="DP41" s="27"/>
      <c r="DQ41" s="27"/>
      <c r="DR41" s="27"/>
      <c r="DS41" s="27"/>
      <c r="DT41" s="27"/>
      <c r="DU41" s="27"/>
      <c r="DV41" s="27"/>
      <c r="DW41" s="27"/>
      <c r="DX41" s="27"/>
      <c r="DY41" s="27"/>
      <c r="DZ41" s="27"/>
      <c r="EA41" s="27"/>
      <c r="EB41" s="27"/>
      <c r="EC41" s="27"/>
      <c r="ED41" s="27"/>
      <c r="EE41" s="27"/>
      <c r="EF41" s="27"/>
      <c r="EG41" s="27"/>
      <c r="EH41" s="27"/>
      <c r="EI41" s="27"/>
      <c r="EJ41" s="27"/>
      <c r="EK41" s="27"/>
      <c r="EL41" s="27"/>
      <c r="EM41" s="27"/>
      <c r="EN41" s="27"/>
      <c r="EO41" s="27"/>
      <c r="EP41" s="27"/>
      <c r="EQ41" s="27"/>
      <c r="ER41" s="27"/>
      <c r="ES41" s="27"/>
      <c r="ET41" s="27"/>
      <c r="EU41" s="27"/>
      <c r="EV41" s="27"/>
      <c r="EW41" s="27"/>
      <c r="EX41" s="27"/>
      <c r="EY41" s="27"/>
      <c r="EZ41" s="27"/>
      <c r="FA41" s="27"/>
      <c r="FB41" s="27"/>
      <c r="FC41" s="27"/>
      <c r="FD41" s="27"/>
      <c r="FE41" s="27"/>
      <c r="FF41" s="27"/>
      <c r="FG41" s="27"/>
      <c r="FH41" s="27"/>
      <c r="FI41" s="27"/>
      <c r="FJ41" s="27"/>
      <c r="FK41" s="27"/>
      <c r="FL41" s="27"/>
      <c r="FM41" s="27"/>
      <c r="FN41" s="27"/>
      <c r="FO41" s="27"/>
      <c r="FP41" s="27"/>
      <c r="FQ41" s="27"/>
      <c r="FR41" s="27"/>
      <c r="FS41" s="27"/>
      <c r="FT41" s="27"/>
      <c r="FU41" s="27"/>
      <c r="FV41" s="27"/>
      <c r="FW41" s="27"/>
      <c r="FX41" s="27"/>
      <c r="FY41" s="27"/>
      <c r="FZ41" s="27"/>
      <c r="GA41" s="27"/>
      <c r="GB41" s="27"/>
      <c r="GC41" s="27"/>
      <c r="GD41" s="27"/>
      <c r="GE41" s="27"/>
      <c r="GF41" s="27"/>
      <c r="GG41" s="27"/>
      <c r="GH41" s="27"/>
      <c r="GI41" s="27"/>
      <c r="GJ41" s="27"/>
      <c r="GK41" s="27"/>
      <c r="GL41" s="27"/>
      <c r="GM41" s="27"/>
      <c r="GN41" s="27"/>
      <c r="GO41" s="27"/>
      <c r="GP41" s="27"/>
      <c r="GQ41" s="27"/>
      <c r="GR41" s="27"/>
      <c r="GS41" s="27"/>
      <c r="GT41" s="27"/>
      <c r="GU41" s="27"/>
      <c r="GV41" s="27"/>
      <c r="GW41" s="27"/>
      <c r="GX41" s="27"/>
      <c r="GY41" s="27"/>
      <c r="GZ41" s="27"/>
      <c r="HA41" s="27"/>
      <c r="HB41" s="27"/>
      <c r="HC41" s="27"/>
      <c r="HD41" s="27"/>
      <c r="HE41" s="27"/>
      <c r="HF41" s="27"/>
      <c r="HG41" s="27"/>
      <c r="HH41" s="27"/>
      <c r="HI41" s="27"/>
      <c r="HJ41" s="27"/>
      <c r="HK41" s="27"/>
      <c r="HL41" s="27"/>
      <c r="HM41" s="27"/>
      <c r="HN41" s="27"/>
      <c r="HO41" s="27"/>
      <c r="HP41" s="27"/>
      <c r="HQ41" s="27"/>
      <c r="HR41" s="27"/>
      <c r="HS41" s="27"/>
      <c r="HT41" s="27"/>
      <c r="HU41" s="27"/>
      <c r="HV41" s="27"/>
      <c r="HW41" s="27"/>
      <c r="HX41" s="27"/>
      <c r="HY41" s="27"/>
      <c r="HZ41" s="27"/>
      <c r="IA41" s="27"/>
      <c r="IB41" s="27"/>
      <c r="IC41" s="27"/>
      <c r="ID41" s="27"/>
      <c r="IE41" s="27"/>
      <c r="IF41" s="27"/>
      <c r="IG41" s="27"/>
      <c r="IH41" s="27"/>
      <c r="II41" s="27"/>
      <c r="IJ41" s="27"/>
      <c r="IK41" s="27"/>
      <c r="IL41" s="27"/>
      <c r="IM41" s="27"/>
      <c r="IN41" s="27"/>
      <c r="IO41" s="27"/>
      <c r="IP41" s="27"/>
      <c r="IQ41" s="27"/>
      <c r="IR41" s="27"/>
      <c r="IS41" s="27"/>
      <c r="IT41" s="27"/>
      <c r="IU41" s="27"/>
      <c r="IV41" s="27"/>
      <c r="IW41" s="27"/>
      <c r="IX41" s="27"/>
      <c r="IY41" s="27"/>
      <c r="IZ41" s="27"/>
      <c r="JA41" s="27"/>
    </row>
    <row r="42" spans="1:261" x14ac:dyDescent="0.25">
      <c r="A42" s="1205">
        <f t="shared" si="4"/>
        <v>10</v>
      </c>
      <c r="B42" s="2100">
        <v>44957</v>
      </c>
      <c r="C42" s="2101"/>
      <c r="D42" s="1202">
        <f>+CALEND_!O33</f>
        <v>1091208.18</v>
      </c>
      <c r="E42" s="1207">
        <f t="shared" si="5"/>
        <v>8052713.9572151778</v>
      </c>
      <c r="F42" s="1202">
        <f>+'CURVA S'!M28</f>
        <v>0</v>
      </c>
      <c r="G42" s="1207"/>
      <c r="H42" s="1203">
        <f t="shared" si="6"/>
        <v>6.0999999999999999E-2</v>
      </c>
      <c r="I42" s="1208">
        <f>+I41+H42-0.0001</f>
        <v>0.45030000000000003</v>
      </c>
      <c r="J42" s="1203">
        <f t="shared" si="1"/>
        <v>0</v>
      </c>
      <c r="K42" s="1204"/>
      <c r="L42" s="112"/>
      <c r="M42" s="112"/>
      <c r="N42" s="112"/>
      <c r="O42" s="104"/>
      <c r="P42" s="27"/>
      <c r="Q42" s="27"/>
      <c r="R42" s="27"/>
      <c r="S42" s="27"/>
      <c r="T42" s="27"/>
      <c r="U42" s="27"/>
      <c r="V42" s="27"/>
      <c r="W42" s="27"/>
      <c r="X42" s="27"/>
      <c r="Y42" s="27"/>
      <c r="Z42" s="27"/>
      <c r="AA42" s="27"/>
      <c r="AB42" s="27"/>
      <c r="AC42" s="27"/>
      <c r="AD42" s="27"/>
      <c r="AE42" s="27"/>
      <c r="AF42" s="27"/>
      <c r="AG42" s="27"/>
      <c r="AH42" s="27"/>
      <c r="AI42" s="27"/>
      <c r="AJ42" s="27"/>
      <c r="AK42" s="27"/>
      <c r="AL42" s="27"/>
      <c r="AM42" s="27"/>
      <c r="AN42" s="27"/>
      <c r="AO42" s="27"/>
      <c r="AP42" s="27"/>
      <c r="AQ42" s="27"/>
      <c r="AR42" s="27"/>
      <c r="AS42" s="27"/>
      <c r="AT42" s="27"/>
      <c r="AU42" s="27"/>
      <c r="AV42" s="27"/>
      <c r="AW42" s="27"/>
      <c r="AX42" s="27"/>
      <c r="AY42" s="27"/>
      <c r="AZ42" s="27"/>
      <c r="BA42" s="27"/>
      <c r="BB42" s="27"/>
      <c r="BC42" s="27"/>
      <c r="BD42" s="27"/>
      <c r="BE42" s="27"/>
      <c r="BF42" s="27"/>
      <c r="BG42" s="27"/>
      <c r="BH42" s="27"/>
      <c r="BI42" s="27"/>
      <c r="BJ42" s="27"/>
      <c r="BK42" s="27"/>
      <c r="BL42" s="27"/>
      <c r="BM42" s="27"/>
      <c r="BN42" s="27"/>
      <c r="BO42" s="27"/>
      <c r="BP42" s="27"/>
      <c r="BQ42" s="27"/>
      <c r="BR42" s="27"/>
      <c r="BS42" s="27"/>
      <c r="BT42" s="27"/>
      <c r="BU42" s="27"/>
      <c r="BV42" s="27"/>
      <c r="BW42" s="27"/>
      <c r="BX42" s="27"/>
      <c r="BY42" s="27"/>
      <c r="BZ42" s="27"/>
      <c r="CA42" s="27"/>
      <c r="CB42" s="27"/>
      <c r="CC42" s="27"/>
      <c r="CD42" s="27"/>
      <c r="CE42" s="27"/>
      <c r="CF42" s="27"/>
      <c r="CG42" s="27"/>
      <c r="CH42" s="27"/>
      <c r="CI42" s="27"/>
      <c r="CJ42" s="27"/>
      <c r="CK42" s="27"/>
      <c r="CL42" s="27"/>
      <c r="CM42" s="27"/>
      <c r="CN42" s="27"/>
      <c r="CO42" s="27"/>
      <c r="CP42" s="27"/>
      <c r="CQ42" s="27"/>
      <c r="CR42" s="27"/>
      <c r="CS42" s="27"/>
      <c r="CT42" s="27"/>
      <c r="CU42" s="27"/>
      <c r="CV42" s="27"/>
      <c r="CW42" s="27"/>
      <c r="CX42" s="27"/>
      <c r="CY42" s="27"/>
      <c r="CZ42" s="27"/>
      <c r="DA42" s="27"/>
      <c r="DB42" s="27"/>
      <c r="DC42" s="27"/>
      <c r="DD42" s="27"/>
      <c r="DE42" s="27"/>
      <c r="DF42" s="27"/>
      <c r="DG42" s="27"/>
      <c r="DH42" s="27"/>
      <c r="DI42" s="27"/>
      <c r="DJ42" s="27"/>
      <c r="DK42" s="27"/>
      <c r="DL42" s="27"/>
      <c r="DM42" s="27"/>
      <c r="DN42" s="27"/>
      <c r="DO42" s="27"/>
      <c r="DP42" s="27"/>
      <c r="DQ42" s="27"/>
      <c r="DR42" s="27"/>
      <c r="DS42" s="27"/>
      <c r="DT42" s="27"/>
      <c r="DU42" s="27"/>
      <c r="DV42" s="27"/>
      <c r="DW42" s="27"/>
      <c r="DX42" s="27"/>
      <c r="DY42" s="27"/>
      <c r="DZ42" s="27"/>
      <c r="EA42" s="27"/>
      <c r="EB42" s="27"/>
      <c r="EC42" s="27"/>
      <c r="ED42" s="27"/>
      <c r="EE42" s="27"/>
      <c r="EF42" s="27"/>
      <c r="EG42" s="27"/>
      <c r="EH42" s="27"/>
      <c r="EI42" s="27"/>
      <c r="EJ42" s="27"/>
      <c r="EK42" s="27"/>
      <c r="EL42" s="27"/>
      <c r="EM42" s="27"/>
      <c r="EN42" s="27"/>
      <c r="EO42" s="27"/>
      <c r="EP42" s="27"/>
      <c r="EQ42" s="27"/>
      <c r="ER42" s="27"/>
      <c r="ES42" s="27"/>
      <c r="ET42" s="27"/>
      <c r="EU42" s="27"/>
      <c r="EV42" s="27"/>
      <c r="EW42" s="27"/>
      <c r="EX42" s="27"/>
      <c r="EY42" s="27"/>
      <c r="EZ42" s="27"/>
      <c r="FA42" s="27"/>
      <c r="FB42" s="27"/>
      <c r="FC42" s="27"/>
      <c r="FD42" s="27"/>
      <c r="FE42" s="27"/>
      <c r="FF42" s="27"/>
      <c r="FG42" s="27"/>
      <c r="FH42" s="27"/>
      <c r="FI42" s="27"/>
      <c r="FJ42" s="27"/>
      <c r="FK42" s="27"/>
      <c r="FL42" s="27"/>
      <c r="FM42" s="27"/>
      <c r="FN42" s="27"/>
      <c r="FO42" s="27"/>
      <c r="FP42" s="27"/>
      <c r="FQ42" s="27"/>
      <c r="FR42" s="27"/>
      <c r="FS42" s="27"/>
      <c r="FT42" s="27"/>
      <c r="FU42" s="27"/>
      <c r="FV42" s="27"/>
      <c r="FW42" s="27"/>
      <c r="FX42" s="27"/>
      <c r="FY42" s="27"/>
      <c r="FZ42" s="27"/>
      <c r="GA42" s="27"/>
      <c r="GB42" s="27"/>
      <c r="GC42" s="27"/>
      <c r="GD42" s="27"/>
      <c r="GE42" s="27"/>
      <c r="GF42" s="27"/>
      <c r="GG42" s="27"/>
      <c r="GH42" s="27"/>
      <c r="GI42" s="27"/>
      <c r="GJ42" s="27"/>
      <c r="GK42" s="27"/>
      <c r="GL42" s="27"/>
      <c r="GM42" s="27"/>
      <c r="GN42" s="27"/>
      <c r="GO42" s="27"/>
      <c r="GP42" s="27"/>
      <c r="GQ42" s="27"/>
      <c r="GR42" s="27"/>
      <c r="GS42" s="27"/>
      <c r="GT42" s="27"/>
      <c r="GU42" s="27"/>
      <c r="GV42" s="27"/>
      <c r="GW42" s="27"/>
      <c r="GX42" s="27"/>
      <c r="GY42" s="27"/>
      <c r="GZ42" s="27"/>
      <c r="HA42" s="27"/>
      <c r="HB42" s="27"/>
      <c r="HC42" s="27"/>
      <c r="HD42" s="27"/>
      <c r="HE42" s="27"/>
      <c r="HF42" s="27"/>
      <c r="HG42" s="27"/>
      <c r="HH42" s="27"/>
      <c r="HI42" s="27"/>
      <c r="HJ42" s="27"/>
      <c r="HK42" s="27"/>
      <c r="HL42" s="27"/>
      <c r="HM42" s="27"/>
      <c r="HN42" s="27"/>
      <c r="HO42" s="27"/>
      <c r="HP42" s="27"/>
      <c r="HQ42" s="27"/>
      <c r="HR42" s="27"/>
      <c r="HS42" s="27"/>
      <c r="HT42" s="27"/>
      <c r="HU42" s="27"/>
      <c r="HV42" s="27"/>
      <c r="HW42" s="27"/>
      <c r="HX42" s="27"/>
      <c r="HY42" s="27"/>
      <c r="HZ42" s="27"/>
      <c r="IA42" s="27"/>
      <c r="IB42" s="27"/>
      <c r="IC42" s="27"/>
      <c r="ID42" s="27"/>
      <c r="IE42" s="27"/>
      <c r="IF42" s="27"/>
      <c r="IG42" s="27"/>
      <c r="IH42" s="27"/>
      <c r="II42" s="27"/>
      <c r="IJ42" s="27"/>
      <c r="IK42" s="27"/>
      <c r="IL42" s="27"/>
      <c r="IM42" s="27"/>
      <c r="IN42" s="27"/>
      <c r="IO42" s="27"/>
      <c r="IP42" s="27"/>
      <c r="IQ42" s="27"/>
      <c r="IR42" s="27"/>
      <c r="IS42" s="27"/>
      <c r="IT42" s="27"/>
      <c r="IU42" s="27"/>
      <c r="IV42" s="27"/>
      <c r="IW42" s="27"/>
      <c r="IX42" s="27"/>
      <c r="IY42" s="27"/>
      <c r="IZ42" s="27"/>
      <c r="JA42" s="27"/>
    </row>
    <row r="43" spans="1:261" x14ac:dyDescent="0.25">
      <c r="A43" s="1205">
        <f t="shared" si="4"/>
        <v>11</v>
      </c>
      <c r="B43" s="2100">
        <v>44985</v>
      </c>
      <c r="C43" s="2101"/>
      <c r="D43" s="1202">
        <f>+CALEND_!P33</f>
        <v>1775182.88</v>
      </c>
      <c r="E43" s="1207">
        <f t="shared" si="5"/>
        <v>9827896.8372151777</v>
      </c>
      <c r="F43" s="1202">
        <f>+'CURVA S'!N22</f>
        <v>0</v>
      </c>
      <c r="G43" s="1207"/>
      <c r="H43" s="1203">
        <f t="shared" si="6"/>
        <v>9.9299999999999999E-2</v>
      </c>
      <c r="I43" s="1208">
        <f t="shared" si="7"/>
        <v>0.54960000000000009</v>
      </c>
      <c r="J43" s="1203">
        <f t="shared" si="1"/>
        <v>0</v>
      </c>
      <c r="K43" s="1204"/>
      <c r="L43" s="112"/>
      <c r="M43" s="112"/>
      <c r="N43" s="112"/>
      <c r="O43" s="27"/>
      <c r="P43" s="27"/>
      <c r="Q43" s="27"/>
      <c r="R43" s="27"/>
      <c r="S43" s="27"/>
      <c r="T43" s="27"/>
      <c r="U43" s="27"/>
      <c r="V43" s="27"/>
      <c r="W43" s="27"/>
      <c r="X43" s="27"/>
      <c r="Y43" s="27"/>
      <c r="Z43" s="27"/>
      <c r="AA43" s="27"/>
      <c r="AB43" s="27"/>
      <c r="AC43" s="27"/>
      <c r="AD43" s="27"/>
      <c r="AE43" s="27"/>
      <c r="AF43" s="27"/>
      <c r="AG43" s="27"/>
      <c r="AH43" s="27"/>
      <c r="AI43" s="27"/>
      <c r="AJ43" s="27"/>
      <c r="AK43" s="27"/>
      <c r="AL43" s="27"/>
      <c r="AM43" s="27"/>
      <c r="AN43" s="27"/>
      <c r="AO43" s="27"/>
      <c r="AP43" s="27"/>
      <c r="AQ43" s="27"/>
      <c r="AR43" s="27"/>
      <c r="AS43" s="27"/>
      <c r="AT43" s="27"/>
      <c r="AU43" s="27"/>
      <c r="AV43" s="27"/>
      <c r="AW43" s="27"/>
      <c r="AX43" s="27"/>
      <c r="AY43" s="27"/>
      <c r="AZ43" s="27"/>
      <c r="BA43" s="27"/>
      <c r="BB43" s="27"/>
      <c r="BC43" s="27"/>
      <c r="BD43" s="27"/>
      <c r="BE43" s="27"/>
      <c r="BF43" s="27"/>
      <c r="BG43" s="27"/>
      <c r="BH43" s="27"/>
      <c r="BI43" s="27"/>
      <c r="BJ43" s="27"/>
      <c r="BK43" s="27"/>
      <c r="BL43" s="27"/>
      <c r="BM43" s="27"/>
      <c r="BN43" s="27"/>
      <c r="BO43" s="27"/>
      <c r="BP43" s="27"/>
      <c r="BQ43" s="27"/>
      <c r="BR43" s="27"/>
      <c r="BS43" s="27"/>
      <c r="BT43" s="27"/>
      <c r="BU43" s="27"/>
      <c r="BV43" s="27"/>
      <c r="BW43" s="27"/>
      <c r="BX43" s="27"/>
      <c r="BY43" s="27"/>
      <c r="BZ43" s="27"/>
      <c r="CA43" s="27"/>
      <c r="CB43" s="27"/>
      <c r="CC43" s="27"/>
      <c r="CD43" s="27"/>
      <c r="CE43" s="27"/>
      <c r="CF43" s="27"/>
      <c r="CG43" s="27"/>
      <c r="CH43" s="27"/>
      <c r="CI43" s="27"/>
      <c r="CJ43" s="27"/>
      <c r="CK43" s="27"/>
      <c r="CL43" s="27"/>
      <c r="CM43" s="27"/>
      <c r="CN43" s="27"/>
      <c r="CO43" s="27"/>
      <c r="CP43" s="27"/>
      <c r="CQ43" s="27"/>
      <c r="CR43" s="27"/>
      <c r="CS43" s="27"/>
      <c r="CT43" s="27"/>
      <c r="CU43" s="27"/>
      <c r="CV43" s="27"/>
      <c r="CW43" s="27"/>
      <c r="CX43" s="27"/>
      <c r="CY43" s="27"/>
      <c r="CZ43" s="27"/>
      <c r="DA43" s="27"/>
      <c r="DB43" s="27"/>
      <c r="DC43" s="27"/>
      <c r="DD43" s="27"/>
      <c r="DE43" s="27"/>
      <c r="DF43" s="27"/>
      <c r="DG43" s="27"/>
      <c r="DH43" s="27"/>
      <c r="DI43" s="27"/>
      <c r="DJ43" s="27"/>
      <c r="DK43" s="27"/>
      <c r="DL43" s="27"/>
      <c r="DM43" s="27"/>
      <c r="DN43" s="27"/>
      <c r="DO43" s="27"/>
      <c r="DP43" s="27"/>
      <c r="DQ43" s="27"/>
      <c r="DR43" s="27"/>
      <c r="DS43" s="27"/>
      <c r="DT43" s="27"/>
      <c r="DU43" s="27"/>
      <c r="DV43" s="27"/>
      <c r="DW43" s="27"/>
      <c r="DX43" s="27"/>
      <c r="DY43" s="27"/>
      <c r="DZ43" s="27"/>
      <c r="EA43" s="27"/>
      <c r="EB43" s="27"/>
      <c r="EC43" s="27"/>
      <c r="ED43" s="27"/>
      <c r="EE43" s="27"/>
      <c r="EF43" s="27"/>
      <c r="EG43" s="27"/>
      <c r="EH43" s="27"/>
      <c r="EI43" s="27"/>
      <c r="EJ43" s="27"/>
      <c r="EK43" s="27"/>
      <c r="EL43" s="27"/>
      <c r="EM43" s="27"/>
      <c r="EN43" s="27"/>
      <c r="EO43" s="27"/>
      <c r="EP43" s="27"/>
      <c r="EQ43" s="27"/>
      <c r="ER43" s="27"/>
      <c r="ES43" s="27"/>
      <c r="ET43" s="27"/>
      <c r="EU43" s="27"/>
      <c r="EV43" s="27"/>
      <c r="EW43" s="27"/>
      <c r="EX43" s="27"/>
      <c r="EY43" s="27"/>
      <c r="EZ43" s="27"/>
      <c r="FA43" s="27"/>
      <c r="FB43" s="27"/>
      <c r="FC43" s="27"/>
      <c r="FD43" s="27"/>
      <c r="FE43" s="27"/>
      <c r="FF43" s="27"/>
      <c r="FG43" s="27"/>
      <c r="FH43" s="27"/>
      <c r="FI43" s="27"/>
      <c r="FJ43" s="27"/>
      <c r="FK43" s="27"/>
      <c r="FL43" s="27"/>
      <c r="FM43" s="27"/>
      <c r="FN43" s="27"/>
      <c r="FO43" s="27"/>
      <c r="FP43" s="27"/>
      <c r="FQ43" s="27"/>
      <c r="FR43" s="27"/>
      <c r="FS43" s="27"/>
      <c r="FT43" s="27"/>
      <c r="FU43" s="27"/>
      <c r="FV43" s="27"/>
      <c r="FW43" s="27"/>
      <c r="FX43" s="27"/>
      <c r="FY43" s="27"/>
      <c r="FZ43" s="27"/>
      <c r="GA43" s="27"/>
      <c r="GB43" s="27"/>
      <c r="GC43" s="27"/>
      <c r="GD43" s="27"/>
      <c r="GE43" s="27"/>
      <c r="GF43" s="27"/>
      <c r="GG43" s="27"/>
      <c r="GH43" s="27"/>
      <c r="GI43" s="27"/>
      <c r="GJ43" s="27"/>
      <c r="GK43" s="27"/>
      <c r="GL43" s="27"/>
      <c r="GM43" s="27"/>
      <c r="GN43" s="27"/>
      <c r="GO43" s="27"/>
      <c r="GP43" s="27"/>
      <c r="GQ43" s="27"/>
      <c r="GR43" s="27"/>
      <c r="GS43" s="27"/>
      <c r="GT43" s="27"/>
      <c r="GU43" s="27"/>
      <c r="GV43" s="27"/>
      <c r="GW43" s="27"/>
      <c r="GX43" s="27"/>
      <c r="GY43" s="27"/>
      <c r="GZ43" s="27"/>
      <c r="HA43" s="27"/>
      <c r="HB43" s="27"/>
      <c r="HC43" s="27"/>
      <c r="HD43" s="27"/>
      <c r="HE43" s="27"/>
      <c r="HF43" s="27"/>
      <c r="HG43" s="27"/>
      <c r="HH43" s="27"/>
      <c r="HI43" s="27"/>
      <c r="HJ43" s="27"/>
      <c r="HK43" s="27"/>
      <c r="HL43" s="27"/>
      <c r="HM43" s="27"/>
      <c r="HN43" s="27"/>
      <c r="HO43" s="27"/>
      <c r="HP43" s="27"/>
      <c r="HQ43" s="27"/>
      <c r="HR43" s="27"/>
      <c r="HS43" s="27"/>
      <c r="HT43" s="27"/>
      <c r="HU43" s="27"/>
      <c r="HV43" s="27"/>
      <c r="HW43" s="27"/>
      <c r="HX43" s="27"/>
      <c r="HY43" s="27"/>
      <c r="HZ43" s="27"/>
      <c r="IA43" s="27"/>
      <c r="IB43" s="27"/>
      <c r="IC43" s="27"/>
      <c r="ID43" s="27"/>
      <c r="IE43" s="27"/>
      <c r="IF43" s="27"/>
      <c r="IG43" s="27"/>
      <c r="IH43" s="27"/>
      <c r="II43" s="27"/>
      <c r="IJ43" s="27"/>
      <c r="IK43" s="27"/>
      <c r="IL43" s="27"/>
      <c r="IM43" s="27"/>
      <c r="IN43" s="27"/>
      <c r="IO43" s="27"/>
      <c r="IP43" s="27"/>
      <c r="IQ43" s="27"/>
      <c r="IR43" s="27"/>
      <c r="IS43" s="27"/>
      <c r="IT43" s="27"/>
      <c r="IU43" s="27"/>
      <c r="IV43" s="27"/>
      <c r="IW43" s="27"/>
      <c r="IX43" s="27"/>
      <c r="IY43" s="27"/>
      <c r="IZ43" s="27"/>
      <c r="JA43" s="27"/>
    </row>
    <row r="44" spans="1:261" x14ac:dyDescent="0.25">
      <c r="A44" s="1205">
        <f t="shared" si="4"/>
        <v>12</v>
      </c>
      <c r="B44" s="2100">
        <v>45016</v>
      </c>
      <c r="C44" s="2101"/>
      <c r="D44" s="1202">
        <f>+CALEND_!Q33</f>
        <v>1671775.26</v>
      </c>
      <c r="E44" s="1207">
        <f t="shared" si="5"/>
        <v>11499672.097215177</v>
      </c>
      <c r="F44" s="1202">
        <f>+'CURVA S'!O22</f>
        <v>0</v>
      </c>
      <c r="G44" s="1207"/>
      <c r="H44" s="1203">
        <f t="shared" si="6"/>
        <v>9.35E-2</v>
      </c>
      <c r="I44" s="1208">
        <f t="shared" si="7"/>
        <v>0.64310000000000012</v>
      </c>
      <c r="J44" s="1203">
        <f t="shared" si="1"/>
        <v>0</v>
      </c>
      <c r="K44" s="1204"/>
      <c r="L44" s="112"/>
      <c r="M44" s="112"/>
      <c r="N44" s="112"/>
      <c r="O44" s="27"/>
      <c r="P44" s="27"/>
      <c r="Q44" s="27"/>
      <c r="R44" s="27"/>
      <c r="S44" s="27"/>
      <c r="T44" s="27"/>
      <c r="U44" s="27"/>
      <c r="V44" s="27"/>
      <c r="W44" s="27"/>
      <c r="X44" s="27"/>
      <c r="Y44" s="27"/>
      <c r="Z44" s="27"/>
      <c r="AA44" s="27"/>
      <c r="AB44" s="27"/>
      <c r="AC44" s="27"/>
      <c r="AD44" s="27"/>
      <c r="AE44" s="27"/>
      <c r="AF44" s="27"/>
      <c r="AG44" s="27"/>
      <c r="AH44" s="27"/>
      <c r="AI44" s="27"/>
      <c r="AJ44" s="27"/>
      <c r="AK44" s="27"/>
      <c r="AL44" s="27"/>
      <c r="AM44" s="27"/>
      <c r="AN44" s="27"/>
      <c r="AO44" s="27"/>
      <c r="AP44" s="27"/>
      <c r="AQ44" s="27"/>
      <c r="AR44" s="27"/>
      <c r="AS44" s="27"/>
      <c r="AT44" s="27"/>
      <c r="AU44" s="27"/>
      <c r="AV44" s="27"/>
      <c r="AW44" s="27"/>
      <c r="AX44" s="27"/>
      <c r="AY44" s="27"/>
      <c r="AZ44" s="27"/>
      <c r="BA44" s="27"/>
      <c r="BB44" s="27"/>
      <c r="BC44" s="27"/>
      <c r="BD44" s="27"/>
      <c r="BE44" s="27"/>
      <c r="BF44" s="27"/>
      <c r="BG44" s="27"/>
      <c r="BH44" s="27"/>
      <c r="BI44" s="27"/>
      <c r="BJ44" s="27"/>
      <c r="BK44" s="27"/>
      <c r="BL44" s="27"/>
      <c r="BM44" s="27"/>
      <c r="BN44" s="27"/>
      <c r="BO44" s="27"/>
      <c r="BP44" s="27"/>
      <c r="BQ44" s="27"/>
      <c r="BR44" s="27"/>
      <c r="BS44" s="27"/>
      <c r="BT44" s="27"/>
      <c r="BU44" s="27"/>
      <c r="BV44" s="27"/>
      <c r="BW44" s="27"/>
      <c r="BX44" s="27"/>
      <c r="BY44" s="27"/>
      <c r="BZ44" s="27"/>
      <c r="CA44" s="27"/>
      <c r="CB44" s="27"/>
      <c r="CC44" s="27"/>
      <c r="CD44" s="27"/>
      <c r="CE44" s="27"/>
      <c r="CF44" s="27"/>
      <c r="CG44" s="27"/>
      <c r="CH44" s="27"/>
      <c r="CI44" s="27"/>
      <c r="CJ44" s="27"/>
      <c r="CK44" s="27"/>
      <c r="CL44" s="27"/>
      <c r="CM44" s="27"/>
      <c r="CN44" s="27"/>
      <c r="CO44" s="27"/>
      <c r="CP44" s="27"/>
      <c r="CQ44" s="27"/>
      <c r="CR44" s="27"/>
      <c r="CS44" s="27"/>
      <c r="CT44" s="27"/>
      <c r="CU44" s="27"/>
      <c r="CV44" s="27"/>
      <c r="CW44" s="27"/>
      <c r="CX44" s="27"/>
      <c r="CY44" s="27"/>
      <c r="CZ44" s="27"/>
      <c r="DA44" s="27"/>
      <c r="DB44" s="27"/>
      <c r="DC44" s="27"/>
      <c r="DD44" s="27"/>
      <c r="DE44" s="27"/>
      <c r="DF44" s="27"/>
      <c r="DG44" s="27"/>
      <c r="DH44" s="27"/>
      <c r="DI44" s="27"/>
      <c r="DJ44" s="27"/>
      <c r="DK44" s="27"/>
      <c r="DL44" s="27"/>
      <c r="DM44" s="27"/>
      <c r="DN44" s="27"/>
      <c r="DO44" s="27"/>
      <c r="DP44" s="27"/>
      <c r="DQ44" s="27"/>
      <c r="DR44" s="27"/>
      <c r="DS44" s="27"/>
      <c r="DT44" s="27"/>
      <c r="DU44" s="27"/>
      <c r="DV44" s="27"/>
      <c r="DW44" s="27"/>
      <c r="DX44" s="27"/>
      <c r="DY44" s="27"/>
      <c r="DZ44" s="27"/>
      <c r="EA44" s="27"/>
      <c r="EB44" s="27"/>
      <c r="EC44" s="27"/>
      <c r="ED44" s="27"/>
      <c r="EE44" s="27"/>
      <c r="EF44" s="27"/>
      <c r="EG44" s="27"/>
      <c r="EH44" s="27"/>
      <c r="EI44" s="27"/>
      <c r="EJ44" s="27"/>
      <c r="EK44" s="27"/>
      <c r="EL44" s="27"/>
      <c r="EM44" s="27"/>
      <c r="EN44" s="27"/>
      <c r="EO44" s="27"/>
      <c r="EP44" s="27"/>
      <c r="EQ44" s="27"/>
      <c r="ER44" s="27"/>
      <c r="ES44" s="27"/>
      <c r="ET44" s="27"/>
      <c r="EU44" s="27"/>
      <c r="EV44" s="27"/>
      <c r="EW44" s="27"/>
      <c r="EX44" s="27"/>
      <c r="EY44" s="27"/>
      <c r="EZ44" s="27"/>
      <c r="FA44" s="27"/>
      <c r="FB44" s="27"/>
      <c r="FC44" s="27"/>
      <c r="FD44" s="27"/>
      <c r="FE44" s="27"/>
      <c r="FF44" s="27"/>
      <c r="FG44" s="27"/>
      <c r="FH44" s="27"/>
      <c r="FI44" s="27"/>
      <c r="FJ44" s="27"/>
      <c r="FK44" s="27"/>
      <c r="FL44" s="27"/>
      <c r="FM44" s="27"/>
      <c r="FN44" s="27"/>
      <c r="FO44" s="27"/>
      <c r="FP44" s="27"/>
      <c r="FQ44" s="27"/>
      <c r="FR44" s="27"/>
      <c r="FS44" s="27"/>
      <c r="FT44" s="27"/>
      <c r="FU44" s="27"/>
      <c r="FV44" s="27"/>
      <c r="FW44" s="27"/>
      <c r="FX44" s="27"/>
      <c r="FY44" s="27"/>
      <c r="FZ44" s="27"/>
      <c r="GA44" s="27"/>
      <c r="GB44" s="27"/>
      <c r="GC44" s="27"/>
      <c r="GD44" s="27"/>
      <c r="GE44" s="27"/>
      <c r="GF44" s="27"/>
      <c r="GG44" s="27"/>
      <c r="GH44" s="27"/>
      <c r="GI44" s="27"/>
      <c r="GJ44" s="27"/>
      <c r="GK44" s="27"/>
      <c r="GL44" s="27"/>
      <c r="GM44" s="27"/>
      <c r="GN44" s="27"/>
      <c r="GO44" s="27"/>
      <c r="GP44" s="27"/>
      <c r="GQ44" s="27"/>
      <c r="GR44" s="27"/>
      <c r="GS44" s="27"/>
      <c r="GT44" s="27"/>
      <c r="GU44" s="27"/>
      <c r="GV44" s="27"/>
      <c r="GW44" s="27"/>
      <c r="GX44" s="27"/>
      <c r="GY44" s="27"/>
      <c r="GZ44" s="27"/>
      <c r="HA44" s="27"/>
      <c r="HB44" s="27"/>
      <c r="HC44" s="27"/>
      <c r="HD44" s="27"/>
      <c r="HE44" s="27"/>
      <c r="HF44" s="27"/>
      <c r="HG44" s="27"/>
      <c r="HH44" s="27"/>
      <c r="HI44" s="27"/>
      <c r="HJ44" s="27"/>
      <c r="HK44" s="27"/>
      <c r="HL44" s="27"/>
      <c r="HM44" s="27"/>
      <c r="HN44" s="27"/>
      <c r="HO44" s="27"/>
      <c r="HP44" s="27"/>
      <c r="HQ44" s="27"/>
      <c r="HR44" s="27"/>
      <c r="HS44" s="27"/>
      <c r="HT44" s="27"/>
      <c r="HU44" s="27"/>
      <c r="HV44" s="27"/>
      <c r="HW44" s="27"/>
      <c r="HX44" s="27"/>
      <c r="HY44" s="27"/>
      <c r="HZ44" s="27"/>
      <c r="IA44" s="27"/>
      <c r="IB44" s="27"/>
      <c r="IC44" s="27"/>
      <c r="ID44" s="27"/>
      <c r="IE44" s="27"/>
      <c r="IF44" s="27"/>
      <c r="IG44" s="27"/>
      <c r="IH44" s="27"/>
      <c r="II44" s="27"/>
      <c r="IJ44" s="27"/>
      <c r="IK44" s="27"/>
      <c r="IL44" s="27"/>
      <c r="IM44" s="27"/>
      <c r="IN44" s="27"/>
      <c r="IO44" s="27"/>
      <c r="IP44" s="27"/>
      <c r="IQ44" s="27"/>
      <c r="IR44" s="27"/>
      <c r="IS44" s="27"/>
      <c r="IT44" s="27"/>
      <c r="IU44" s="27"/>
      <c r="IV44" s="27"/>
      <c r="IW44" s="27"/>
      <c r="IX44" s="27"/>
      <c r="IY44" s="27"/>
      <c r="IZ44" s="27"/>
      <c r="JA44" s="27"/>
    </row>
    <row r="45" spans="1:261" x14ac:dyDescent="0.25">
      <c r="A45" s="1206">
        <f t="shared" si="4"/>
        <v>13</v>
      </c>
      <c r="B45" s="2098">
        <v>45046</v>
      </c>
      <c r="C45" s="2099"/>
      <c r="D45" s="1202">
        <f>+CALEND_!R33</f>
        <v>2059559.98</v>
      </c>
      <c r="E45" s="1207">
        <f t="shared" si="5"/>
        <v>13559232.077215178</v>
      </c>
      <c r="F45" s="1202">
        <f>+'CURVA S'!U22</f>
        <v>0</v>
      </c>
      <c r="G45" s="1207"/>
      <c r="H45" s="1203">
        <f t="shared" si="6"/>
        <v>0.1152</v>
      </c>
      <c r="I45" s="1208">
        <f t="shared" si="7"/>
        <v>0.75830000000000009</v>
      </c>
      <c r="J45" s="1257">
        <f t="shared" si="1"/>
        <v>0</v>
      </c>
      <c r="K45" s="1258"/>
      <c r="L45" s="112"/>
      <c r="M45" s="112"/>
      <c r="N45" s="112"/>
      <c r="O45" s="27"/>
      <c r="P45" s="27"/>
      <c r="Q45" s="27"/>
      <c r="R45" s="27"/>
      <c r="S45" s="27"/>
      <c r="T45" s="27"/>
      <c r="U45" s="27"/>
      <c r="V45" s="27"/>
      <c r="W45" s="27"/>
      <c r="X45" s="27"/>
      <c r="Y45" s="27"/>
      <c r="Z45" s="27"/>
      <c r="AA45" s="27"/>
      <c r="AB45" s="27"/>
      <c r="AC45" s="27"/>
      <c r="AD45" s="27"/>
      <c r="AE45" s="27"/>
      <c r="AF45" s="27"/>
      <c r="AG45" s="27"/>
      <c r="AH45" s="27"/>
      <c r="AI45" s="27"/>
      <c r="AJ45" s="27"/>
      <c r="AK45" s="27"/>
      <c r="AL45" s="27"/>
      <c r="AM45" s="27"/>
      <c r="AN45" s="27"/>
      <c r="AO45" s="27"/>
      <c r="AP45" s="27"/>
      <c r="AQ45" s="27"/>
      <c r="AR45" s="27"/>
      <c r="AS45" s="27"/>
      <c r="AT45" s="27"/>
      <c r="AU45" s="27"/>
      <c r="AV45" s="27"/>
      <c r="AW45" s="27"/>
      <c r="AX45" s="27"/>
      <c r="AY45" s="27"/>
      <c r="AZ45" s="27"/>
      <c r="BA45" s="27"/>
      <c r="BB45" s="27"/>
      <c r="BC45" s="27"/>
      <c r="BD45" s="27"/>
      <c r="BE45" s="27"/>
      <c r="BF45" s="27"/>
      <c r="BG45" s="27"/>
      <c r="BH45" s="27"/>
      <c r="BI45" s="27"/>
      <c r="BJ45" s="27"/>
      <c r="BK45" s="27"/>
      <c r="BL45" s="27"/>
      <c r="BM45" s="27"/>
      <c r="BN45" s="27"/>
      <c r="BO45" s="27"/>
      <c r="BP45" s="27"/>
      <c r="BQ45" s="27"/>
      <c r="BR45" s="27"/>
      <c r="BS45" s="27"/>
      <c r="BT45" s="27"/>
      <c r="BU45" s="27"/>
      <c r="BV45" s="27"/>
      <c r="BW45" s="27"/>
      <c r="BX45" s="27"/>
      <c r="BY45" s="27"/>
      <c r="BZ45" s="27"/>
      <c r="CA45" s="27"/>
      <c r="CB45" s="27"/>
      <c r="CC45" s="27"/>
      <c r="CD45" s="27"/>
      <c r="CE45" s="27"/>
      <c r="CF45" s="27"/>
      <c r="CG45" s="27"/>
      <c r="CH45" s="27"/>
      <c r="CI45" s="27"/>
      <c r="CJ45" s="27"/>
      <c r="CK45" s="27"/>
      <c r="CL45" s="27"/>
      <c r="CM45" s="27"/>
      <c r="CN45" s="27"/>
      <c r="CO45" s="27"/>
      <c r="CP45" s="27"/>
      <c r="CQ45" s="27"/>
      <c r="CR45" s="27"/>
      <c r="CS45" s="27"/>
      <c r="CT45" s="27"/>
      <c r="CU45" s="27"/>
      <c r="CV45" s="27"/>
      <c r="CW45" s="27"/>
      <c r="CX45" s="27"/>
      <c r="CY45" s="27"/>
      <c r="CZ45" s="27"/>
      <c r="DA45" s="27"/>
      <c r="DB45" s="27"/>
      <c r="DC45" s="27"/>
      <c r="DD45" s="27"/>
      <c r="DE45" s="27"/>
      <c r="DF45" s="27"/>
      <c r="DG45" s="27"/>
      <c r="DH45" s="27"/>
      <c r="DI45" s="27"/>
      <c r="DJ45" s="27"/>
      <c r="DK45" s="27"/>
      <c r="DL45" s="27"/>
      <c r="DM45" s="27"/>
      <c r="DN45" s="27"/>
      <c r="DO45" s="27"/>
      <c r="DP45" s="27"/>
      <c r="DQ45" s="27"/>
      <c r="DR45" s="27"/>
      <c r="DS45" s="27"/>
      <c r="DT45" s="27"/>
      <c r="DU45" s="27"/>
      <c r="DV45" s="27"/>
      <c r="DW45" s="27"/>
      <c r="DX45" s="27"/>
      <c r="DY45" s="27"/>
      <c r="DZ45" s="27"/>
      <c r="EA45" s="27"/>
      <c r="EB45" s="27"/>
      <c r="EC45" s="27"/>
      <c r="ED45" s="27"/>
      <c r="EE45" s="27"/>
      <c r="EF45" s="27"/>
      <c r="EG45" s="27"/>
      <c r="EH45" s="27"/>
      <c r="EI45" s="27"/>
      <c r="EJ45" s="27"/>
      <c r="EK45" s="27"/>
      <c r="EL45" s="27"/>
      <c r="EM45" s="27"/>
      <c r="EN45" s="27"/>
      <c r="EO45" s="27"/>
      <c r="EP45" s="27"/>
      <c r="EQ45" s="27"/>
      <c r="ER45" s="27"/>
      <c r="ES45" s="27"/>
      <c r="ET45" s="27"/>
      <c r="EU45" s="27"/>
      <c r="EV45" s="27"/>
      <c r="EW45" s="27"/>
      <c r="EX45" s="27"/>
      <c r="EY45" s="27"/>
      <c r="EZ45" s="27"/>
      <c r="FA45" s="27"/>
      <c r="FB45" s="27"/>
      <c r="FC45" s="27"/>
      <c r="FD45" s="27"/>
      <c r="FE45" s="27"/>
      <c r="FF45" s="27"/>
      <c r="FG45" s="27"/>
      <c r="FH45" s="27"/>
      <c r="FI45" s="27"/>
      <c r="FJ45" s="27"/>
      <c r="FK45" s="27"/>
      <c r="FL45" s="27"/>
      <c r="FM45" s="27"/>
      <c r="FN45" s="27"/>
      <c r="FO45" s="27"/>
      <c r="FP45" s="27"/>
      <c r="FQ45" s="27"/>
      <c r="FR45" s="27"/>
      <c r="FS45" s="27"/>
      <c r="FT45" s="27"/>
      <c r="FU45" s="27"/>
      <c r="FV45" s="27"/>
      <c r="FW45" s="27"/>
      <c r="FX45" s="27"/>
      <c r="FY45" s="27"/>
      <c r="FZ45" s="27"/>
      <c r="GA45" s="27"/>
      <c r="GB45" s="27"/>
      <c r="GC45" s="27"/>
      <c r="GD45" s="27"/>
      <c r="GE45" s="27"/>
      <c r="GF45" s="27"/>
      <c r="GG45" s="27"/>
      <c r="GH45" s="27"/>
      <c r="GI45" s="27"/>
      <c r="GJ45" s="27"/>
      <c r="GK45" s="27"/>
      <c r="GL45" s="27"/>
      <c r="GM45" s="27"/>
      <c r="GN45" s="27"/>
      <c r="GO45" s="27"/>
      <c r="GP45" s="27"/>
      <c r="GQ45" s="27"/>
      <c r="GR45" s="27"/>
      <c r="GS45" s="27"/>
      <c r="GT45" s="27"/>
      <c r="GU45" s="27"/>
      <c r="GV45" s="27"/>
      <c r="GW45" s="27"/>
      <c r="GX45" s="27"/>
      <c r="GY45" s="27"/>
      <c r="GZ45" s="27"/>
      <c r="HA45" s="27"/>
      <c r="HB45" s="27"/>
      <c r="HC45" s="27"/>
      <c r="HD45" s="27"/>
      <c r="HE45" s="27"/>
      <c r="HF45" s="27"/>
      <c r="HG45" s="27"/>
      <c r="HH45" s="27"/>
      <c r="HI45" s="27"/>
      <c r="HJ45" s="27"/>
      <c r="HK45" s="27"/>
      <c r="HL45" s="27"/>
      <c r="HM45" s="27"/>
      <c r="HN45" s="27"/>
      <c r="HO45" s="27"/>
      <c r="HP45" s="27"/>
      <c r="HQ45" s="27"/>
      <c r="HR45" s="27"/>
      <c r="HS45" s="27"/>
      <c r="HT45" s="27"/>
      <c r="HU45" s="27"/>
      <c r="HV45" s="27"/>
      <c r="HW45" s="27"/>
      <c r="HX45" s="27"/>
      <c r="HY45" s="27"/>
      <c r="HZ45" s="27"/>
      <c r="IA45" s="27"/>
      <c r="IB45" s="27"/>
      <c r="IC45" s="27"/>
      <c r="ID45" s="27"/>
      <c r="IE45" s="27"/>
      <c r="IF45" s="27"/>
      <c r="IG45" s="27"/>
      <c r="IH45" s="27"/>
      <c r="II45" s="27"/>
      <c r="IJ45" s="27"/>
      <c r="IK45" s="27"/>
      <c r="IL45" s="27"/>
      <c r="IM45" s="27"/>
      <c r="IN45" s="27"/>
      <c r="IO45" s="27"/>
      <c r="IP45" s="27"/>
      <c r="IQ45" s="27"/>
      <c r="IR45" s="27"/>
      <c r="IS45" s="27"/>
      <c r="IT45" s="27"/>
      <c r="IU45" s="27"/>
      <c r="IV45" s="27"/>
      <c r="IW45" s="27"/>
      <c r="IX45" s="27"/>
      <c r="IY45" s="27"/>
      <c r="IZ45" s="27"/>
      <c r="JA45" s="27"/>
    </row>
    <row r="46" spans="1:261" x14ac:dyDescent="0.25">
      <c r="A46" s="1206">
        <f t="shared" si="4"/>
        <v>14</v>
      </c>
      <c r="B46" s="2098">
        <v>45076</v>
      </c>
      <c r="C46" s="2099"/>
      <c r="D46" s="1202">
        <f>+CALEND_!S33</f>
        <v>1490298.67</v>
      </c>
      <c r="E46" s="1207">
        <f t="shared" ref="E46" si="10">+E45+D46</f>
        <v>15049530.747215178</v>
      </c>
      <c r="F46" s="1202">
        <f>+'CURVA S'!U23</f>
        <v>0</v>
      </c>
      <c r="G46" s="1207"/>
      <c r="H46" s="1203">
        <f t="shared" ref="H46" si="11">ROUND(D46/$J$25,4)</f>
        <v>8.3400000000000002E-2</v>
      </c>
      <c r="I46" s="1208">
        <f t="shared" ref="I46" si="12">+I45+H46</f>
        <v>0.84170000000000011</v>
      </c>
      <c r="J46" s="1257">
        <f t="shared" ref="J46" si="13">ROUND(F46/$D$17,4)</f>
        <v>0</v>
      </c>
      <c r="K46" s="1698"/>
      <c r="L46" s="112"/>
      <c r="M46" s="112"/>
      <c r="N46" s="112"/>
      <c r="O46" s="27"/>
      <c r="P46" s="27"/>
      <c r="Q46" s="27"/>
      <c r="R46" s="27"/>
      <c r="S46" s="27"/>
      <c r="T46" s="27"/>
      <c r="U46" s="27"/>
      <c r="V46" s="27"/>
      <c r="W46" s="27"/>
      <c r="X46" s="27"/>
      <c r="Y46" s="27"/>
      <c r="Z46" s="27"/>
      <c r="AA46" s="27"/>
      <c r="AB46" s="27"/>
      <c r="AC46" s="27"/>
      <c r="AD46" s="27"/>
      <c r="AE46" s="27"/>
      <c r="AF46" s="27"/>
      <c r="AG46" s="27"/>
      <c r="AH46" s="27"/>
      <c r="AI46" s="27"/>
      <c r="AJ46" s="27"/>
      <c r="AK46" s="27"/>
      <c r="AL46" s="27"/>
      <c r="AM46" s="27"/>
      <c r="AN46" s="27"/>
      <c r="AO46" s="27"/>
      <c r="AP46" s="27"/>
      <c r="AQ46" s="27"/>
      <c r="AR46" s="27"/>
      <c r="AS46" s="27"/>
      <c r="AT46" s="27"/>
      <c r="AU46" s="27"/>
      <c r="AV46" s="27"/>
      <c r="AW46" s="27"/>
      <c r="AX46" s="27"/>
      <c r="AY46" s="27"/>
      <c r="AZ46" s="27"/>
      <c r="BA46" s="27"/>
      <c r="BB46" s="27"/>
      <c r="BC46" s="27"/>
      <c r="BD46" s="27"/>
      <c r="BE46" s="27"/>
      <c r="BF46" s="27"/>
      <c r="BG46" s="27"/>
      <c r="BH46" s="27"/>
      <c r="BI46" s="27"/>
      <c r="BJ46" s="27"/>
      <c r="BK46" s="27"/>
      <c r="BL46" s="27"/>
      <c r="BM46" s="27"/>
      <c r="BN46" s="27"/>
      <c r="BO46" s="27"/>
      <c r="BP46" s="27"/>
      <c r="BQ46" s="27"/>
      <c r="BR46" s="27"/>
      <c r="BS46" s="27"/>
      <c r="BT46" s="27"/>
      <c r="BU46" s="27"/>
      <c r="BV46" s="27"/>
      <c r="BW46" s="27"/>
      <c r="BX46" s="27"/>
      <c r="BY46" s="27"/>
      <c r="BZ46" s="27"/>
      <c r="CA46" s="27"/>
      <c r="CB46" s="27"/>
      <c r="CC46" s="27"/>
      <c r="CD46" s="27"/>
      <c r="CE46" s="27"/>
      <c r="CF46" s="27"/>
      <c r="CG46" s="27"/>
      <c r="CH46" s="27"/>
      <c r="CI46" s="27"/>
      <c r="CJ46" s="27"/>
      <c r="CK46" s="27"/>
      <c r="CL46" s="27"/>
      <c r="CM46" s="27"/>
      <c r="CN46" s="27"/>
      <c r="CO46" s="27"/>
      <c r="CP46" s="27"/>
      <c r="CQ46" s="27"/>
      <c r="CR46" s="27"/>
      <c r="CS46" s="27"/>
      <c r="CT46" s="27"/>
      <c r="CU46" s="27"/>
      <c r="CV46" s="27"/>
      <c r="CW46" s="27"/>
      <c r="CX46" s="27"/>
      <c r="CY46" s="27"/>
      <c r="CZ46" s="27"/>
      <c r="DA46" s="27"/>
      <c r="DB46" s="27"/>
      <c r="DC46" s="27"/>
      <c r="DD46" s="27"/>
      <c r="DE46" s="27"/>
      <c r="DF46" s="27"/>
      <c r="DG46" s="27"/>
      <c r="DH46" s="27"/>
      <c r="DI46" s="27"/>
      <c r="DJ46" s="27"/>
      <c r="DK46" s="27"/>
      <c r="DL46" s="27"/>
      <c r="DM46" s="27"/>
      <c r="DN46" s="27"/>
      <c r="DO46" s="27"/>
      <c r="DP46" s="27"/>
      <c r="DQ46" s="27"/>
      <c r="DR46" s="27"/>
      <c r="DS46" s="27"/>
      <c r="DT46" s="27"/>
      <c r="DU46" s="27"/>
      <c r="DV46" s="27"/>
      <c r="DW46" s="27"/>
      <c r="DX46" s="27"/>
      <c r="DY46" s="27"/>
      <c r="DZ46" s="27"/>
      <c r="EA46" s="27"/>
      <c r="EB46" s="27"/>
      <c r="EC46" s="27"/>
      <c r="ED46" s="27"/>
      <c r="EE46" s="27"/>
      <c r="EF46" s="27"/>
      <c r="EG46" s="27"/>
      <c r="EH46" s="27"/>
      <c r="EI46" s="27"/>
      <c r="EJ46" s="27"/>
      <c r="EK46" s="27"/>
      <c r="EL46" s="27"/>
      <c r="EM46" s="27"/>
      <c r="EN46" s="27"/>
      <c r="EO46" s="27"/>
      <c r="EP46" s="27"/>
      <c r="EQ46" s="27"/>
      <c r="ER46" s="27"/>
      <c r="ES46" s="27"/>
      <c r="ET46" s="27"/>
      <c r="EU46" s="27"/>
      <c r="EV46" s="27"/>
      <c r="EW46" s="27"/>
      <c r="EX46" s="27"/>
      <c r="EY46" s="27"/>
      <c r="EZ46" s="27"/>
      <c r="FA46" s="27"/>
      <c r="FB46" s="27"/>
      <c r="FC46" s="27"/>
      <c r="FD46" s="27"/>
      <c r="FE46" s="27"/>
      <c r="FF46" s="27"/>
      <c r="FG46" s="27"/>
      <c r="FH46" s="27"/>
      <c r="FI46" s="27"/>
      <c r="FJ46" s="27"/>
      <c r="FK46" s="27"/>
      <c r="FL46" s="27"/>
      <c r="FM46" s="27"/>
      <c r="FN46" s="27"/>
      <c r="FO46" s="27"/>
      <c r="FP46" s="27"/>
      <c r="FQ46" s="27"/>
      <c r="FR46" s="27"/>
      <c r="FS46" s="27"/>
      <c r="FT46" s="27"/>
      <c r="FU46" s="27"/>
      <c r="FV46" s="27"/>
      <c r="FW46" s="27"/>
      <c r="FX46" s="27"/>
      <c r="FY46" s="27"/>
      <c r="FZ46" s="27"/>
      <c r="GA46" s="27"/>
      <c r="GB46" s="27"/>
      <c r="GC46" s="27"/>
      <c r="GD46" s="27"/>
      <c r="GE46" s="27"/>
      <c r="GF46" s="27"/>
      <c r="GG46" s="27"/>
      <c r="GH46" s="27"/>
      <c r="GI46" s="27"/>
      <c r="GJ46" s="27"/>
      <c r="GK46" s="27"/>
      <c r="GL46" s="27"/>
      <c r="GM46" s="27"/>
      <c r="GN46" s="27"/>
      <c r="GO46" s="27"/>
      <c r="GP46" s="27"/>
      <c r="GQ46" s="27"/>
      <c r="GR46" s="27"/>
      <c r="GS46" s="27"/>
      <c r="GT46" s="27"/>
      <c r="GU46" s="27"/>
      <c r="GV46" s="27"/>
      <c r="GW46" s="27"/>
      <c r="GX46" s="27"/>
      <c r="GY46" s="27"/>
      <c r="GZ46" s="27"/>
      <c r="HA46" s="27"/>
      <c r="HB46" s="27"/>
      <c r="HC46" s="27"/>
      <c r="HD46" s="27"/>
      <c r="HE46" s="27"/>
      <c r="HF46" s="27"/>
      <c r="HG46" s="27"/>
      <c r="HH46" s="27"/>
      <c r="HI46" s="27"/>
      <c r="HJ46" s="27"/>
      <c r="HK46" s="27"/>
      <c r="HL46" s="27"/>
      <c r="HM46" s="27"/>
      <c r="HN46" s="27"/>
      <c r="HO46" s="27"/>
      <c r="HP46" s="27"/>
      <c r="HQ46" s="27"/>
      <c r="HR46" s="27"/>
      <c r="HS46" s="27"/>
      <c r="HT46" s="27"/>
      <c r="HU46" s="27"/>
      <c r="HV46" s="27"/>
      <c r="HW46" s="27"/>
      <c r="HX46" s="27"/>
      <c r="HY46" s="27"/>
      <c r="HZ46" s="27"/>
      <c r="IA46" s="27"/>
      <c r="IB46" s="27"/>
      <c r="IC46" s="27"/>
      <c r="ID46" s="27"/>
      <c r="IE46" s="27"/>
      <c r="IF46" s="27"/>
      <c r="IG46" s="27"/>
      <c r="IH46" s="27"/>
      <c r="II46" s="27"/>
      <c r="IJ46" s="27"/>
      <c r="IK46" s="27"/>
      <c r="IL46" s="27"/>
      <c r="IM46" s="27"/>
      <c r="IN46" s="27"/>
      <c r="IO46" s="27"/>
      <c r="IP46" s="27"/>
      <c r="IQ46" s="27"/>
      <c r="IR46" s="27"/>
      <c r="IS46" s="27"/>
      <c r="IT46" s="27"/>
      <c r="IU46" s="27"/>
      <c r="IV46" s="27"/>
      <c r="IW46" s="27"/>
      <c r="IX46" s="27"/>
      <c r="IY46" s="27"/>
      <c r="IZ46" s="27"/>
      <c r="JA46" s="27"/>
    </row>
    <row r="47" spans="1:261" x14ac:dyDescent="0.25">
      <c r="A47" s="1206">
        <f t="shared" si="4"/>
        <v>15</v>
      </c>
      <c r="B47" s="2098">
        <v>45107</v>
      </c>
      <c r="C47" s="2099"/>
      <c r="D47" s="1202">
        <f>+CALEND_!U33</f>
        <v>1411423.6</v>
      </c>
      <c r="E47" s="1207">
        <f t="shared" ref="E47" si="14">+E46+D47</f>
        <v>16460954.347215177</v>
      </c>
      <c r="F47" s="1202">
        <f>+'CURVA S'!U24</f>
        <v>0</v>
      </c>
      <c r="G47" s="1207"/>
      <c r="H47" s="1203">
        <f>ROUND(D47/$J$25,4)</f>
        <v>7.8899999999999998E-2</v>
      </c>
      <c r="I47" s="1208">
        <f t="shared" ref="I47" si="15">+I46+H47</f>
        <v>0.92060000000000008</v>
      </c>
      <c r="J47" s="1257">
        <f t="shared" ref="J47" si="16">ROUND(F47/$D$17,4)</f>
        <v>0</v>
      </c>
      <c r="K47" s="1698"/>
      <c r="L47" s="112"/>
      <c r="M47" s="112"/>
      <c r="N47" s="112"/>
      <c r="O47" s="27"/>
      <c r="P47" s="27"/>
      <c r="Q47" s="27"/>
      <c r="R47" s="27"/>
      <c r="S47" s="27"/>
      <c r="T47" s="27"/>
      <c r="U47" s="27"/>
      <c r="V47" s="27"/>
      <c r="W47" s="27"/>
      <c r="X47" s="27"/>
      <c r="Y47" s="27"/>
      <c r="Z47" s="27"/>
      <c r="AA47" s="27"/>
      <c r="AB47" s="27"/>
      <c r="AC47" s="27"/>
      <c r="AD47" s="27"/>
      <c r="AE47" s="27"/>
      <c r="AF47" s="27"/>
      <c r="AG47" s="27"/>
      <c r="AH47" s="27"/>
      <c r="AI47" s="27"/>
      <c r="AJ47" s="27"/>
      <c r="AK47" s="27"/>
      <c r="AL47" s="27"/>
      <c r="AM47" s="27"/>
      <c r="AN47" s="27"/>
      <c r="AO47" s="27"/>
      <c r="AP47" s="27"/>
      <c r="AQ47" s="27"/>
      <c r="AR47" s="27"/>
      <c r="AS47" s="27"/>
      <c r="AT47" s="27"/>
      <c r="AU47" s="27"/>
      <c r="AV47" s="27"/>
      <c r="AW47" s="27"/>
      <c r="AX47" s="27"/>
      <c r="AY47" s="27"/>
      <c r="AZ47" s="27"/>
      <c r="BA47" s="27"/>
      <c r="BB47" s="27"/>
      <c r="BC47" s="27"/>
      <c r="BD47" s="27"/>
      <c r="BE47" s="27"/>
      <c r="BF47" s="27"/>
      <c r="BG47" s="27"/>
      <c r="BH47" s="27"/>
      <c r="BI47" s="27"/>
      <c r="BJ47" s="27"/>
      <c r="BK47" s="27"/>
      <c r="BL47" s="27"/>
      <c r="BM47" s="27"/>
      <c r="BN47" s="27"/>
      <c r="BO47" s="27"/>
      <c r="BP47" s="27"/>
      <c r="BQ47" s="27"/>
      <c r="BR47" s="27"/>
      <c r="BS47" s="27"/>
      <c r="BT47" s="27"/>
      <c r="BU47" s="27"/>
      <c r="BV47" s="27"/>
      <c r="BW47" s="27"/>
      <c r="BX47" s="27"/>
      <c r="BY47" s="27"/>
      <c r="BZ47" s="27"/>
      <c r="CA47" s="27"/>
      <c r="CB47" s="27"/>
      <c r="CC47" s="27"/>
      <c r="CD47" s="27"/>
      <c r="CE47" s="27"/>
      <c r="CF47" s="27"/>
      <c r="CG47" s="27"/>
      <c r="CH47" s="27"/>
      <c r="CI47" s="27"/>
      <c r="CJ47" s="27"/>
      <c r="CK47" s="27"/>
      <c r="CL47" s="27"/>
      <c r="CM47" s="27"/>
      <c r="CN47" s="27"/>
      <c r="CO47" s="27"/>
      <c r="CP47" s="27"/>
      <c r="CQ47" s="27"/>
      <c r="CR47" s="27"/>
      <c r="CS47" s="27"/>
      <c r="CT47" s="27"/>
      <c r="CU47" s="27"/>
      <c r="CV47" s="27"/>
      <c r="CW47" s="27"/>
      <c r="CX47" s="27"/>
      <c r="CY47" s="27"/>
      <c r="CZ47" s="27"/>
      <c r="DA47" s="27"/>
      <c r="DB47" s="27"/>
      <c r="DC47" s="27"/>
      <c r="DD47" s="27"/>
      <c r="DE47" s="27"/>
      <c r="DF47" s="27"/>
      <c r="DG47" s="27"/>
      <c r="DH47" s="27"/>
      <c r="DI47" s="27"/>
      <c r="DJ47" s="27"/>
      <c r="DK47" s="27"/>
      <c r="DL47" s="27"/>
      <c r="DM47" s="27"/>
      <c r="DN47" s="27"/>
      <c r="DO47" s="27"/>
      <c r="DP47" s="27"/>
      <c r="DQ47" s="27"/>
      <c r="DR47" s="27"/>
      <c r="DS47" s="27"/>
      <c r="DT47" s="27"/>
      <c r="DU47" s="27"/>
      <c r="DV47" s="27"/>
      <c r="DW47" s="27"/>
      <c r="DX47" s="27"/>
      <c r="DY47" s="27"/>
      <c r="DZ47" s="27"/>
      <c r="EA47" s="27"/>
      <c r="EB47" s="27"/>
      <c r="EC47" s="27"/>
      <c r="ED47" s="27"/>
      <c r="EE47" s="27"/>
      <c r="EF47" s="27"/>
      <c r="EG47" s="27"/>
      <c r="EH47" s="27"/>
      <c r="EI47" s="27"/>
      <c r="EJ47" s="27"/>
      <c r="EK47" s="27"/>
      <c r="EL47" s="27"/>
      <c r="EM47" s="27"/>
      <c r="EN47" s="27"/>
      <c r="EO47" s="27"/>
      <c r="EP47" s="27"/>
      <c r="EQ47" s="27"/>
      <c r="ER47" s="27"/>
      <c r="ES47" s="27"/>
      <c r="ET47" s="27"/>
      <c r="EU47" s="27"/>
      <c r="EV47" s="27"/>
      <c r="EW47" s="27"/>
      <c r="EX47" s="27"/>
      <c r="EY47" s="27"/>
      <c r="EZ47" s="27"/>
      <c r="FA47" s="27"/>
      <c r="FB47" s="27"/>
      <c r="FC47" s="27"/>
      <c r="FD47" s="27"/>
      <c r="FE47" s="27"/>
      <c r="FF47" s="27"/>
      <c r="FG47" s="27"/>
      <c r="FH47" s="27"/>
      <c r="FI47" s="27"/>
      <c r="FJ47" s="27"/>
      <c r="FK47" s="27"/>
      <c r="FL47" s="27"/>
      <c r="FM47" s="27"/>
      <c r="FN47" s="27"/>
      <c r="FO47" s="27"/>
      <c r="FP47" s="27"/>
      <c r="FQ47" s="27"/>
      <c r="FR47" s="27"/>
      <c r="FS47" s="27"/>
      <c r="FT47" s="27"/>
      <c r="FU47" s="27"/>
      <c r="FV47" s="27"/>
      <c r="FW47" s="27"/>
      <c r="FX47" s="27"/>
      <c r="FY47" s="27"/>
      <c r="FZ47" s="27"/>
      <c r="GA47" s="27"/>
      <c r="GB47" s="27"/>
      <c r="GC47" s="27"/>
      <c r="GD47" s="27"/>
      <c r="GE47" s="27"/>
      <c r="GF47" s="27"/>
      <c r="GG47" s="27"/>
      <c r="GH47" s="27"/>
      <c r="GI47" s="27"/>
      <c r="GJ47" s="27"/>
      <c r="GK47" s="27"/>
      <c r="GL47" s="27"/>
      <c r="GM47" s="27"/>
      <c r="GN47" s="27"/>
      <c r="GO47" s="27"/>
      <c r="GP47" s="27"/>
      <c r="GQ47" s="27"/>
      <c r="GR47" s="27"/>
      <c r="GS47" s="27"/>
      <c r="GT47" s="27"/>
      <c r="GU47" s="27"/>
      <c r="GV47" s="27"/>
      <c r="GW47" s="27"/>
      <c r="GX47" s="27"/>
      <c r="GY47" s="27"/>
      <c r="GZ47" s="27"/>
      <c r="HA47" s="27"/>
      <c r="HB47" s="27"/>
      <c r="HC47" s="27"/>
      <c r="HD47" s="27"/>
      <c r="HE47" s="27"/>
      <c r="HF47" s="27"/>
      <c r="HG47" s="27"/>
      <c r="HH47" s="27"/>
      <c r="HI47" s="27"/>
      <c r="HJ47" s="27"/>
      <c r="HK47" s="27"/>
      <c r="HL47" s="27"/>
      <c r="HM47" s="27"/>
      <c r="HN47" s="27"/>
      <c r="HO47" s="27"/>
      <c r="HP47" s="27"/>
      <c r="HQ47" s="27"/>
      <c r="HR47" s="27"/>
      <c r="HS47" s="27"/>
      <c r="HT47" s="27"/>
      <c r="HU47" s="27"/>
      <c r="HV47" s="27"/>
      <c r="HW47" s="27"/>
      <c r="HX47" s="27"/>
      <c r="HY47" s="27"/>
      <c r="HZ47" s="27"/>
      <c r="IA47" s="27"/>
      <c r="IB47" s="27"/>
      <c r="IC47" s="27"/>
      <c r="ID47" s="27"/>
      <c r="IE47" s="27"/>
      <c r="IF47" s="27"/>
      <c r="IG47" s="27"/>
      <c r="IH47" s="27"/>
      <c r="II47" s="27"/>
      <c r="IJ47" s="27"/>
      <c r="IK47" s="27"/>
      <c r="IL47" s="27"/>
      <c r="IM47" s="27"/>
      <c r="IN47" s="27"/>
      <c r="IO47" s="27"/>
      <c r="IP47" s="27"/>
      <c r="IQ47" s="27"/>
      <c r="IR47" s="27"/>
      <c r="IS47" s="27"/>
      <c r="IT47" s="27"/>
      <c r="IU47" s="27"/>
      <c r="IV47" s="27"/>
      <c r="IW47" s="27"/>
      <c r="IX47" s="27"/>
      <c r="IY47" s="27"/>
      <c r="IZ47" s="27"/>
      <c r="JA47" s="27"/>
    </row>
    <row r="48" spans="1:261" ht="15" x14ac:dyDescent="0.25">
      <c r="A48" s="1259"/>
      <c r="B48" s="2096" t="s">
        <v>11</v>
      </c>
      <c r="C48" s="2097"/>
      <c r="D48" s="1252">
        <f>SUM(D32:D47)</f>
        <v>16460954.347215177</v>
      </c>
      <c r="E48" s="1252"/>
      <c r="F48" s="1252">
        <f>SUM(F32:F47)</f>
        <v>5652414.5639999993</v>
      </c>
      <c r="G48" s="1252">
        <f>+G40</f>
        <v>5400375.0599999996</v>
      </c>
      <c r="H48" s="1253">
        <f>SUM(H32:H47)-0.0001</f>
        <v>0.92060000000000008</v>
      </c>
      <c r="I48" s="1254"/>
      <c r="J48" s="1255">
        <f>SUM(J32:J45)</f>
        <v>0.31620000000000004</v>
      </c>
      <c r="K48" s="1256">
        <f>+K40</f>
        <v>0.30200000000000005</v>
      </c>
      <c r="L48" s="113"/>
      <c r="M48" s="104"/>
      <c r="N48" s="27"/>
      <c r="O48" s="27"/>
      <c r="P48" s="27"/>
      <c r="Q48" s="27"/>
      <c r="R48" s="27"/>
      <c r="S48" s="27"/>
      <c r="T48" s="27"/>
      <c r="U48" s="27"/>
      <c r="V48" s="27"/>
      <c r="W48" s="27"/>
      <c r="X48" s="27"/>
      <c r="Y48" s="27"/>
      <c r="Z48" s="27"/>
      <c r="AA48" s="27"/>
      <c r="AB48" s="27"/>
      <c r="AC48" s="27"/>
      <c r="AD48" s="27"/>
      <c r="AE48" s="27"/>
      <c r="AF48" s="27"/>
      <c r="AG48" s="27"/>
      <c r="AH48" s="27"/>
      <c r="AI48" s="27"/>
      <c r="AJ48" s="27"/>
      <c r="AK48" s="27"/>
      <c r="AL48" s="27"/>
      <c r="AM48" s="27"/>
      <c r="AN48" s="27"/>
      <c r="AO48" s="27"/>
      <c r="AP48" s="27"/>
      <c r="AQ48" s="27"/>
      <c r="AR48" s="27"/>
      <c r="AS48" s="27"/>
      <c r="AT48" s="27"/>
      <c r="AU48" s="27"/>
      <c r="AV48" s="27"/>
      <c r="AW48" s="27"/>
      <c r="AX48" s="27"/>
      <c r="AY48" s="27"/>
      <c r="AZ48" s="27"/>
      <c r="BA48" s="27"/>
      <c r="BB48" s="27"/>
      <c r="BC48" s="27"/>
      <c r="BD48" s="27"/>
      <c r="BE48" s="27"/>
      <c r="BF48" s="27"/>
      <c r="BG48" s="27"/>
      <c r="BH48" s="27"/>
      <c r="BI48" s="27"/>
      <c r="BJ48" s="27"/>
      <c r="BK48" s="27"/>
      <c r="BL48" s="27"/>
      <c r="BM48" s="27"/>
      <c r="BN48" s="27"/>
      <c r="BO48" s="27"/>
      <c r="BP48" s="27"/>
      <c r="BQ48" s="27"/>
      <c r="BR48" s="27"/>
      <c r="BS48" s="27"/>
      <c r="BT48" s="27"/>
      <c r="BU48" s="27"/>
      <c r="BV48" s="27"/>
      <c r="BW48" s="27"/>
      <c r="BX48" s="27"/>
      <c r="BY48" s="27"/>
      <c r="BZ48" s="27"/>
      <c r="CA48" s="27"/>
      <c r="CB48" s="27"/>
      <c r="CC48" s="27"/>
      <c r="CD48" s="27"/>
      <c r="CE48" s="27"/>
      <c r="CF48" s="27"/>
      <c r="CG48" s="27"/>
      <c r="CH48" s="27"/>
      <c r="CI48" s="27"/>
      <c r="CJ48" s="27"/>
      <c r="CK48" s="27"/>
      <c r="CL48" s="27"/>
      <c r="CM48" s="27"/>
      <c r="CN48" s="27"/>
      <c r="CO48" s="27"/>
      <c r="CP48" s="27"/>
      <c r="CQ48" s="27"/>
      <c r="CR48" s="27"/>
      <c r="CS48" s="27"/>
      <c r="CT48" s="27"/>
      <c r="CU48" s="27"/>
      <c r="CV48" s="27"/>
      <c r="CW48" s="27"/>
      <c r="CX48" s="27"/>
      <c r="CY48" s="27"/>
      <c r="CZ48" s="27"/>
      <c r="DA48" s="27"/>
      <c r="DB48" s="27"/>
      <c r="DC48" s="27"/>
      <c r="DD48" s="27"/>
      <c r="DE48" s="27"/>
      <c r="DF48" s="27"/>
      <c r="DG48" s="27"/>
      <c r="DH48" s="27"/>
      <c r="DI48" s="27"/>
      <c r="DJ48" s="27"/>
      <c r="DK48" s="27"/>
      <c r="DL48" s="27"/>
      <c r="DM48" s="27"/>
      <c r="DN48" s="27"/>
      <c r="DO48" s="27"/>
      <c r="DP48" s="27"/>
      <c r="DQ48" s="27"/>
      <c r="DR48" s="27"/>
      <c r="DS48" s="27"/>
      <c r="DT48" s="27"/>
      <c r="DU48" s="27"/>
      <c r="DV48" s="27"/>
      <c r="DW48" s="27"/>
      <c r="DX48" s="27"/>
      <c r="DY48" s="27"/>
      <c r="DZ48" s="27"/>
      <c r="EA48" s="27"/>
      <c r="EB48" s="27"/>
      <c r="EC48" s="27"/>
      <c r="ED48" s="27"/>
      <c r="EE48" s="27"/>
      <c r="EF48" s="27"/>
      <c r="EG48" s="27"/>
      <c r="EH48" s="27"/>
      <c r="EI48" s="27"/>
      <c r="EJ48" s="27"/>
      <c r="EK48" s="27"/>
      <c r="EL48" s="27"/>
      <c r="EM48" s="27"/>
      <c r="EN48" s="27"/>
      <c r="EO48" s="27"/>
      <c r="EP48" s="27"/>
      <c r="EQ48" s="27"/>
      <c r="ER48" s="27"/>
      <c r="ES48" s="27"/>
      <c r="ET48" s="27"/>
      <c r="EU48" s="27"/>
      <c r="EV48" s="27"/>
      <c r="EW48" s="27"/>
      <c r="EX48" s="27"/>
      <c r="EY48" s="27"/>
      <c r="EZ48" s="27"/>
      <c r="FA48" s="27"/>
      <c r="FB48" s="27"/>
      <c r="FC48" s="27"/>
      <c r="FD48" s="27"/>
      <c r="FE48" s="27"/>
      <c r="FF48" s="27"/>
      <c r="FG48" s="27"/>
      <c r="FH48" s="27"/>
      <c r="FI48" s="27"/>
      <c r="FJ48" s="27"/>
      <c r="FK48" s="27"/>
      <c r="FL48" s="27"/>
      <c r="FM48" s="27"/>
      <c r="FN48" s="27"/>
      <c r="FO48" s="27"/>
      <c r="FP48" s="27"/>
      <c r="FQ48" s="27"/>
      <c r="FR48" s="27"/>
      <c r="FS48" s="27"/>
      <c r="FT48" s="27"/>
      <c r="FU48" s="27"/>
      <c r="FV48" s="27"/>
      <c r="FW48" s="27"/>
      <c r="FX48" s="27"/>
      <c r="FY48" s="27"/>
      <c r="FZ48" s="27"/>
      <c r="GA48" s="27"/>
      <c r="GB48" s="27"/>
      <c r="GC48" s="27"/>
      <c r="GD48" s="27"/>
      <c r="GE48" s="27"/>
      <c r="GF48" s="27"/>
      <c r="GG48" s="27"/>
      <c r="GH48" s="27"/>
      <c r="GI48" s="27"/>
      <c r="GJ48" s="27"/>
      <c r="GK48" s="27"/>
      <c r="GL48" s="27"/>
      <c r="GM48" s="27"/>
      <c r="GN48" s="27"/>
      <c r="GO48" s="27"/>
      <c r="GP48" s="27"/>
      <c r="GQ48" s="27"/>
      <c r="GR48" s="27"/>
      <c r="GS48" s="27"/>
      <c r="GT48" s="27"/>
      <c r="GU48" s="27"/>
      <c r="GV48" s="27"/>
      <c r="GW48" s="27"/>
      <c r="GX48" s="27"/>
      <c r="GY48" s="27"/>
      <c r="GZ48" s="27"/>
      <c r="HA48" s="27"/>
      <c r="HB48" s="27"/>
      <c r="HC48" s="27"/>
      <c r="HD48" s="27"/>
      <c r="HE48" s="27"/>
      <c r="HF48" s="27"/>
      <c r="HG48" s="27"/>
      <c r="HH48" s="27"/>
      <c r="HI48" s="27"/>
      <c r="HJ48" s="27"/>
      <c r="HK48" s="27"/>
      <c r="HL48" s="27"/>
      <c r="HM48" s="27"/>
      <c r="HN48" s="27"/>
      <c r="HO48" s="27"/>
      <c r="HP48" s="27"/>
      <c r="HQ48" s="27"/>
      <c r="HR48" s="27"/>
      <c r="HS48" s="27"/>
      <c r="HT48" s="27"/>
      <c r="HU48" s="27"/>
      <c r="HV48" s="27"/>
      <c r="HW48" s="27"/>
      <c r="HX48" s="27"/>
      <c r="HY48" s="27"/>
      <c r="HZ48" s="27"/>
      <c r="IA48" s="27"/>
      <c r="IB48" s="27"/>
      <c r="IC48" s="27"/>
      <c r="ID48" s="27"/>
      <c r="IE48" s="27"/>
      <c r="IF48" s="27"/>
      <c r="IG48" s="27"/>
      <c r="IH48" s="27"/>
      <c r="II48" s="27"/>
      <c r="IJ48" s="27"/>
      <c r="IK48" s="27"/>
      <c r="IL48" s="27"/>
      <c r="IM48" s="27"/>
      <c r="IN48" s="27"/>
      <c r="IO48" s="27"/>
      <c r="IP48" s="27"/>
      <c r="IQ48" s="27"/>
      <c r="IR48" s="27"/>
      <c r="IS48" s="27"/>
      <c r="IT48" s="27"/>
      <c r="IU48" s="27"/>
      <c r="IV48" s="27"/>
      <c r="IW48" s="27"/>
      <c r="IX48" s="27"/>
      <c r="IY48" s="27"/>
      <c r="IZ48" s="27"/>
      <c r="JA48" s="27"/>
    </row>
    <row r="50" spans="2:18" x14ac:dyDescent="0.25">
      <c r="H50" s="114"/>
      <c r="I50" s="114"/>
    </row>
    <row r="51" spans="2:18" x14ac:dyDescent="0.25">
      <c r="D51" s="85">
        <f>+J25</f>
        <v>17878272.1008</v>
      </c>
      <c r="E51" s="85"/>
      <c r="H51" s="2">
        <v>100</v>
      </c>
      <c r="J51" s="224">
        <f>+J48/H48</f>
        <v>0.3434716489246144</v>
      </c>
      <c r="K51" s="224"/>
    </row>
    <row r="52" spans="2:18" x14ac:dyDescent="0.25">
      <c r="G52" s="85">
        <f>'PUENTE CCANCHI'!L129/1.18</f>
        <v>5990239</v>
      </c>
    </row>
    <row r="54" spans="2:18" x14ac:dyDescent="0.25">
      <c r="C54" s="224"/>
      <c r="D54" s="679"/>
      <c r="E54" s="679"/>
      <c r="F54" s="680"/>
      <c r="G54" s="680"/>
      <c r="H54" s="680"/>
      <c r="I54" s="680"/>
      <c r="J54" s="680"/>
      <c r="K54" s="680"/>
      <c r="L54" s="680"/>
      <c r="M54" s="680"/>
      <c r="N54" s="680"/>
      <c r="O54" s="680"/>
      <c r="P54" s="680"/>
    </row>
    <row r="57" spans="2:18" x14ac:dyDescent="0.25">
      <c r="F57" s="85"/>
      <c r="G57" s="85"/>
    </row>
    <row r="63" spans="2:18" x14ac:dyDescent="0.25">
      <c r="B63" s="414"/>
      <c r="C63" s="414"/>
      <c r="D63" s="414"/>
      <c r="E63" s="414"/>
      <c r="F63" s="414"/>
      <c r="G63" s="414"/>
      <c r="H63" s="414"/>
      <c r="I63" s="414"/>
      <c r="J63" s="414"/>
      <c r="K63" s="414"/>
      <c r="L63" s="414"/>
      <c r="M63" s="414"/>
      <c r="N63" s="414"/>
      <c r="O63" s="414"/>
      <c r="P63" s="414"/>
      <c r="Q63" s="414"/>
      <c r="R63" s="414"/>
    </row>
  </sheetData>
  <mergeCells count="45">
    <mergeCell ref="F25:G25"/>
    <mergeCell ref="B8:J8"/>
    <mergeCell ref="B21:B22"/>
    <mergeCell ref="F22:G22"/>
    <mergeCell ref="H20:I20"/>
    <mergeCell ref="H21:I21"/>
    <mergeCell ref="H22:I22"/>
    <mergeCell ref="J20:K20"/>
    <mergeCell ref="J21:K21"/>
    <mergeCell ref="J22:K22"/>
    <mergeCell ref="H25:I25"/>
    <mergeCell ref="J25:K25"/>
    <mergeCell ref="B4:D4"/>
    <mergeCell ref="B5:D5"/>
    <mergeCell ref="D17:E17"/>
    <mergeCell ref="F20:G20"/>
    <mergeCell ref="F21:G21"/>
    <mergeCell ref="D12:J13"/>
    <mergeCell ref="C20:D20"/>
    <mergeCell ref="B27:J27"/>
    <mergeCell ref="B35:C35"/>
    <mergeCell ref="B36:C36"/>
    <mergeCell ref="B37:C37"/>
    <mergeCell ref="B29:C31"/>
    <mergeCell ref="B32:C32"/>
    <mergeCell ref="B33:C33"/>
    <mergeCell ref="B34:C34"/>
    <mergeCell ref="H31:I31"/>
    <mergeCell ref="J31:K31"/>
    <mergeCell ref="D29:G30"/>
    <mergeCell ref="H29:K30"/>
    <mergeCell ref="A29:A31"/>
    <mergeCell ref="D31:E31"/>
    <mergeCell ref="F31:G31"/>
    <mergeCell ref="B48:C48"/>
    <mergeCell ref="B45:C45"/>
    <mergeCell ref="B40:C40"/>
    <mergeCell ref="B41:C41"/>
    <mergeCell ref="B38:C38"/>
    <mergeCell ref="B39:C39"/>
    <mergeCell ref="B42:C42"/>
    <mergeCell ref="B43:C43"/>
    <mergeCell ref="B44:C44"/>
    <mergeCell ref="B46:C46"/>
    <mergeCell ref="B47:C47"/>
  </mergeCells>
  <phoneticPr fontId="29" type="noConversion"/>
  <pageMargins left="0.73" right="0.19685039370078741" top="0.74803149606299213" bottom="0.43307086614173229" header="0.51181102362204722" footer="0.51181102362204722"/>
  <pageSetup paperSize="9" scale="61" firstPageNumber="0"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rgb="FFFFFF00"/>
  </sheetPr>
  <dimension ref="A1:AC94"/>
  <sheetViews>
    <sheetView view="pageBreakPreview" topLeftCell="A18" zoomScale="80" zoomScaleNormal="75" zoomScaleSheetLayoutView="80" workbookViewId="0">
      <selection activeCell="Z88" sqref="Z88"/>
    </sheetView>
  </sheetViews>
  <sheetFormatPr baseColWidth="10" defaultColWidth="10.5546875" defaultRowHeight="13.8" x14ac:dyDescent="0.3"/>
  <cols>
    <col min="1" max="1" width="6" style="116" customWidth="1"/>
    <col min="2" max="3" width="10.5546875" style="116"/>
    <col min="4" max="4" width="23.5546875" style="116" customWidth="1"/>
    <col min="5" max="5" width="12.6640625" style="116" customWidth="1"/>
    <col min="6" max="7" width="12.109375" style="116" customWidth="1"/>
    <col min="8" max="8" width="12.6640625" style="116" customWidth="1"/>
    <col min="9" max="9" width="12.109375" style="116" customWidth="1"/>
    <col min="10" max="10" width="11.109375" style="116" customWidth="1"/>
    <col min="11" max="11" width="13" style="116" customWidth="1"/>
    <col min="12" max="14" width="12.33203125" style="116" customWidth="1"/>
    <col min="15" max="15" width="13.109375" style="116" customWidth="1"/>
    <col min="16" max="16" width="11.88671875" style="116" customWidth="1"/>
    <col min="17" max="18" width="11.88671875" style="116" hidden="1" customWidth="1"/>
    <col min="19" max="19" width="12.44140625" style="116" hidden="1" customWidth="1"/>
    <col min="20" max="20" width="13" style="116" hidden="1" customWidth="1"/>
    <col min="21" max="21" width="11" style="116" hidden="1" customWidth="1"/>
    <col min="22" max="22" width="10.88671875" style="116" hidden="1" customWidth="1"/>
    <col min="23" max="25" width="11" style="116" hidden="1" customWidth="1"/>
    <col min="26" max="26" width="13.109375" style="116" customWidth="1"/>
    <col min="27" max="28" width="10.5546875" style="116"/>
    <col min="29" max="29" width="10.6640625" style="116" bestFit="1" customWidth="1"/>
    <col min="30" max="16384" width="10.5546875" style="116"/>
  </cols>
  <sheetData>
    <row r="1" spans="1:28" x14ac:dyDescent="0.3">
      <c r="A1" s="2172" t="str">
        <f>RESUM_VAL_!A1</f>
        <v>GOBIERNO REGIONAL AYACUCHO</v>
      </c>
      <c r="B1" s="2172"/>
      <c r="C1" s="2172"/>
      <c r="D1" s="2172"/>
      <c r="E1" s="115"/>
      <c r="F1" s="115"/>
      <c r="G1" s="115"/>
      <c r="H1" s="115"/>
      <c r="I1" s="115"/>
      <c r="J1" s="115"/>
      <c r="K1" s="115"/>
      <c r="L1" s="115"/>
      <c r="M1" s="115"/>
      <c r="N1" s="115"/>
      <c r="O1" s="115"/>
      <c r="P1" s="115"/>
      <c r="Q1" s="115"/>
      <c r="R1" s="115"/>
      <c r="S1" s="115"/>
      <c r="T1" s="115"/>
      <c r="U1" s="115"/>
      <c r="V1" s="115"/>
      <c r="W1" s="115"/>
      <c r="X1" s="115"/>
      <c r="Y1" s="115"/>
    </row>
    <row r="2" spans="1:28" x14ac:dyDescent="0.3">
      <c r="A2" s="2172" t="str">
        <f>RESUM_VAL_!A2</f>
        <v>SUBGERENCIA DE SUPERVISION Y LIQUIDACION</v>
      </c>
      <c r="B2" s="2172"/>
      <c r="C2" s="2172"/>
      <c r="D2" s="2172"/>
      <c r="E2" s="115"/>
      <c r="F2" s="115"/>
      <c r="G2" s="115"/>
      <c r="H2" s="115"/>
      <c r="I2" s="115"/>
      <c r="J2" s="115"/>
      <c r="K2" s="115"/>
      <c r="L2" s="115"/>
      <c r="M2" s="115"/>
      <c r="N2" s="115"/>
      <c r="O2" s="115"/>
      <c r="P2" s="115"/>
      <c r="Q2" s="115"/>
      <c r="R2" s="115"/>
      <c r="S2" s="115"/>
      <c r="T2" s="115"/>
      <c r="U2" s="115"/>
      <c r="V2" s="115"/>
      <c r="W2" s="115"/>
      <c r="X2" s="115"/>
      <c r="Y2" s="115"/>
    </row>
    <row r="3" spans="1:28" x14ac:dyDescent="0.3">
      <c r="A3" s="132"/>
      <c r="B3" s="132"/>
      <c r="C3" s="132"/>
      <c r="D3" s="115"/>
      <c r="E3" s="115"/>
      <c r="F3" s="115"/>
      <c r="G3" s="115"/>
      <c r="H3" s="115"/>
      <c r="I3" s="115"/>
      <c r="J3" s="115"/>
      <c r="K3" s="115"/>
      <c r="L3" s="115"/>
      <c r="M3" s="115"/>
      <c r="N3" s="115"/>
      <c r="O3" s="115"/>
      <c r="P3" s="115"/>
      <c r="Q3" s="115"/>
      <c r="R3" s="115"/>
      <c r="S3" s="115"/>
      <c r="T3" s="115"/>
      <c r="U3" s="115"/>
      <c r="V3" s="115"/>
      <c r="W3" s="115"/>
      <c r="X3" s="115"/>
      <c r="Y3" s="115"/>
    </row>
    <row r="4" spans="1:28" ht="18" x14ac:dyDescent="0.35">
      <c r="A4" s="2171" t="str">
        <f>CARAT_!A45</f>
        <v>INFORME DE SUPERVISIÓN N° 09 - DICIEMBRE - 2022</v>
      </c>
      <c r="B4" s="2171"/>
      <c r="C4" s="2171"/>
      <c r="D4" s="2171"/>
      <c r="E4" s="2171"/>
      <c r="F4" s="2171"/>
      <c r="G4" s="2171"/>
      <c r="H4" s="2171"/>
      <c r="I4" s="2171"/>
      <c r="J4" s="2171"/>
      <c r="K4" s="2171"/>
      <c r="L4" s="2171"/>
      <c r="M4" s="2171"/>
      <c r="N4" s="2171"/>
      <c r="O4" s="2171"/>
      <c r="P4" s="2171"/>
      <c r="Q4" s="2171"/>
      <c r="R4" s="2171"/>
      <c r="S4" s="2171"/>
      <c r="T4" s="2171"/>
      <c r="U4" s="2171"/>
      <c r="V4" s="2171"/>
      <c r="W4" s="2171"/>
      <c r="X4" s="2171"/>
      <c r="Y4" s="2171"/>
      <c r="Z4" s="2171"/>
      <c r="AA4" s="133"/>
      <c r="AB4" s="133"/>
    </row>
    <row r="5" spans="1:28" ht="18" x14ac:dyDescent="0.35">
      <c r="A5" s="2174" t="s">
        <v>127</v>
      </c>
      <c r="B5" s="2174"/>
      <c r="C5" s="2174"/>
      <c r="D5" s="2174"/>
      <c r="E5" s="2174"/>
      <c r="F5" s="2174"/>
      <c r="G5" s="2174"/>
      <c r="H5" s="2174"/>
      <c r="I5" s="2174"/>
      <c r="J5" s="2174"/>
      <c r="K5" s="2174"/>
      <c r="L5" s="2174"/>
      <c r="M5" s="2174"/>
      <c r="N5" s="2174"/>
      <c r="O5" s="2174"/>
      <c r="P5" s="2174"/>
      <c r="Q5" s="2174"/>
      <c r="R5" s="2174"/>
      <c r="S5" s="2174"/>
      <c r="T5" s="2174"/>
      <c r="U5" s="2174"/>
      <c r="V5" s="2174"/>
      <c r="W5" s="2174"/>
      <c r="X5" s="2174"/>
      <c r="Y5" s="2174"/>
      <c r="Z5" s="2174"/>
      <c r="AA5" s="133"/>
      <c r="AB5" s="133"/>
    </row>
    <row r="6" spans="1:28" ht="15.6" x14ac:dyDescent="0.3">
      <c r="A6" s="133"/>
      <c r="B6" s="133"/>
      <c r="C6" s="133"/>
      <c r="D6" s="133"/>
      <c r="E6" s="133"/>
      <c r="F6" s="133"/>
      <c r="G6" s="133"/>
      <c r="H6" s="133"/>
      <c r="I6" s="133"/>
      <c r="J6" s="133"/>
      <c r="K6" s="133"/>
      <c r="L6" s="133"/>
      <c r="M6" s="133"/>
      <c r="N6" s="133"/>
      <c r="O6" s="133"/>
      <c r="P6" s="133"/>
      <c r="Q6" s="133"/>
      <c r="R6" s="133"/>
      <c r="S6" s="133"/>
      <c r="T6" s="133"/>
      <c r="U6" s="133"/>
      <c r="V6" s="133"/>
      <c r="W6" s="133"/>
      <c r="X6" s="133"/>
      <c r="Y6" s="133"/>
    </row>
    <row r="7" spans="1:28" x14ac:dyDescent="0.3">
      <c r="A7" s="117" t="s">
        <v>1204</v>
      </c>
      <c r="B7" s="118"/>
      <c r="C7" s="378" t="s">
        <v>7</v>
      </c>
      <c r="D7" s="119" t="str">
        <f>CARAT_!$F$47</f>
        <v>ESPECIFICO Nº SP-2022-012</v>
      </c>
      <c r="E7" s="115"/>
      <c r="F7" s="115"/>
      <c r="G7" s="115"/>
      <c r="H7" s="115"/>
      <c r="I7" s="115"/>
      <c r="J7" s="115"/>
      <c r="K7" s="115"/>
      <c r="L7" s="115"/>
      <c r="M7" s="115"/>
      <c r="N7" s="115"/>
      <c r="O7" s="115"/>
      <c r="P7" s="115"/>
      <c r="Q7" s="115"/>
      <c r="R7" s="115"/>
      <c r="S7" s="115"/>
      <c r="T7" s="115"/>
      <c r="U7" s="115"/>
      <c r="V7" s="115"/>
      <c r="W7" s="115"/>
      <c r="X7" s="115"/>
      <c r="Y7" s="115"/>
    </row>
    <row r="8" spans="1:28" x14ac:dyDescent="0.3">
      <c r="A8" s="120" t="s">
        <v>18</v>
      </c>
      <c r="B8" s="118"/>
      <c r="C8" s="378" t="s">
        <v>7</v>
      </c>
      <c r="D8" s="2173" t="str">
        <f>CARAT_!F48</f>
        <v>“CREACION DEL PUENTE VEHICULAR CCANCHIS SOBRE EL RIO PAMPAS, DISTRITO DE CHUNGUI - PROVINCIA LA MAR - DEPARTAMENTO AYACUCHO”.</v>
      </c>
      <c r="E8" s="2173"/>
      <c r="F8" s="2173"/>
      <c r="G8" s="2173"/>
      <c r="H8" s="2173"/>
      <c r="I8" s="2173"/>
      <c r="J8" s="2173"/>
      <c r="K8" s="2173"/>
      <c r="L8" s="2173"/>
      <c r="M8" s="2173"/>
      <c r="N8" s="2173"/>
      <c r="O8" s="2173"/>
      <c r="P8" s="2173"/>
      <c r="Q8" s="2173"/>
      <c r="R8" s="2173"/>
      <c r="S8" s="2173"/>
      <c r="T8" s="2173"/>
      <c r="U8" s="2173"/>
      <c r="V8" s="2173"/>
      <c r="W8" s="2173"/>
      <c r="X8" s="2173"/>
      <c r="Y8" s="2173"/>
      <c r="Z8" s="2173"/>
      <c r="AA8" s="2173"/>
    </row>
    <row r="9" spans="1:28" x14ac:dyDescent="0.3">
      <c r="A9" s="118" t="s">
        <v>1488</v>
      </c>
      <c r="B9" s="118"/>
      <c r="C9" s="378" t="s">
        <v>7</v>
      </c>
      <c r="D9" s="119" t="str">
        <f>CARAT_!$F$52</f>
        <v>SIMA PERU S.A.</v>
      </c>
      <c r="E9" s="115"/>
      <c r="F9" s="115"/>
      <c r="G9" s="115"/>
      <c r="H9" s="115"/>
      <c r="I9" s="115"/>
      <c r="J9" s="115"/>
      <c r="K9" s="115"/>
      <c r="L9" s="115"/>
      <c r="M9" s="115"/>
      <c r="N9" s="115"/>
      <c r="O9" s="115"/>
      <c r="P9" s="115"/>
      <c r="Q9" s="115"/>
      <c r="R9" s="115"/>
      <c r="S9" s="115"/>
      <c r="T9" s="115"/>
      <c r="U9" s="115"/>
      <c r="V9" s="115"/>
      <c r="W9" s="115"/>
      <c r="X9" s="115"/>
      <c r="Y9" s="115"/>
    </row>
    <row r="10" spans="1:28" x14ac:dyDescent="0.3">
      <c r="A10" s="118" t="s">
        <v>2</v>
      </c>
      <c r="B10" s="118"/>
      <c r="C10" s="378" t="s">
        <v>7</v>
      </c>
      <c r="D10" s="119" t="s">
        <v>1461</v>
      </c>
      <c r="E10" s="115"/>
      <c r="F10" s="115"/>
      <c r="G10" s="115"/>
      <c r="H10" s="115"/>
      <c r="I10" s="115"/>
      <c r="J10" s="115"/>
      <c r="K10" s="115"/>
      <c r="L10" s="115"/>
      <c r="M10" s="115"/>
      <c r="N10" s="115"/>
      <c r="O10" s="115"/>
      <c r="P10" s="115"/>
      <c r="Q10" s="115"/>
      <c r="R10" s="115"/>
      <c r="S10" s="115"/>
      <c r="T10" s="115"/>
      <c r="U10" s="115"/>
      <c r="V10" s="115"/>
      <c r="W10" s="115"/>
      <c r="X10" s="115"/>
      <c r="Y10" s="115"/>
    </row>
    <row r="11" spans="1:28" x14ac:dyDescent="0.3">
      <c r="A11" s="118" t="s">
        <v>3</v>
      </c>
      <c r="B11" s="118"/>
      <c r="C11" s="378" t="s">
        <v>7</v>
      </c>
      <c r="D11" s="119" t="str">
        <f>CARAT_!$F$54</f>
        <v>MES DE DICIEMBRE DE 2022</v>
      </c>
      <c r="E11" s="115"/>
      <c r="F11" s="115"/>
      <c r="G11" s="115"/>
      <c r="H11" s="115"/>
      <c r="I11" s="121"/>
      <c r="J11" s="121"/>
      <c r="K11" s="121"/>
      <c r="L11" s="121"/>
      <c r="M11" s="121"/>
      <c r="N11" s="121"/>
      <c r="O11" s="121"/>
      <c r="P11" s="121"/>
      <c r="Q11" s="121"/>
      <c r="R11" s="121"/>
      <c r="S11" s="121"/>
      <c r="T11" s="121"/>
      <c r="U11" s="121"/>
      <c r="V11" s="121"/>
      <c r="W11" s="121"/>
      <c r="X11" s="121"/>
      <c r="Y11" s="121"/>
    </row>
    <row r="12" spans="1:28" x14ac:dyDescent="0.3">
      <c r="A12" s="120" t="s">
        <v>4</v>
      </c>
      <c r="B12" s="120"/>
      <c r="C12" s="378" t="s">
        <v>7</v>
      </c>
      <c r="D12" s="118" t="s">
        <v>127</v>
      </c>
      <c r="E12" s="115"/>
      <c r="F12" s="115"/>
      <c r="G12" s="115"/>
      <c r="H12" s="115"/>
      <c r="I12" s="121"/>
      <c r="J12" s="121"/>
      <c r="K12" s="121"/>
      <c r="L12" s="121"/>
      <c r="M12" s="121"/>
      <c r="N12" s="121"/>
      <c r="O12" s="121"/>
      <c r="P12" s="121"/>
      <c r="Q12" s="121"/>
      <c r="R12" s="121"/>
      <c r="S12" s="121"/>
      <c r="T12" s="121"/>
      <c r="U12" s="121"/>
      <c r="V12" s="121"/>
      <c r="W12" s="121"/>
      <c r="X12" s="121"/>
      <c r="Y12" s="121"/>
    </row>
    <row r="13" spans="1:28" ht="14.4" thickBot="1" x14ac:dyDescent="0.35">
      <c r="A13" s="120"/>
      <c r="B13" s="120"/>
      <c r="C13" s="378"/>
      <c r="D13" s="118"/>
      <c r="E13" s="115"/>
      <c r="F13" s="115"/>
      <c r="G13" s="115"/>
      <c r="H13" s="115"/>
      <c r="I13" s="121"/>
      <c r="J13" s="121"/>
      <c r="K13" s="121"/>
      <c r="L13" s="121"/>
      <c r="M13" s="121"/>
      <c r="N13" s="121"/>
      <c r="O13" s="121"/>
      <c r="P13" s="121"/>
      <c r="Q13" s="121"/>
      <c r="R13" s="121"/>
      <c r="S13" s="121"/>
      <c r="T13" s="121"/>
      <c r="U13" s="121"/>
      <c r="V13" s="121"/>
      <c r="W13" s="121"/>
      <c r="X13" s="121"/>
      <c r="Y13" s="121"/>
    </row>
    <row r="14" spans="1:28" ht="13.5" customHeight="1" thickBot="1" x14ac:dyDescent="0.35">
      <c r="A14" s="120"/>
      <c r="B14" s="120"/>
      <c r="C14" s="118"/>
      <c r="D14" s="118"/>
      <c r="E14" s="1191"/>
      <c r="F14" s="1197"/>
      <c r="G14" s="1192"/>
      <c r="H14" s="1192"/>
      <c r="I14" s="1192"/>
      <c r="J14" s="1192"/>
      <c r="K14" s="1192"/>
      <c r="L14" s="1192"/>
      <c r="M14" s="1192"/>
      <c r="N14" s="1192"/>
      <c r="O14" s="1192"/>
      <c r="P14" s="1192"/>
      <c r="Q14" s="2179"/>
      <c r="R14" s="2176"/>
      <c r="S14" s="2175"/>
      <c r="T14" s="2176"/>
      <c r="U14" s="2175"/>
      <c r="V14" s="2176"/>
      <c r="W14" s="121"/>
      <c r="X14" s="121"/>
      <c r="Y14" s="121"/>
    </row>
    <row r="15" spans="1:28" ht="34.5" customHeight="1" thickBot="1" x14ac:dyDescent="0.35">
      <c r="E15" s="2164" t="str">
        <f>+B39</f>
        <v>PUENTE VEHICULAR CCANCHI</v>
      </c>
      <c r="F15" s="2165"/>
      <c r="G15" s="2166"/>
      <c r="H15" s="2166"/>
      <c r="I15" s="2167"/>
      <c r="J15" s="2167"/>
      <c r="K15" s="2167"/>
      <c r="L15" s="2167"/>
      <c r="M15" s="2167"/>
      <c r="N15" s="2167"/>
      <c r="O15" s="2167"/>
      <c r="P15" s="2167"/>
      <c r="Q15" s="2168"/>
      <c r="R15" s="2169"/>
      <c r="S15" s="2170"/>
      <c r="T15" s="2169"/>
      <c r="U15" s="2170"/>
      <c r="V15" s="2169"/>
      <c r="W15" s="710"/>
      <c r="X15" s="710"/>
      <c r="Y15" s="710"/>
      <c r="Z15" s="2150"/>
      <c r="AA15" s="2150"/>
    </row>
    <row r="16" spans="1:28" ht="26.25" customHeight="1" thickBot="1" x14ac:dyDescent="0.35">
      <c r="A16" s="2180" t="s">
        <v>9</v>
      </c>
      <c r="B16" s="2181"/>
      <c r="C16" s="2181"/>
      <c r="D16" s="2182"/>
      <c r="E16" s="890" t="s">
        <v>5</v>
      </c>
      <c r="F16" s="1198" t="s">
        <v>10</v>
      </c>
      <c r="G16" s="1193"/>
      <c r="H16" s="1194"/>
      <c r="I16" s="1193"/>
      <c r="J16" s="1194"/>
      <c r="K16" s="1193"/>
      <c r="L16" s="1194"/>
      <c r="M16" s="1193"/>
      <c r="N16" s="1194"/>
      <c r="O16" s="1193"/>
      <c r="P16" s="1194"/>
      <c r="Q16" s="891"/>
      <c r="R16" s="892"/>
      <c r="S16" s="893"/>
      <c r="T16" s="892"/>
      <c r="U16" s="893"/>
      <c r="V16" s="892"/>
      <c r="W16" s="131"/>
      <c r="X16" s="131"/>
      <c r="Y16" s="131"/>
      <c r="Z16" s="207"/>
      <c r="AA16" s="131"/>
    </row>
    <row r="17" spans="1:27" ht="13.5" customHeight="1" x14ac:dyDescent="0.3">
      <c r="A17" s="2155" t="str">
        <f>+D8</f>
        <v>“CREACION DEL PUENTE VEHICULAR CCANCHIS SOBRE EL RIO PAMPAS, DISTRITO DE CHUNGUI - PROVINCIA LA MAR - DEPARTAMENTO AYACUCHO”.</v>
      </c>
      <c r="B17" s="2156"/>
      <c r="C17" s="2156"/>
      <c r="D17" s="2157"/>
      <c r="E17" s="1568"/>
      <c r="F17" s="1569"/>
      <c r="G17" s="1195"/>
      <c r="H17" s="1195"/>
      <c r="I17" s="1195"/>
      <c r="J17" s="1195"/>
      <c r="K17" s="1195"/>
      <c r="L17" s="1195"/>
      <c r="M17" s="1195"/>
      <c r="N17" s="1195"/>
      <c r="O17" s="1195"/>
      <c r="P17" s="1195"/>
      <c r="Q17" s="869"/>
      <c r="R17" s="721"/>
      <c r="S17" s="718"/>
      <c r="T17" s="721"/>
      <c r="U17" s="718"/>
      <c r="V17" s="721"/>
      <c r="W17" s="208"/>
      <c r="X17" s="208"/>
      <c r="Y17" s="208"/>
      <c r="Z17" s="208"/>
      <c r="AA17" s="208"/>
    </row>
    <row r="18" spans="1:27" x14ac:dyDescent="0.3">
      <c r="A18" s="2158"/>
      <c r="B18" s="2159"/>
      <c r="C18" s="2159"/>
      <c r="D18" s="2160"/>
      <c r="E18" s="718">
        <f>+'PUENTE CCANCHI'!H123</f>
        <v>5226184.75</v>
      </c>
      <c r="F18" s="721">
        <f>+'PUENTE CCANCHI'!J123</f>
        <v>190736.29</v>
      </c>
      <c r="G18" s="1195"/>
      <c r="H18" s="1195"/>
      <c r="I18" s="1195"/>
      <c r="J18" s="1195"/>
      <c r="K18" s="1195"/>
      <c r="L18" s="1195"/>
      <c r="M18" s="1195"/>
      <c r="N18" s="1195"/>
      <c r="O18" s="1195"/>
      <c r="P18" s="1195"/>
      <c r="Q18" s="869"/>
      <c r="R18" s="721"/>
      <c r="S18" s="718"/>
      <c r="T18" s="721"/>
      <c r="U18" s="718"/>
      <c r="V18" s="721"/>
      <c r="W18" s="208"/>
      <c r="X18" s="208"/>
      <c r="Y18" s="208"/>
      <c r="Z18" s="208"/>
      <c r="AA18" s="208"/>
    </row>
    <row r="19" spans="1:27" x14ac:dyDescent="0.3">
      <c r="A19" s="2158"/>
      <c r="B19" s="2159"/>
      <c r="C19" s="2159"/>
      <c r="D19" s="2160"/>
      <c r="E19" s="718"/>
      <c r="F19" s="721"/>
      <c r="G19" s="1195"/>
      <c r="H19" s="1195"/>
      <c r="I19" s="1195"/>
      <c r="J19" s="1195"/>
      <c r="K19" s="1195"/>
      <c r="L19" s="1195"/>
      <c r="M19" s="1195"/>
      <c r="N19" s="1195"/>
      <c r="O19" s="1195"/>
      <c r="P19" s="1195"/>
      <c r="Q19" s="869"/>
      <c r="R19" s="721"/>
      <c r="S19" s="718"/>
      <c r="T19" s="721"/>
      <c r="U19" s="718"/>
      <c r="V19" s="721"/>
      <c r="W19" s="208"/>
      <c r="X19" s="208"/>
      <c r="Y19" s="208"/>
      <c r="Z19" s="208"/>
      <c r="AA19" s="208"/>
    </row>
    <row r="20" spans="1:27" ht="12.75" customHeight="1" x14ac:dyDescent="0.3">
      <c r="A20" s="2161"/>
      <c r="B20" s="2162"/>
      <c r="C20" s="2162"/>
      <c r="D20" s="2163"/>
      <c r="E20" s="722"/>
      <c r="F20" s="723"/>
      <c r="G20" s="1195"/>
      <c r="H20" s="1195"/>
      <c r="I20" s="1195"/>
      <c r="J20" s="1195"/>
      <c r="K20" s="1195"/>
      <c r="L20" s="1195"/>
      <c r="M20" s="1195"/>
      <c r="N20" s="1195"/>
      <c r="O20" s="1195"/>
      <c r="P20" s="1195"/>
      <c r="Q20" s="870"/>
      <c r="R20" s="723"/>
      <c r="S20" s="722"/>
      <c r="T20" s="723"/>
      <c r="U20" s="722"/>
      <c r="V20" s="723"/>
      <c r="W20" s="208"/>
      <c r="X20" s="208"/>
      <c r="Y20" s="208"/>
      <c r="Z20" s="208"/>
      <c r="AA20" s="208"/>
    </row>
    <row r="21" spans="1:27" x14ac:dyDescent="0.3">
      <c r="A21" s="1327"/>
      <c r="B21" s="1328" t="s">
        <v>279</v>
      </c>
      <c r="C21" s="1329"/>
      <c r="D21" s="1330"/>
      <c r="E21" s="1331">
        <f t="shared" ref="E21" si="0">+E18</f>
        <v>5226184.75</v>
      </c>
      <c r="F21" s="1570">
        <f t="shared" ref="F21" si="1">+F18</f>
        <v>190736.29</v>
      </c>
      <c r="G21" s="1195"/>
      <c r="H21" s="1195"/>
      <c r="I21" s="1195"/>
      <c r="J21" s="1195"/>
      <c r="K21" s="1195"/>
      <c r="L21" s="1195"/>
      <c r="M21" s="1195"/>
      <c r="N21" s="1195"/>
      <c r="O21" s="1195"/>
      <c r="P21" s="1195"/>
      <c r="Q21" s="871"/>
      <c r="R21" s="720"/>
      <c r="S21" s="719"/>
      <c r="T21" s="720"/>
      <c r="U21" s="719"/>
      <c r="V21" s="720"/>
      <c r="W21" s="208"/>
      <c r="X21" s="208"/>
      <c r="Y21" s="208"/>
      <c r="Z21" s="208"/>
      <c r="AA21" s="208"/>
    </row>
    <row r="22" spans="1:27" x14ac:dyDescent="0.3">
      <c r="A22" s="1332"/>
      <c r="B22" s="1333" t="s">
        <v>285</v>
      </c>
      <c r="C22" s="1334"/>
      <c r="D22" s="1335"/>
      <c r="E22" s="1336">
        <f>'PUENTE CCANCHI'!H124</f>
        <v>522618.49</v>
      </c>
      <c r="F22" s="1571">
        <f>'PUENTE CCANCHI'!J124</f>
        <v>19073.63</v>
      </c>
      <c r="G22" s="1196"/>
      <c r="H22" s="1196"/>
      <c r="I22" s="1196"/>
      <c r="J22" s="1196"/>
      <c r="K22" s="1196"/>
      <c r="L22" s="1196"/>
      <c r="M22" s="1196"/>
      <c r="N22" s="1196"/>
      <c r="O22" s="1196"/>
      <c r="P22" s="1196"/>
      <c r="Q22" s="872"/>
      <c r="R22" s="724"/>
      <c r="S22" s="148"/>
      <c r="T22" s="724"/>
      <c r="U22" s="148"/>
      <c r="V22" s="724"/>
      <c r="W22" s="209"/>
      <c r="X22" s="209"/>
      <c r="Y22" s="209"/>
      <c r="Z22" s="209"/>
      <c r="AA22" s="209"/>
    </row>
    <row r="23" spans="1:27" x14ac:dyDescent="0.3">
      <c r="A23" s="1332"/>
      <c r="B23" s="1333" t="s">
        <v>334</v>
      </c>
      <c r="C23" s="1334"/>
      <c r="D23" s="1335"/>
      <c r="E23" s="1336">
        <v>0</v>
      </c>
      <c r="F23" s="1571">
        <v>0</v>
      </c>
      <c r="G23" s="1196"/>
      <c r="H23" s="1196"/>
      <c r="I23" s="1196"/>
      <c r="J23" s="1196"/>
      <c r="K23" s="1196"/>
      <c r="L23" s="1196"/>
      <c r="M23" s="1196"/>
      <c r="N23" s="1196"/>
      <c r="O23" s="1196"/>
      <c r="P23" s="1196"/>
      <c r="Q23" s="872"/>
      <c r="R23" s="724"/>
      <c r="S23" s="148"/>
      <c r="T23" s="724"/>
      <c r="U23" s="148"/>
      <c r="V23" s="724"/>
      <c r="W23" s="209"/>
      <c r="X23" s="209"/>
      <c r="Y23" s="209"/>
      <c r="Z23" s="209"/>
      <c r="AA23" s="209"/>
    </row>
    <row r="24" spans="1:27" x14ac:dyDescent="0.3">
      <c r="A24" s="1332"/>
      <c r="B24" s="1333" t="s">
        <v>1364</v>
      </c>
      <c r="C24" s="1334"/>
      <c r="D24" s="1335"/>
      <c r="E24" s="1336">
        <f>'PUENTE CCANCHI'!H126</f>
        <v>27842.97</v>
      </c>
      <c r="F24" s="1571">
        <f>'PUENTE CCANCHI'!J126</f>
        <v>3782.88</v>
      </c>
      <c r="G24" s="1196"/>
      <c r="H24" s="1196"/>
      <c r="I24" s="1196"/>
      <c r="J24" s="1196"/>
      <c r="K24" s="1196"/>
      <c r="L24" s="1196"/>
      <c r="M24" s="1196"/>
      <c r="N24" s="1196"/>
      <c r="O24" s="1196"/>
      <c r="P24" s="1196"/>
      <c r="Q24" s="872"/>
      <c r="R24" s="724"/>
      <c r="S24" s="148"/>
      <c r="T24" s="724"/>
      <c r="U24" s="148"/>
      <c r="V24" s="724"/>
      <c r="W24" s="209"/>
      <c r="X24" s="209"/>
      <c r="Y24" s="209"/>
      <c r="Z24" s="209"/>
      <c r="AA24" s="209"/>
    </row>
    <row r="25" spans="1:27" x14ac:dyDescent="0.3">
      <c r="A25" s="1332"/>
      <c r="B25" s="1337" t="s">
        <v>286</v>
      </c>
      <c r="C25" s="1334"/>
      <c r="D25" s="1335"/>
      <c r="E25" s="1336">
        <f>'PUENTE CCANCHI'!H127</f>
        <v>5776646.21</v>
      </c>
      <c r="F25" s="1571">
        <f>'PUENTE CCANCHI'!J127</f>
        <v>213592.8</v>
      </c>
      <c r="G25" s="1196"/>
      <c r="H25" s="1196"/>
      <c r="I25" s="1196"/>
      <c r="J25" s="1196"/>
      <c r="K25" s="1196"/>
      <c r="L25" s="1196"/>
      <c r="M25" s="1196"/>
      <c r="N25" s="1196"/>
      <c r="O25" s="1196"/>
      <c r="P25" s="1196"/>
      <c r="Q25" s="872"/>
      <c r="R25" s="724"/>
      <c r="S25" s="148"/>
      <c r="T25" s="724"/>
      <c r="U25" s="148"/>
      <c r="V25" s="724"/>
      <c r="W25" s="209"/>
      <c r="X25" s="209"/>
      <c r="Y25" s="209"/>
      <c r="Z25" s="209"/>
      <c r="AA25" s="209"/>
    </row>
    <row r="26" spans="1:27" ht="14.4" thickBot="1" x14ac:dyDescent="0.35">
      <c r="A26" s="1338"/>
      <c r="B26" s="1339" t="s">
        <v>173</v>
      </c>
      <c r="C26" s="1340"/>
      <c r="D26" s="1341"/>
      <c r="E26" s="1342">
        <f>'PUENTE CCANCHI'!H128</f>
        <v>1039796.3099999999</v>
      </c>
      <c r="F26" s="1572">
        <f>'PUENTE CCANCHI'!J128</f>
        <v>38446.699999999997</v>
      </c>
      <c r="G26" s="1196"/>
      <c r="H26" s="1196"/>
      <c r="I26" s="1196"/>
      <c r="J26" s="1196"/>
      <c r="K26" s="1196"/>
      <c r="L26" s="1196"/>
      <c r="M26" s="1196"/>
      <c r="N26" s="1196"/>
      <c r="O26" s="1196"/>
      <c r="P26" s="1196"/>
      <c r="Q26" s="872"/>
      <c r="R26" s="724"/>
      <c r="S26" s="148"/>
      <c r="T26" s="724"/>
      <c r="U26" s="148"/>
      <c r="V26" s="724"/>
      <c r="W26" s="209"/>
      <c r="X26" s="209"/>
      <c r="Y26" s="209"/>
      <c r="Z26" s="209"/>
      <c r="AA26" s="209"/>
    </row>
    <row r="27" spans="1:27" ht="15" thickTop="1" thickBot="1" x14ac:dyDescent="0.35">
      <c r="A27" s="134"/>
      <c r="B27" s="135" t="s">
        <v>0</v>
      </c>
      <c r="C27" s="136"/>
      <c r="D27" s="158"/>
      <c r="E27" s="1573">
        <f>+E25+E26</f>
        <v>6816442.5199999996</v>
      </c>
      <c r="F27" s="1574">
        <f t="shared" ref="F27" si="2">+F25+F26</f>
        <v>252039.5</v>
      </c>
      <c r="G27" s="1196"/>
      <c r="H27" s="1196"/>
      <c r="I27" s="1196"/>
      <c r="J27" s="1196"/>
      <c r="K27" s="1196"/>
      <c r="L27" s="1196"/>
      <c r="M27" s="1196"/>
      <c r="N27" s="1196"/>
      <c r="O27" s="1196"/>
      <c r="P27" s="1196"/>
      <c r="Q27" s="873">
        <f>'7. EQUIP E IMPLE. '!H269</f>
        <v>0</v>
      </c>
      <c r="R27" s="725">
        <f>'7. EQUIP E IMPLE. '!J269</f>
        <v>0</v>
      </c>
      <c r="S27" s="149">
        <f>'8. CAPACITACIÓN'!H19</f>
        <v>0</v>
      </c>
      <c r="T27" s="725">
        <f>'8. CAPACITACIÓN'!J19</f>
        <v>0</v>
      </c>
      <c r="U27" s="149"/>
      <c r="V27" s="725"/>
      <c r="W27" s="209"/>
      <c r="X27" s="209"/>
      <c r="Y27" s="209"/>
      <c r="Z27" s="209"/>
      <c r="AA27" s="209"/>
    </row>
    <row r="28" spans="1:27" x14ac:dyDescent="0.3">
      <c r="A28" s="120"/>
      <c r="B28" s="120"/>
      <c r="C28" s="118"/>
      <c r="D28" s="118"/>
      <c r="E28" s="115"/>
      <c r="F28" s="115"/>
      <c r="G28" s="115"/>
      <c r="H28" s="115"/>
      <c r="I28" s="121"/>
      <c r="J28" s="121"/>
      <c r="K28" s="121"/>
      <c r="L28" s="121"/>
      <c r="M28" s="121"/>
      <c r="N28" s="121"/>
      <c r="O28" s="121"/>
      <c r="P28" s="121"/>
      <c r="Q28" s="121"/>
      <c r="R28" s="121"/>
      <c r="S28" s="121"/>
      <c r="T28" s="121"/>
      <c r="U28" s="121"/>
      <c r="V28" s="121"/>
      <c r="W28" s="121"/>
      <c r="X28" s="121"/>
      <c r="Y28" s="121"/>
    </row>
    <row r="29" spans="1:27" x14ac:dyDescent="0.3">
      <c r="G29" s="123"/>
    </row>
    <row r="30" spans="1:27" ht="18" x14ac:dyDescent="0.35">
      <c r="A30" s="2171" t="s">
        <v>76</v>
      </c>
      <c r="B30" s="2171"/>
      <c r="C30" s="2171"/>
      <c r="D30" s="2171"/>
      <c r="E30" s="2171"/>
      <c r="F30" s="2171"/>
      <c r="G30" s="2171"/>
      <c r="H30" s="2171"/>
      <c r="I30" s="2171"/>
      <c r="J30" s="2171"/>
      <c r="K30" s="2171"/>
      <c r="L30" s="2171"/>
      <c r="M30" s="2171"/>
      <c r="N30" s="2171"/>
      <c r="O30" s="2171"/>
      <c r="P30" s="2171"/>
      <c r="Q30" s="2171"/>
      <c r="R30" s="2171"/>
      <c r="S30" s="2171"/>
      <c r="T30" s="2171"/>
      <c r="U30" s="2171"/>
      <c r="V30" s="2171"/>
      <c r="W30" s="2171"/>
      <c r="X30" s="2171"/>
      <c r="Y30" s="2171"/>
      <c r="Z30" s="2171"/>
    </row>
    <row r="31" spans="1:27" ht="15.6" x14ac:dyDescent="0.3">
      <c r="A31" s="210"/>
      <c r="B31" s="210"/>
      <c r="C31" s="210"/>
      <c r="D31" s="210"/>
      <c r="E31" s="210"/>
      <c r="F31" s="210"/>
    </row>
    <row r="32" spans="1:27" x14ac:dyDescent="0.3">
      <c r="A32" s="117" t="s">
        <v>142</v>
      </c>
      <c r="B32" s="118"/>
      <c r="C32" s="378" t="s">
        <v>7</v>
      </c>
      <c r="D32" s="119" t="str">
        <f>CARAT_!$F$47</f>
        <v>ESPECIFICO Nº SP-2022-012</v>
      </c>
      <c r="E32" s="115"/>
      <c r="F32" s="115"/>
      <c r="G32" s="115"/>
      <c r="H32" s="115"/>
      <c r="I32" s="115"/>
      <c r="J32" s="115"/>
      <c r="K32" s="115"/>
      <c r="L32" s="115"/>
      <c r="M32" s="115"/>
      <c r="N32" s="115"/>
      <c r="O32" s="115"/>
      <c r="P32" s="115"/>
      <c r="Q32" s="115"/>
      <c r="R32" s="115"/>
      <c r="S32" s="115"/>
      <c r="T32" s="115"/>
      <c r="U32" s="115"/>
      <c r="V32" s="115"/>
      <c r="W32" s="115"/>
      <c r="X32" s="115"/>
      <c r="Y32" s="115"/>
    </row>
    <row r="33" spans="1:29" x14ac:dyDescent="0.3">
      <c r="A33" s="120" t="s">
        <v>18</v>
      </c>
      <c r="B33" s="118"/>
      <c r="C33" s="378" t="s">
        <v>7</v>
      </c>
      <c r="D33" s="2154" t="str">
        <f>D8</f>
        <v>“CREACION DEL PUENTE VEHICULAR CCANCHIS SOBRE EL RIO PAMPAS, DISTRITO DE CHUNGUI - PROVINCIA LA MAR - DEPARTAMENTO AYACUCHO”.</v>
      </c>
      <c r="E33" s="2154"/>
      <c r="F33" s="2154"/>
      <c r="G33" s="2154"/>
      <c r="H33" s="2154"/>
      <c r="I33" s="2154"/>
      <c r="J33" s="2154"/>
      <c r="K33" s="2154"/>
      <c r="L33" s="2154"/>
      <c r="M33" s="2154"/>
      <c r="N33" s="2154"/>
      <c r="O33" s="2154"/>
      <c r="P33" s="2154"/>
      <c r="Q33" s="2154"/>
      <c r="R33" s="2154"/>
      <c r="S33" s="2154"/>
      <c r="T33" s="2154"/>
      <c r="U33" s="2154"/>
      <c r="V33" s="2154"/>
      <c r="W33" s="2154"/>
      <c r="X33" s="2154"/>
      <c r="Y33" s="2154"/>
      <c r="Z33" s="2154"/>
      <c r="AA33" s="2154"/>
    </row>
    <row r="34" spans="1:29" x14ac:dyDescent="0.3">
      <c r="A34" s="118" t="s">
        <v>1</v>
      </c>
      <c r="B34" s="118"/>
      <c r="C34" s="378" t="s">
        <v>7</v>
      </c>
      <c r="D34" s="119" t="str">
        <f>CARAT_!$F$52</f>
        <v>SIMA PERU S.A.</v>
      </c>
      <c r="E34" s="115"/>
      <c r="F34" s="115"/>
      <c r="G34" s="115"/>
      <c r="H34" s="115"/>
      <c r="I34" s="115"/>
      <c r="J34" s="115"/>
      <c r="K34" s="115"/>
      <c r="L34" s="115"/>
      <c r="M34" s="115"/>
      <c r="N34" s="115"/>
      <c r="O34" s="115"/>
      <c r="P34" s="115"/>
      <c r="Q34" s="115"/>
      <c r="R34" s="115"/>
      <c r="S34" s="115"/>
      <c r="T34" s="115"/>
      <c r="U34" s="115"/>
      <c r="V34" s="115"/>
      <c r="W34" s="115"/>
      <c r="X34" s="115"/>
      <c r="Y34" s="115"/>
    </row>
    <row r="35" spans="1:29" x14ac:dyDescent="0.3">
      <c r="A35" s="118" t="s">
        <v>2</v>
      </c>
      <c r="B35" s="118"/>
      <c r="C35" s="378" t="s">
        <v>7</v>
      </c>
      <c r="D35" s="119" t="s">
        <v>1461</v>
      </c>
      <c r="E35" s="115"/>
      <c r="F35" s="115"/>
      <c r="G35" s="115"/>
      <c r="H35" s="115"/>
      <c r="I35" s="115"/>
      <c r="J35" s="115"/>
      <c r="K35" s="115"/>
      <c r="L35" s="115"/>
      <c r="M35" s="115"/>
      <c r="N35" s="115"/>
      <c r="O35" s="115"/>
      <c r="P35" s="115"/>
      <c r="Q35" s="115"/>
      <c r="R35" s="115"/>
      <c r="S35" s="115"/>
      <c r="T35" s="115"/>
      <c r="U35" s="115"/>
      <c r="V35" s="115"/>
      <c r="W35" s="115"/>
      <c r="X35" s="115"/>
      <c r="Y35" s="115"/>
    </row>
    <row r="36" spans="1:29" x14ac:dyDescent="0.3">
      <c r="A36" s="118" t="s">
        <v>3</v>
      </c>
      <c r="B36" s="118"/>
      <c r="C36" s="132" t="s">
        <v>7</v>
      </c>
      <c r="D36" s="119" t="str">
        <f>CARAT_!$F$54</f>
        <v>MES DE DICIEMBRE DE 2022</v>
      </c>
      <c r="E36" s="115"/>
      <c r="F36" s="115"/>
      <c r="G36" s="115"/>
      <c r="H36" s="115"/>
      <c r="I36" s="121"/>
      <c r="J36" s="121"/>
      <c r="K36" s="121"/>
      <c r="L36" s="121"/>
      <c r="M36" s="121"/>
      <c r="N36" s="121"/>
      <c r="O36" s="121"/>
      <c r="P36" s="121"/>
      <c r="Q36" s="121"/>
      <c r="R36" s="121"/>
      <c r="S36" s="121"/>
      <c r="T36" s="121"/>
      <c r="U36" s="121"/>
      <c r="V36" s="121"/>
      <c r="W36" s="121"/>
      <c r="X36" s="121"/>
      <c r="Y36" s="121"/>
    </row>
    <row r="37" spans="1:29" ht="15.75" customHeight="1" x14ac:dyDescent="0.3"/>
    <row r="38" spans="1:29" ht="29.25" customHeight="1" x14ac:dyDescent="0.3">
      <c r="A38" s="843" t="s">
        <v>8</v>
      </c>
      <c r="B38" s="2151" t="s">
        <v>9</v>
      </c>
      <c r="C38" s="2152"/>
      <c r="D38" s="2153"/>
      <c r="E38" s="842" t="s">
        <v>77</v>
      </c>
      <c r="F38" s="842" t="s">
        <v>97</v>
      </c>
      <c r="G38" s="842" t="s">
        <v>79</v>
      </c>
      <c r="H38" s="842" t="s">
        <v>78</v>
      </c>
      <c r="I38" s="842" t="s">
        <v>67</v>
      </c>
      <c r="J38" s="842" t="s">
        <v>6</v>
      </c>
      <c r="K38" s="842" t="s">
        <v>216</v>
      </c>
      <c r="L38" s="842" t="s">
        <v>224</v>
      </c>
      <c r="M38" s="842" t="s">
        <v>252</v>
      </c>
      <c r="N38" s="842" t="s">
        <v>254</v>
      </c>
      <c r="O38" s="842" t="s">
        <v>256</v>
      </c>
      <c r="P38" s="842" t="s">
        <v>262</v>
      </c>
      <c r="Q38" s="842"/>
      <c r="R38" s="842"/>
      <c r="S38" s="842"/>
      <c r="T38" s="842"/>
      <c r="U38" s="842"/>
      <c r="V38" s="842"/>
      <c r="W38" s="842"/>
      <c r="X38" s="842"/>
      <c r="Y38" s="842"/>
      <c r="Z38" s="842" t="s">
        <v>48</v>
      </c>
    </row>
    <row r="39" spans="1:29" ht="12.75" customHeight="1" x14ac:dyDescent="0.3">
      <c r="A39" s="2177" t="s">
        <v>480</v>
      </c>
      <c r="B39" s="1096" t="str">
        <f>+CALEND_!B19</f>
        <v>PUENTE VEHICULAR CCANCHI</v>
      </c>
      <c r="C39" s="1097"/>
      <c r="D39" s="1098"/>
      <c r="E39" s="1099">
        <v>1689.85</v>
      </c>
      <c r="F39" s="1099">
        <v>142315.32</v>
      </c>
      <c r="G39" s="1099">
        <v>174129.63</v>
      </c>
      <c r="H39" s="1099">
        <v>680701.45</v>
      </c>
      <c r="I39" s="1099">
        <v>1560353.15</v>
      </c>
      <c r="J39" s="1100">
        <v>1669307.74</v>
      </c>
      <c r="K39" s="1099">
        <f>'REINT_REAJ_ (2)'!E24</f>
        <v>134499.1</v>
      </c>
      <c r="L39" s="1099">
        <f>'REINT_REAJ_ (2)'!E25</f>
        <v>1413649.97</v>
      </c>
      <c r="M39" s="1099">
        <f>'REINT_REAJ_ (2)'!E26</f>
        <v>213592.8</v>
      </c>
      <c r="N39" s="1099"/>
      <c r="O39" s="1099"/>
      <c r="P39" s="1099"/>
      <c r="Q39" s="1099"/>
      <c r="R39" s="1099"/>
      <c r="S39" s="1099"/>
      <c r="T39" s="1099"/>
      <c r="U39" s="1099"/>
      <c r="V39" s="1099"/>
      <c r="W39" s="1099"/>
      <c r="X39" s="1099"/>
      <c r="Y39" s="1099"/>
      <c r="Z39" s="1099">
        <f>SUM(E39:Y39)</f>
        <v>5990239.0099999988</v>
      </c>
      <c r="AB39" s="116">
        <v>21881.000837471998</v>
      </c>
      <c r="AC39" s="341"/>
    </row>
    <row r="40" spans="1:29" x14ac:dyDescent="0.3">
      <c r="A40" s="2178"/>
      <c r="B40" s="844" t="s">
        <v>1380</v>
      </c>
      <c r="C40" s="845"/>
      <c r="D40" s="846"/>
      <c r="E40" s="847">
        <f t="shared" ref="E40:N40" si="3">SUM(E39:E39)</f>
        <v>1689.85</v>
      </c>
      <c r="F40" s="847">
        <f t="shared" si="3"/>
        <v>142315.32</v>
      </c>
      <c r="G40" s="847">
        <f t="shared" si="3"/>
        <v>174129.63</v>
      </c>
      <c r="H40" s="847">
        <f t="shared" si="3"/>
        <v>680701.45</v>
      </c>
      <c r="I40" s="847">
        <f t="shared" si="3"/>
        <v>1560353.15</v>
      </c>
      <c r="J40" s="847">
        <f t="shared" si="3"/>
        <v>1669307.74</v>
      </c>
      <c r="K40" s="847">
        <f t="shared" si="3"/>
        <v>134499.1</v>
      </c>
      <c r="L40" s="847">
        <f t="shared" si="3"/>
        <v>1413649.97</v>
      </c>
      <c r="M40" s="847">
        <f t="shared" si="3"/>
        <v>213592.8</v>
      </c>
      <c r="N40" s="847">
        <f t="shared" si="3"/>
        <v>0</v>
      </c>
      <c r="O40" s="847">
        <f>SUM(O39:O39)</f>
        <v>0</v>
      </c>
      <c r="P40" s="847">
        <f>SUM(P39:P39)</f>
        <v>0</v>
      </c>
      <c r="Q40" s="847"/>
      <c r="R40" s="847"/>
      <c r="S40" s="847"/>
      <c r="T40" s="847"/>
      <c r="U40" s="847"/>
      <c r="V40" s="847"/>
      <c r="W40" s="847"/>
      <c r="X40" s="847"/>
      <c r="Y40" s="847"/>
      <c r="Z40" s="847">
        <f>SUM(Z39:Z39)</f>
        <v>5990239.0099999988</v>
      </c>
      <c r="AC40" s="341"/>
    </row>
    <row r="41" spans="1:29" x14ac:dyDescent="0.3">
      <c r="A41" s="131"/>
      <c r="B41" s="157"/>
      <c r="C41" s="131"/>
      <c r="D41" s="131"/>
      <c r="E41" s="138"/>
      <c r="F41" s="138"/>
      <c r="G41" s="138"/>
      <c r="H41" s="138"/>
      <c r="I41" s="138"/>
      <c r="J41" s="138"/>
      <c r="K41" s="138"/>
      <c r="L41" s="138"/>
      <c r="M41" s="138"/>
      <c r="N41" s="138"/>
      <c r="O41" s="138"/>
      <c r="P41" s="138"/>
      <c r="Q41" s="138"/>
      <c r="R41" s="138"/>
      <c r="S41" s="138"/>
      <c r="T41" s="138"/>
      <c r="U41" s="138"/>
      <c r="V41" s="138"/>
      <c r="W41" s="138"/>
      <c r="X41" s="138"/>
      <c r="Y41" s="138"/>
      <c r="Z41" s="138"/>
      <c r="AC41" s="341"/>
    </row>
    <row r="42" spans="1:29" x14ac:dyDescent="0.3">
      <c r="A42" s="131"/>
      <c r="B42" s="157"/>
      <c r="C42" s="131"/>
      <c r="D42" s="131"/>
      <c r="E42" s="138"/>
      <c r="F42" s="138"/>
      <c r="G42" s="138"/>
      <c r="H42" s="138"/>
      <c r="I42" s="138"/>
      <c r="J42" s="138"/>
      <c r="K42" s="138"/>
      <c r="L42" s="138"/>
      <c r="M42" s="138"/>
      <c r="N42" s="138"/>
      <c r="O42" s="138"/>
      <c r="P42" s="138"/>
      <c r="Q42" s="138"/>
      <c r="R42" s="138"/>
      <c r="S42" s="138"/>
      <c r="T42" s="138"/>
      <c r="U42" s="138"/>
      <c r="V42" s="138"/>
      <c r="W42" s="138"/>
      <c r="X42" s="138"/>
      <c r="Y42" s="138"/>
      <c r="Z42" s="138"/>
      <c r="AC42" s="341"/>
    </row>
    <row r="43" spans="1:29" x14ac:dyDescent="0.3">
      <c r="B43" s="848" t="s">
        <v>75</v>
      </c>
      <c r="C43" s="849"/>
      <c r="D43" s="849"/>
      <c r="E43" s="850">
        <f>E40</f>
        <v>1689.85</v>
      </c>
      <c r="F43" s="850">
        <f t="shared" ref="F43:P43" si="4">F40</f>
        <v>142315.32</v>
      </c>
      <c r="G43" s="850">
        <f t="shared" si="4"/>
        <v>174129.63</v>
      </c>
      <c r="H43" s="850">
        <f t="shared" si="4"/>
        <v>680701.45</v>
      </c>
      <c r="I43" s="850">
        <f t="shared" si="4"/>
        <v>1560353.15</v>
      </c>
      <c r="J43" s="850">
        <f t="shared" si="4"/>
        <v>1669307.74</v>
      </c>
      <c r="K43" s="850">
        <f t="shared" si="4"/>
        <v>134499.1</v>
      </c>
      <c r="L43" s="850">
        <f t="shared" si="4"/>
        <v>1413649.97</v>
      </c>
      <c r="M43" s="850">
        <f t="shared" si="4"/>
        <v>213592.8</v>
      </c>
      <c r="N43" s="850">
        <f t="shared" si="4"/>
        <v>0</v>
      </c>
      <c r="O43" s="850">
        <f t="shared" si="4"/>
        <v>0</v>
      </c>
      <c r="P43" s="850">
        <f t="shared" si="4"/>
        <v>0</v>
      </c>
      <c r="Q43" s="850"/>
      <c r="R43" s="850"/>
      <c r="S43" s="850"/>
      <c r="T43" s="850"/>
      <c r="U43" s="850"/>
      <c r="V43" s="850"/>
      <c r="W43" s="850"/>
      <c r="X43" s="850"/>
      <c r="Y43" s="850"/>
      <c r="Z43" s="850">
        <f>Z40</f>
        <v>5990239.0099999988</v>
      </c>
      <c r="AC43" s="341"/>
    </row>
    <row r="44" spans="1:29" x14ac:dyDescent="0.3">
      <c r="R44" s="123"/>
      <c r="S44" s="123"/>
      <c r="T44" s="123"/>
      <c r="U44" s="123"/>
      <c r="V44" s="123"/>
      <c r="W44" s="123"/>
      <c r="X44" s="123"/>
      <c r="Y44" s="123"/>
    </row>
    <row r="45" spans="1:29" x14ac:dyDescent="0.3">
      <c r="K45" s="138"/>
      <c r="R45" s="123"/>
      <c r="S45" s="123"/>
      <c r="T45" s="123"/>
      <c r="U45" s="123"/>
      <c r="V45" s="123"/>
      <c r="W45" s="123"/>
      <c r="X45" s="123"/>
      <c r="Y45" s="123"/>
    </row>
    <row r="46" spans="1:29" x14ac:dyDescent="0.3">
      <c r="E46" s="185"/>
      <c r="F46" s="185"/>
      <c r="G46" s="185"/>
      <c r="H46" s="185"/>
      <c r="I46" s="185"/>
      <c r="K46" s="138"/>
    </row>
    <row r="47" spans="1:29" ht="14.4" hidden="1" thickBot="1" x14ac:dyDescent="0.35">
      <c r="E47" s="181"/>
      <c r="F47" s="186"/>
      <c r="G47" s="186"/>
      <c r="H47" s="186"/>
      <c r="I47" s="185"/>
      <c r="K47" s="182"/>
    </row>
    <row r="48" spans="1:29" ht="14.4" hidden="1" thickBot="1" x14ac:dyDescent="0.35">
      <c r="E48" s="182"/>
      <c r="F48" s="186"/>
      <c r="G48" s="186"/>
      <c r="H48" s="186"/>
      <c r="I48" s="185"/>
    </row>
    <row r="49" spans="5:8" hidden="1" x14ac:dyDescent="0.3">
      <c r="E49" s="138"/>
      <c r="F49" s="138"/>
      <c r="G49" s="138"/>
      <c r="H49" s="138"/>
    </row>
    <row r="50" spans="5:8" hidden="1" x14ac:dyDescent="0.3"/>
    <row r="51" spans="5:8" hidden="1" x14ac:dyDescent="0.3"/>
    <row r="52" spans="5:8" hidden="1" x14ac:dyDescent="0.3"/>
    <row r="53" spans="5:8" hidden="1" x14ac:dyDescent="0.3"/>
    <row r="54" spans="5:8" hidden="1" x14ac:dyDescent="0.3"/>
    <row r="55" spans="5:8" hidden="1" x14ac:dyDescent="0.3"/>
    <row r="56" spans="5:8" hidden="1" x14ac:dyDescent="0.3"/>
    <row r="57" spans="5:8" hidden="1" x14ac:dyDescent="0.3"/>
    <row r="58" spans="5:8" hidden="1" x14ac:dyDescent="0.3"/>
    <row r="59" spans="5:8" hidden="1" x14ac:dyDescent="0.3"/>
    <row r="60" spans="5:8" hidden="1" x14ac:dyDescent="0.3"/>
    <row r="61" spans="5:8" hidden="1" x14ac:dyDescent="0.3"/>
    <row r="62" spans="5:8" hidden="1" x14ac:dyDescent="0.3"/>
    <row r="63" spans="5:8" hidden="1" x14ac:dyDescent="0.3"/>
    <row r="64" spans="5:8" hidden="1" x14ac:dyDescent="0.3"/>
    <row r="65" hidden="1" x14ac:dyDescent="0.3"/>
    <row r="66" hidden="1" x14ac:dyDescent="0.3"/>
    <row r="67" hidden="1" x14ac:dyDescent="0.3"/>
    <row r="68" hidden="1" x14ac:dyDescent="0.3"/>
    <row r="69" hidden="1" x14ac:dyDescent="0.3"/>
    <row r="70" hidden="1" x14ac:dyDescent="0.3"/>
    <row r="71" hidden="1" x14ac:dyDescent="0.3"/>
    <row r="72" hidden="1" x14ac:dyDescent="0.3"/>
    <row r="73" hidden="1" x14ac:dyDescent="0.3"/>
    <row r="74" hidden="1" x14ac:dyDescent="0.3"/>
    <row r="75" hidden="1" x14ac:dyDescent="0.3"/>
    <row r="76" hidden="1" x14ac:dyDescent="0.3"/>
    <row r="77" hidden="1" x14ac:dyDescent="0.3"/>
    <row r="78" hidden="1" x14ac:dyDescent="0.3"/>
    <row r="79" hidden="1" x14ac:dyDescent="0.3"/>
    <row r="80" hidden="1" x14ac:dyDescent="0.3"/>
    <row r="81" spans="1:28" hidden="1" x14ac:dyDescent="0.3"/>
    <row r="82" spans="1:28" hidden="1" x14ac:dyDescent="0.3"/>
    <row r="83" spans="1:28" hidden="1" x14ac:dyDescent="0.3"/>
    <row r="84" spans="1:28" hidden="1" x14ac:dyDescent="0.3"/>
    <row r="85" spans="1:28" hidden="1" x14ac:dyDescent="0.3"/>
    <row r="86" spans="1:28" ht="14.4" thickBot="1" x14ac:dyDescent="0.35"/>
    <row r="87" spans="1:28" ht="23.4" customHeight="1" thickBot="1" x14ac:dyDescent="0.35">
      <c r="A87" s="213" t="s">
        <v>8</v>
      </c>
      <c r="B87" s="2148" t="s">
        <v>9</v>
      </c>
      <c r="C87" s="2148"/>
      <c r="D87" s="2149"/>
      <c r="E87" s="488" t="str">
        <f t="shared" ref="E87:P87" si="5">E38</f>
        <v>VALORIZ. N° 01</v>
      </c>
      <c r="F87" s="488" t="str">
        <f t="shared" si="5"/>
        <v>VALORIZ. N° 02</v>
      </c>
      <c r="G87" s="488" t="str">
        <f t="shared" si="5"/>
        <v>VALORIZ. N° 03</v>
      </c>
      <c r="H87" s="488" t="str">
        <f t="shared" si="5"/>
        <v>VALORIZ. N° 04</v>
      </c>
      <c r="I87" s="488" t="str">
        <f t="shared" si="5"/>
        <v>VALORIZ. N° 05</v>
      </c>
      <c r="J87" s="488" t="str">
        <f t="shared" si="5"/>
        <v>VALORIZ. N° 06</v>
      </c>
      <c r="K87" s="488" t="str">
        <f t="shared" si="5"/>
        <v>VALORIZ. N° 07</v>
      </c>
      <c r="L87" s="488" t="str">
        <f t="shared" si="5"/>
        <v>VALORIZ. N° 08</v>
      </c>
      <c r="M87" s="488" t="str">
        <f t="shared" si="5"/>
        <v>VALORIZ. N° 09</v>
      </c>
      <c r="N87" s="488" t="str">
        <f t="shared" si="5"/>
        <v>VALORIZ. N° 10</v>
      </c>
      <c r="O87" s="488" t="str">
        <f t="shared" si="5"/>
        <v>VALORIZ. N° 11</v>
      </c>
      <c r="P87" s="488" t="str">
        <f t="shared" si="5"/>
        <v>VALORIZ. N° 12</v>
      </c>
      <c r="Q87" s="488"/>
      <c r="R87" s="488"/>
      <c r="S87" s="488"/>
      <c r="T87" s="488"/>
      <c r="U87" s="488"/>
      <c r="V87" s="488"/>
      <c r="W87" s="488"/>
      <c r="X87" s="488"/>
      <c r="Y87" s="488"/>
      <c r="Z87" s="488" t="str">
        <f>Z38</f>
        <v xml:space="preserve">TOTAL </v>
      </c>
    </row>
    <row r="88" spans="1:28" ht="14.4" thickBot="1" x14ac:dyDescent="0.35">
      <c r="A88" s="1101"/>
      <c r="B88" s="1102" t="str">
        <f>+B39</f>
        <v>PUENTE VEHICULAR CCANCHI</v>
      </c>
      <c r="C88" s="1103"/>
      <c r="D88" s="1104"/>
      <c r="E88" s="1105">
        <v>1994.0229999999997</v>
      </c>
      <c r="F88" s="1105">
        <v>167932.07759999999</v>
      </c>
      <c r="G88" s="1105">
        <f>+G39*1.18</f>
        <v>205472.96340000001</v>
      </c>
      <c r="H88" s="1105">
        <f>+H39*1.18</f>
        <v>803227.71099999989</v>
      </c>
      <c r="I88" s="1105">
        <f t="shared" ref="I88:P88" si="6">+I39*1.18</f>
        <v>1841216.7169999997</v>
      </c>
      <c r="J88" s="1105">
        <f t="shared" si="6"/>
        <v>1969783.1331999998</v>
      </c>
      <c r="K88" s="1105">
        <f t="shared" si="6"/>
        <v>158708.93799999999</v>
      </c>
      <c r="L88" s="1105">
        <f t="shared" si="6"/>
        <v>1668106.9645999998</v>
      </c>
      <c r="M88" s="1105">
        <f t="shared" si="6"/>
        <v>252039.50399999999</v>
      </c>
      <c r="N88" s="1105">
        <f t="shared" si="6"/>
        <v>0</v>
      </c>
      <c r="O88" s="1105">
        <f t="shared" si="6"/>
        <v>0</v>
      </c>
      <c r="P88" s="1105">
        <f t="shared" si="6"/>
        <v>0</v>
      </c>
      <c r="Q88" s="1105"/>
      <c r="R88" s="1105"/>
      <c r="S88" s="1105"/>
      <c r="T88" s="1105"/>
      <c r="U88" s="1105"/>
      <c r="V88" s="1105"/>
      <c r="W88" s="1105"/>
      <c r="X88" s="1105"/>
      <c r="Y88" s="1105"/>
      <c r="Z88" s="1105">
        <f>SUM(E88:Y88)-0.01</f>
        <v>7068482.0217999993</v>
      </c>
      <c r="AB88" s="123">
        <f>SUM(E88:I88)</f>
        <v>3019843.4919999996</v>
      </c>
    </row>
    <row r="89" spans="1:28" ht="14.4" thickBot="1" x14ac:dyDescent="0.35">
      <c r="A89" s="134"/>
      <c r="B89" s="726" t="s">
        <v>1164</v>
      </c>
      <c r="C89" s="136"/>
      <c r="D89" s="158"/>
      <c r="E89" s="137">
        <f t="shared" ref="E89:J89" si="7">SUM(E88:E88)</f>
        <v>1994.0229999999997</v>
      </c>
      <c r="F89" s="137">
        <f t="shared" si="7"/>
        <v>167932.07759999999</v>
      </c>
      <c r="G89" s="137">
        <f t="shared" si="7"/>
        <v>205472.96340000001</v>
      </c>
      <c r="H89" s="137">
        <f t="shared" si="7"/>
        <v>803227.71099999989</v>
      </c>
      <c r="I89" s="137">
        <f t="shared" si="7"/>
        <v>1841216.7169999997</v>
      </c>
      <c r="J89" s="137">
        <f t="shared" si="7"/>
        <v>1969783.1331999998</v>
      </c>
      <c r="K89" s="137">
        <f>ROUND((SUM(K88:K88)),2)</f>
        <v>158708.94</v>
      </c>
      <c r="L89" s="137">
        <f>SUM(L88:L88)</f>
        <v>1668106.9645999998</v>
      </c>
      <c r="M89" s="137">
        <f>SUM(M88:M88)</f>
        <v>252039.50399999999</v>
      </c>
      <c r="N89" s="137">
        <f>SUM(N88:N88)</f>
        <v>0</v>
      </c>
      <c r="O89" s="137">
        <f>SUM(O88:O88)</f>
        <v>0</v>
      </c>
      <c r="P89" s="137">
        <f>SUM(P88:P88)</f>
        <v>0</v>
      </c>
      <c r="Q89" s="137"/>
      <c r="R89" s="137"/>
      <c r="S89" s="137"/>
      <c r="T89" s="137"/>
      <c r="U89" s="137"/>
      <c r="V89" s="137"/>
      <c r="W89" s="137"/>
      <c r="X89" s="137"/>
      <c r="Y89" s="137"/>
      <c r="Z89" s="137">
        <f>SUM(Z88:Z88)</f>
        <v>7068482.0217999993</v>
      </c>
    </row>
    <row r="91" spans="1:28" x14ac:dyDescent="0.3">
      <c r="I91" s="123"/>
      <c r="K91" s="138"/>
    </row>
    <row r="92" spans="1:28" x14ac:dyDescent="0.3">
      <c r="E92" s="123"/>
      <c r="F92" s="123"/>
      <c r="K92" s="138"/>
    </row>
    <row r="93" spans="1:28" x14ac:dyDescent="0.3">
      <c r="E93" s="123"/>
      <c r="F93" s="123"/>
      <c r="G93" s="123"/>
      <c r="H93" s="123"/>
      <c r="I93" s="123"/>
      <c r="J93" s="123"/>
      <c r="K93" s="123"/>
      <c r="L93" s="123"/>
      <c r="M93" s="123"/>
      <c r="N93" s="123"/>
    </row>
    <row r="94" spans="1:28" x14ac:dyDescent="0.3">
      <c r="E94" s="123"/>
      <c r="F94" s="123"/>
      <c r="K94" s="138"/>
    </row>
  </sheetData>
  <mergeCells count="25">
    <mergeCell ref="U14:V14"/>
    <mergeCell ref="A39:A40"/>
    <mergeCell ref="Q14:R14"/>
    <mergeCell ref="S14:T14"/>
    <mergeCell ref="K15:L15"/>
    <mergeCell ref="A16:D16"/>
    <mergeCell ref="M15:N15"/>
    <mergeCell ref="A1:D1"/>
    <mergeCell ref="A2:D2"/>
    <mergeCell ref="D8:AA8"/>
    <mergeCell ref="A4:Z4"/>
    <mergeCell ref="A5:Z5"/>
    <mergeCell ref="B87:D87"/>
    <mergeCell ref="Z15:AA15"/>
    <mergeCell ref="B38:D38"/>
    <mergeCell ref="D33:AA33"/>
    <mergeCell ref="A17:D20"/>
    <mergeCell ref="E15:F15"/>
    <mergeCell ref="G15:H15"/>
    <mergeCell ref="I15:J15"/>
    <mergeCell ref="O15:P15"/>
    <mergeCell ref="Q15:R15"/>
    <mergeCell ref="S15:T15"/>
    <mergeCell ref="U15:V15"/>
    <mergeCell ref="A30:Z30"/>
  </mergeCells>
  <phoneticPr fontId="29" type="noConversion"/>
  <printOptions horizontalCentered="1" verticalCentered="1"/>
  <pageMargins left="0.31496062992125984" right="0.27559055118110237" top="0.6692913385826772" bottom="0.55118110236220474" header="0.51181102362204722" footer="0.51181102362204722"/>
  <pageSetup paperSize="9" scale="65" firstPageNumber="0" orientation="landscape" r:id="rId1"/>
  <headerFooter alignWithMargins="0"/>
  <colBreaks count="1" manualBreakCount="1">
    <brk id="26" max="40"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FF0000"/>
  </sheetPr>
  <dimension ref="A1:IS139"/>
  <sheetViews>
    <sheetView view="pageBreakPreview" topLeftCell="A100" zoomScale="85" zoomScaleNormal="70" zoomScaleSheetLayoutView="85" workbookViewId="0">
      <selection activeCell="H129" sqref="H129"/>
    </sheetView>
  </sheetViews>
  <sheetFormatPr baseColWidth="10" defaultColWidth="10.5546875" defaultRowHeight="10.199999999999999" x14ac:dyDescent="0.2"/>
  <cols>
    <col min="1" max="1" width="11" style="205" customWidth="1"/>
    <col min="2" max="2" width="80" style="197" customWidth="1"/>
    <col min="3" max="3" width="12.33203125" style="198" customWidth="1"/>
    <col min="4" max="5" width="13.88671875" style="198" customWidth="1"/>
    <col min="6" max="6" width="14.6640625" style="390" customWidth="1"/>
    <col min="7" max="7" width="13.109375" style="198" customWidth="1"/>
    <col min="8" max="8" width="16.77734375" style="198" customWidth="1"/>
    <col min="9" max="9" width="13.88671875" style="198" customWidth="1"/>
    <col min="10" max="10" width="14.5546875" style="392" customWidth="1"/>
    <col min="11" max="11" width="12.6640625" style="198" customWidth="1"/>
    <col min="12" max="12" width="14.33203125" style="198" customWidth="1"/>
    <col min="13" max="13" width="11.5546875" style="198" customWidth="1"/>
    <col min="14" max="14" width="11" style="198" customWidth="1"/>
    <col min="15" max="15" width="14.6640625" style="198" customWidth="1"/>
    <col min="16" max="16" width="12.44140625" style="197" customWidth="1"/>
    <col min="17" max="17" width="15.6640625" style="197" customWidth="1"/>
    <col min="18" max="18" width="13.109375" style="387" customWidth="1"/>
    <col min="19" max="19" width="10.44140625" style="387" customWidth="1"/>
    <col min="20" max="20" width="10.5546875" style="379"/>
    <col min="21" max="23" width="10.5546875" style="197"/>
    <col min="24" max="24" width="14.33203125" style="197" customWidth="1"/>
    <col min="25" max="16384" width="10.5546875" style="197"/>
  </cols>
  <sheetData>
    <row r="1" spans="1:253" x14ac:dyDescent="0.2">
      <c r="A1" s="2172" t="str">
        <f>RESUM_VAL_!A1</f>
        <v>GOBIERNO REGIONAL AYACUCHO</v>
      </c>
      <c r="B1" s="2172"/>
      <c r="C1" s="2191"/>
      <c r="D1" s="2191"/>
      <c r="E1" s="2191"/>
      <c r="F1" s="2191"/>
      <c r="G1" s="2191"/>
      <c r="H1" s="2191"/>
      <c r="I1" s="2192"/>
      <c r="J1" s="2191"/>
      <c r="K1" s="139"/>
      <c r="L1" s="139"/>
      <c r="M1" s="139"/>
      <c r="N1" s="139"/>
      <c r="O1" s="139"/>
      <c r="P1" s="125"/>
      <c r="Q1" s="125"/>
      <c r="U1" s="125"/>
      <c r="V1" s="125"/>
      <c r="W1" s="125"/>
      <c r="X1" s="125"/>
      <c r="Y1" s="125"/>
      <c r="Z1" s="125"/>
      <c r="AA1" s="125"/>
      <c r="AB1" s="125"/>
      <c r="AC1" s="125"/>
      <c r="AD1" s="125"/>
      <c r="AE1" s="125"/>
      <c r="AF1" s="125"/>
      <c r="AG1" s="125"/>
      <c r="AH1" s="125"/>
      <c r="AI1" s="125"/>
      <c r="AJ1" s="125"/>
      <c r="AK1" s="125"/>
      <c r="AL1" s="125"/>
      <c r="AM1" s="125"/>
      <c r="AN1" s="125"/>
      <c r="AO1" s="125"/>
      <c r="AP1" s="125"/>
      <c r="AQ1" s="125"/>
      <c r="AR1" s="125"/>
      <c r="AS1" s="125"/>
      <c r="AT1" s="125"/>
      <c r="AU1" s="125"/>
      <c r="AV1" s="125"/>
      <c r="AW1" s="125"/>
      <c r="AX1" s="125"/>
      <c r="AY1" s="125"/>
      <c r="AZ1" s="125"/>
      <c r="BA1" s="125"/>
      <c r="BB1" s="125"/>
      <c r="BC1" s="125"/>
      <c r="BD1" s="125"/>
      <c r="BE1" s="125"/>
      <c r="BF1" s="125"/>
      <c r="BG1" s="125"/>
      <c r="BH1" s="125"/>
      <c r="BI1" s="125"/>
      <c r="BJ1" s="125"/>
      <c r="BK1" s="125"/>
      <c r="BL1" s="125"/>
      <c r="BM1" s="125"/>
      <c r="BN1" s="125"/>
      <c r="BO1" s="125"/>
      <c r="BP1" s="125"/>
      <c r="BQ1" s="125"/>
      <c r="BR1" s="125"/>
      <c r="BS1" s="125"/>
      <c r="BT1" s="125"/>
      <c r="BU1" s="125"/>
      <c r="BV1" s="125"/>
      <c r="BW1" s="125"/>
      <c r="BX1" s="125"/>
      <c r="BY1" s="125"/>
      <c r="BZ1" s="125"/>
      <c r="CA1" s="125"/>
      <c r="CB1" s="125"/>
      <c r="CC1" s="125"/>
      <c r="CD1" s="125"/>
      <c r="CE1" s="125"/>
      <c r="CF1" s="125"/>
      <c r="CG1" s="125"/>
      <c r="CH1" s="125"/>
      <c r="CI1" s="125"/>
      <c r="CJ1" s="125"/>
      <c r="CK1" s="125"/>
      <c r="CL1" s="125"/>
      <c r="CM1" s="125"/>
      <c r="CN1" s="125"/>
      <c r="CO1" s="125"/>
      <c r="CP1" s="125"/>
      <c r="CQ1" s="125"/>
      <c r="CR1" s="125"/>
      <c r="CS1" s="125"/>
      <c r="CT1" s="125"/>
      <c r="CU1" s="125"/>
      <c r="CV1" s="125"/>
      <c r="CW1" s="125"/>
      <c r="CX1" s="125"/>
      <c r="CY1" s="125"/>
      <c r="CZ1" s="125"/>
      <c r="DA1" s="125"/>
      <c r="DB1" s="125"/>
      <c r="DC1" s="125"/>
      <c r="DD1" s="125"/>
      <c r="DE1" s="125"/>
      <c r="DF1" s="125"/>
      <c r="DG1" s="125"/>
      <c r="DH1" s="125"/>
      <c r="DI1" s="125"/>
      <c r="DJ1" s="125"/>
      <c r="DK1" s="125"/>
      <c r="DL1" s="125"/>
      <c r="DM1" s="125"/>
      <c r="DN1" s="125"/>
      <c r="DO1" s="125"/>
      <c r="DP1" s="125"/>
      <c r="DQ1" s="125"/>
      <c r="DR1" s="125"/>
      <c r="DS1" s="125"/>
      <c r="DT1" s="125"/>
      <c r="DU1" s="125"/>
      <c r="DV1" s="125"/>
      <c r="DW1" s="125"/>
      <c r="DX1" s="125"/>
      <c r="DY1" s="125"/>
      <c r="DZ1" s="125"/>
      <c r="EA1" s="125"/>
      <c r="EB1" s="125"/>
      <c r="EC1" s="125"/>
      <c r="ED1" s="125"/>
      <c r="EE1" s="125"/>
      <c r="EF1" s="125"/>
      <c r="EG1" s="125"/>
      <c r="EH1" s="125"/>
      <c r="EI1" s="125"/>
      <c r="EJ1" s="125"/>
      <c r="EK1" s="125"/>
      <c r="EL1" s="125"/>
      <c r="EM1" s="125"/>
      <c r="EN1" s="125"/>
      <c r="EO1" s="125"/>
      <c r="EP1" s="125"/>
      <c r="EQ1" s="125"/>
      <c r="ER1" s="125"/>
      <c r="ES1" s="125"/>
      <c r="ET1" s="125"/>
      <c r="EU1" s="125"/>
      <c r="EV1" s="125"/>
      <c r="EW1" s="125"/>
      <c r="EX1" s="125"/>
      <c r="EY1" s="125"/>
      <c r="EZ1" s="125"/>
      <c r="FA1" s="125"/>
      <c r="FB1" s="125"/>
      <c r="FC1" s="125"/>
      <c r="FD1" s="125"/>
      <c r="FE1" s="125"/>
      <c r="FF1" s="125"/>
      <c r="FG1" s="125"/>
      <c r="FH1" s="125"/>
      <c r="FI1" s="125"/>
      <c r="FJ1" s="125"/>
      <c r="FK1" s="125"/>
      <c r="FL1" s="125"/>
      <c r="FM1" s="125"/>
      <c r="FN1" s="125"/>
      <c r="FO1" s="125"/>
      <c r="FP1" s="125"/>
      <c r="FQ1" s="125"/>
      <c r="FR1" s="125"/>
      <c r="FS1" s="125"/>
      <c r="FT1" s="125"/>
      <c r="FU1" s="125"/>
      <c r="FV1" s="125"/>
      <c r="FW1" s="125"/>
      <c r="FX1" s="125"/>
      <c r="FY1" s="125"/>
      <c r="FZ1" s="125"/>
      <c r="GA1" s="125"/>
      <c r="GB1" s="125"/>
      <c r="GC1" s="125"/>
      <c r="GD1" s="125"/>
      <c r="GE1" s="125"/>
      <c r="GF1" s="125"/>
      <c r="GG1" s="125"/>
      <c r="GH1" s="125"/>
      <c r="GI1" s="125"/>
      <c r="GJ1" s="125"/>
      <c r="GK1" s="125"/>
      <c r="GL1" s="125"/>
      <c r="GM1" s="125"/>
      <c r="GN1" s="125"/>
      <c r="GO1" s="125"/>
      <c r="GP1" s="125"/>
      <c r="GQ1" s="125"/>
      <c r="GR1" s="125"/>
      <c r="GS1" s="125"/>
      <c r="GT1" s="125"/>
      <c r="GU1" s="125"/>
      <c r="GV1" s="125"/>
      <c r="GW1" s="125"/>
      <c r="GX1" s="125"/>
      <c r="GY1" s="125"/>
      <c r="GZ1" s="125"/>
      <c r="HA1" s="125"/>
      <c r="HB1" s="125"/>
      <c r="HC1" s="125"/>
      <c r="HD1" s="125"/>
      <c r="HE1" s="125"/>
      <c r="HF1" s="125"/>
      <c r="HG1" s="125"/>
      <c r="HH1" s="125"/>
      <c r="HI1" s="125"/>
      <c r="HJ1" s="125"/>
      <c r="HK1" s="125"/>
      <c r="HL1" s="125"/>
      <c r="HM1" s="125"/>
      <c r="HN1" s="125"/>
      <c r="HO1" s="125"/>
      <c r="HP1" s="125"/>
      <c r="HQ1" s="125"/>
      <c r="HR1" s="125"/>
      <c r="HS1" s="125"/>
      <c r="HT1" s="125"/>
      <c r="HU1" s="125"/>
      <c r="HV1" s="125"/>
      <c r="HW1" s="125"/>
      <c r="HX1" s="125"/>
      <c r="HY1" s="125"/>
      <c r="HZ1" s="125"/>
      <c r="IA1" s="125"/>
      <c r="IB1" s="125"/>
      <c r="IC1" s="125"/>
      <c r="ID1" s="125"/>
      <c r="IE1" s="125"/>
      <c r="IF1" s="125"/>
      <c r="IG1" s="125"/>
      <c r="IH1" s="125"/>
      <c r="II1" s="125"/>
      <c r="IJ1" s="125"/>
      <c r="IK1" s="125"/>
      <c r="IL1" s="125"/>
      <c r="IM1" s="125"/>
      <c r="IN1" s="125"/>
      <c r="IO1" s="125"/>
      <c r="IP1" s="125"/>
      <c r="IQ1" s="125"/>
      <c r="IR1" s="125"/>
      <c r="IS1" s="125"/>
    </row>
    <row r="2" spans="1:253" x14ac:dyDescent="0.2">
      <c r="A2" s="2172" t="str">
        <f>RESUM_VAL_!A2</f>
        <v>SUBGERENCIA DE SUPERVISION Y LIQUIDACION</v>
      </c>
      <c r="B2" s="2172"/>
      <c r="F2" s="389"/>
      <c r="G2" s="139"/>
      <c r="H2" s="139"/>
      <c r="K2" s="139"/>
      <c r="L2" s="139"/>
      <c r="M2" s="139"/>
      <c r="N2" s="139"/>
      <c r="O2" s="139"/>
      <c r="P2" s="125"/>
      <c r="Q2" s="125"/>
      <c r="U2" s="125"/>
      <c r="V2" s="125"/>
      <c r="W2" s="125"/>
      <c r="X2" s="125"/>
      <c r="Y2" s="125"/>
      <c r="Z2" s="125"/>
      <c r="AA2" s="125"/>
      <c r="AB2" s="125"/>
      <c r="AC2" s="125"/>
      <c r="AD2" s="125"/>
      <c r="AE2" s="125"/>
      <c r="AF2" s="125"/>
      <c r="AG2" s="125"/>
      <c r="AH2" s="125"/>
      <c r="AI2" s="125"/>
      <c r="AJ2" s="125"/>
      <c r="AK2" s="125"/>
      <c r="AL2" s="125"/>
      <c r="AM2" s="125"/>
      <c r="AN2" s="125"/>
      <c r="AO2" s="125"/>
      <c r="AP2" s="125"/>
      <c r="AQ2" s="125"/>
      <c r="AR2" s="125"/>
      <c r="AS2" s="125"/>
      <c r="AT2" s="125"/>
      <c r="AU2" s="125"/>
      <c r="AV2" s="125"/>
      <c r="AW2" s="125"/>
      <c r="AX2" s="125"/>
      <c r="AY2" s="125"/>
      <c r="AZ2" s="125"/>
      <c r="BA2" s="125"/>
      <c r="BB2" s="125"/>
      <c r="BC2" s="125"/>
      <c r="BD2" s="125"/>
      <c r="BE2" s="125"/>
      <c r="BF2" s="125"/>
      <c r="BG2" s="125"/>
      <c r="BH2" s="125"/>
      <c r="BI2" s="125"/>
      <c r="BJ2" s="125"/>
      <c r="BK2" s="125"/>
      <c r="BL2" s="125"/>
      <c r="BM2" s="125"/>
      <c r="BN2" s="125"/>
      <c r="BO2" s="125"/>
      <c r="BP2" s="125"/>
      <c r="BQ2" s="125"/>
      <c r="BR2" s="125"/>
      <c r="BS2" s="125"/>
      <c r="BT2" s="125"/>
      <c r="BU2" s="125"/>
      <c r="BV2" s="125"/>
      <c r="BW2" s="125"/>
      <c r="BX2" s="125"/>
      <c r="BY2" s="125"/>
      <c r="BZ2" s="125"/>
      <c r="CA2" s="125"/>
      <c r="CB2" s="125"/>
      <c r="CC2" s="125"/>
      <c r="CD2" s="125"/>
      <c r="CE2" s="125"/>
      <c r="CF2" s="125"/>
      <c r="CG2" s="125"/>
      <c r="CH2" s="125"/>
      <c r="CI2" s="125"/>
      <c r="CJ2" s="125"/>
      <c r="CK2" s="125"/>
      <c r="CL2" s="125"/>
      <c r="CM2" s="125"/>
      <c r="CN2" s="125"/>
      <c r="CO2" s="125"/>
      <c r="CP2" s="125"/>
      <c r="CQ2" s="125"/>
      <c r="CR2" s="125"/>
      <c r="CS2" s="125"/>
      <c r="CT2" s="125"/>
      <c r="CU2" s="125"/>
      <c r="CV2" s="125"/>
      <c r="CW2" s="125"/>
      <c r="CX2" s="125"/>
      <c r="CY2" s="125"/>
      <c r="CZ2" s="125"/>
      <c r="DA2" s="125"/>
      <c r="DB2" s="125"/>
      <c r="DC2" s="125"/>
      <c r="DD2" s="125"/>
      <c r="DE2" s="125"/>
      <c r="DF2" s="125"/>
      <c r="DG2" s="125"/>
      <c r="DH2" s="125"/>
      <c r="DI2" s="125"/>
      <c r="DJ2" s="125"/>
      <c r="DK2" s="125"/>
      <c r="DL2" s="125"/>
      <c r="DM2" s="125"/>
      <c r="DN2" s="125"/>
      <c r="DO2" s="125"/>
      <c r="DP2" s="125"/>
      <c r="DQ2" s="125"/>
      <c r="DR2" s="125"/>
      <c r="DS2" s="125"/>
      <c r="DT2" s="125"/>
      <c r="DU2" s="125"/>
      <c r="DV2" s="125"/>
      <c r="DW2" s="125"/>
      <c r="DX2" s="125"/>
      <c r="DY2" s="125"/>
      <c r="DZ2" s="125"/>
      <c r="EA2" s="125"/>
      <c r="EB2" s="125"/>
      <c r="EC2" s="125"/>
      <c r="ED2" s="125"/>
      <c r="EE2" s="125"/>
      <c r="EF2" s="125"/>
      <c r="EG2" s="125"/>
      <c r="EH2" s="125"/>
      <c r="EI2" s="125"/>
      <c r="EJ2" s="125"/>
      <c r="EK2" s="125"/>
      <c r="EL2" s="125"/>
      <c r="EM2" s="125"/>
      <c r="EN2" s="125"/>
      <c r="EO2" s="125"/>
      <c r="EP2" s="125"/>
      <c r="EQ2" s="125"/>
      <c r="ER2" s="125"/>
      <c r="ES2" s="125"/>
      <c r="ET2" s="125"/>
      <c r="EU2" s="125"/>
      <c r="EV2" s="125"/>
      <c r="EW2" s="125"/>
      <c r="EX2" s="125"/>
      <c r="EY2" s="125"/>
      <c r="EZ2" s="125"/>
      <c r="FA2" s="125"/>
      <c r="FB2" s="125"/>
      <c r="FC2" s="125"/>
      <c r="FD2" s="125"/>
      <c r="FE2" s="125"/>
      <c r="FF2" s="125"/>
      <c r="FG2" s="125"/>
      <c r="FH2" s="125"/>
      <c r="FI2" s="125"/>
      <c r="FJ2" s="125"/>
      <c r="FK2" s="125"/>
      <c r="FL2" s="125"/>
      <c r="FM2" s="125"/>
      <c r="FN2" s="125"/>
      <c r="FO2" s="125"/>
      <c r="FP2" s="125"/>
      <c r="FQ2" s="125"/>
      <c r="FR2" s="125"/>
      <c r="FS2" s="125"/>
      <c r="FT2" s="125"/>
      <c r="FU2" s="125"/>
      <c r="FV2" s="125"/>
      <c r="FW2" s="125"/>
      <c r="FX2" s="125"/>
      <c r="FY2" s="125"/>
      <c r="FZ2" s="125"/>
      <c r="GA2" s="125"/>
      <c r="GB2" s="125"/>
      <c r="GC2" s="125"/>
      <c r="GD2" s="125"/>
      <c r="GE2" s="125"/>
      <c r="GF2" s="125"/>
      <c r="GG2" s="125"/>
      <c r="GH2" s="125"/>
      <c r="GI2" s="125"/>
      <c r="GJ2" s="125"/>
      <c r="GK2" s="125"/>
      <c r="GL2" s="125"/>
      <c r="GM2" s="125"/>
      <c r="GN2" s="125"/>
      <c r="GO2" s="125"/>
      <c r="GP2" s="125"/>
      <c r="GQ2" s="125"/>
      <c r="GR2" s="125"/>
      <c r="GS2" s="125"/>
      <c r="GT2" s="125"/>
      <c r="GU2" s="125"/>
      <c r="GV2" s="125"/>
      <c r="GW2" s="125"/>
      <c r="GX2" s="125"/>
      <c r="GY2" s="125"/>
      <c r="GZ2" s="125"/>
      <c r="HA2" s="125"/>
      <c r="HB2" s="125"/>
      <c r="HC2" s="125"/>
      <c r="HD2" s="125"/>
      <c r="HE2" s="125"/>
      <c r="HF2" s="125"/>
      <c r="HG2" s="125"/>
      <c r="HH2" s="125"/>
      <c r="HI2" s="125"/>
      <c r="HJ2" s="125"/>
      <c r="HK2" s="125"/>
      <c r="HL2" s="125"/>
      <c r="HM2" s="125"/>
      <c r="HN2" s="125"/>
      <c r="HO2" s="125"/>
      <c r="HP2" s="125"/>
      <c r="HQ2" s="125"/>
      <c r="HR2" s="125"/>
      <c r="HS2" s="125"/>
      <c r="HT2" s="125"/>
      <c r="HU2" s="125"/>
      <c r="HV2" s="125"/>
      <c r="HW2" s="125"/>
      <c r="HX2" s="125"/>
      <c r="HY2" s="125"/>
      <c r="HZ2" s="125"/>
      <c r="IA2" s="125"/>
      <c r="IB2" s="125"/>
      <c r="IC2" s="125"/>
      <c r="ID2" s="125"/>
      <c r="IE2" s="125"/>
      <c r="IF2" s="125"/>
      <c r="IG2" s="125"/>
      <c r="IH2" s="125"/>
      <c r="II2" s="125"/>
      <c r="IJ2" s="125"/>
      <c r="IK2" s="125"/>
      <c r="IL2" s="125"/>
      <c r="IM2" s="125"/>
      <c r="IN2" s="125"/>
      <c r="IO2" s="125"/>
      <c r="IP2" s="125"/>
      <c r="IQ2" s="125"/>
      <c r="IR2" s="125"/>
      <c r="IS2" s="125"/>
    </row>
    <row r="3" spans="1:253" ht="18" x14ac:dyDescent="0.2">
      <c r="A3" s="2205" t="str">
        <f>CARAT_!A45</f>
        <v>INFORME DE SUPERVISIÓN N° 09 - DICIEMBRE - 2022</v>
      </c>
      <c r="B3" s="2205"/>
      <c r="C3" s="2205"/>
      <c r="D3" s="2205"/>
      <c r="E3" s="2205"/>
      <c r="F3" s="2205"/>
      <c r="G3" s="2205"/>
      <c r="H3" s="2205"/>
      <c r="I3" s="2205"/>
      <c r="J3" s="2205"/>
      <c r="K3" s="2205"/>
      <c r="L3" s="2205"/>
      <c r="M3" s="2205"/>
      <c r="N3" s="2205"/>
      <c r="O3" s="2205"/>
      <c r="P3" s="2205"/>
      <c r="Q3" s="125"/>
      <c r="U3" s="125"/>
      <c r="V3" s="125"/>
      <c r="W3" s="125"/>
      <c r="X3" s="125"/>
      <c r="Y3" s="125"/>
      <c r="Z3" s="125"/>
      <c r="AA3" s="125"/>
      <c r="AB3" s="125"/>
      <c r="AC3" s="125"/>
      <c r="AD3" s="125"/>
      <c r="AE3" s="125"/>
      <c r="AF3" s="125"/>
      <c r="AG3" s="125"/>
      <c r="AH3" s="125"/>
      <c r="AI3" s="125"/>
      <c r="AJ3" s="125"/>
      <c r="AK3" s="125"/>
      <c r="AL3" s="125"/>
      <c r="AM3" s="125"/>
      <c r="AN3" s="125"/>
      <c r="AO3" s="125"/>
      <c r="AP3" s="125"/>
      <c r="AQ3" s="125"/>
      <c r="AR3" s="125"/>
      <c r="AS3" s="125"/>
      <c r="AT3" s="125"/>
      <c r="AU3" s="125"/>
      <c r="AV3" s="125"/>
      <c r="AW3" s="125"/>
      <c r="AX3" s="125"/>
      <c r="AY3" s="125"/>
      <c r="AZ3" s="125"/>
      <c r="BA3" s="125"/>
      <c r="BB3" s="125"/>
      <c r="BC3" s="125"/>
      <c r="BD3" s="125"/>
      <c r="BE3" s="125"/>
      <c r="BF3" s="125"/>
      <c r="BG3" s="125"/>
      <c r="BH3" s="125"/>
      <c r="BI3" s="125"/>
      <c r="BJ3" s="125"/>
      <c r="BK3" s="125"/>
      <c r="BL3" s="125"/>
      <c r="BM3" s="125"/>
      <c r="BN3" s="125"/>
      <c r="BO3" s="125"/>
      <c r="BP3" s="125"/>
      <c r="BQ3" s="125"/>
      <c r="BR3" s="125"/>
      <c r="BS3" s="125"/>
      <c r="BT3" s="125"/>
      <c r="BU3" s="125"/>
      <c r="BV3" s="125"/>
      <c r="BW3" s="125"/>
      <c r="BX3" s="125"/>
      <c r="BY3" s="125"/>
      <c r="BZ3" s="125"/>
      <c r="CA3" s="125"/>
      <c r="CB3" s="125"/>
      <c r="CC3" s="125"/>
      <c r="CD3" s="125"/>
      <c r="CE3" s="125"/>
      <c r="CF3" s="125"/>
      <c r="CG3" s="125"/>
      <c r="CH3" s="125"/>
      <c r="CI3" s="125"/>
      <c r="CJ3" s="125"/>
      <c r="CK3" s="125"/>
      <c r="CL3" s="125"/>
      <c r="CM3" s="125"/>
      <c r="CN3" s="125"/>
      <c r="CO3" s="125"/>
      <c r="CP3" s="125"/>
      <c r="CQ3" s="125"/>
      <c r="CR3" s="125"/>
      <c r="CS3" s="125"/>
      <c r="CT3" s="125"/>
      <c r="CU3" s="125"/>
      <c r="CV3" s="125"/>
      <c r="CW3" s="125"/>
      <c r="CX3" s="125"/>
      <c r="CY3" s="125"/>
      <c r="CZ3" s="125"/>
      <c r="DA3" s="125"/>
      <c r="DB3" s="125"/>
      <c r="DC3" s="125"/>
      <c r="DD3" s="125"/>
      <c r="DE3" s="125"/>
      <c r="DF3" s="125"/>
      <c r="DG3" s="125"/>
      <c r="DH3" s="125"/>
      <c r="DI3" s="125"/>
      <c r="DJ3" s="125"/>
      <c r="DK3" s="125"/>
      <c r="DL3" s="125"/>
      <c r="DM3" s="125"/>
      <c r="DN3" s="125"/>
      <c r="DO3" s="125"/>
      <c r="DP3" s="125"/>
      <c r="DQ3" s="125"/>
      <c r="DR3" s="125"/>
      <c r="DS3" s="125"/>
      <c r="DT3" s="125"/>
      <c r="DU3" s="125"/>
      <c r="DV3" s="125"/>
      <c r="DW3" s="125"/>
      <c r="DX3" s="125"/>
      <c r="DY3" s="125"/>
      <c r="DZ3" s="125"/>
      <c r="EA3" s="125"/>
      <c r="EB3" s="125"/>
      <c r="EC3" s="125"/>
      <c r="ED3" s="125"/>
      <c r="EE3" s="125"/>
      <c r="EF3" s="125"/>
      <c r="EG3" s="125"/>
      <c r="EH3" s="125"/>
      <c r="EI3" s="125"/>
      <c r="EJ3" s="125"/>
      <c r="EK3" s="125"/>
      <c r="EL3" s="125"/>
      <c r="EM3" s="125"/>
      <c r="EN3" s="125"/>
      <c r="EO3" s="125"/>
      <c r="EP3" s="125"/>
      <c r="EQ3" s="125"/>
      <c r="ER3" s="125"/>
      <c r="ES3" s="125"/>
      <c r="ET3" s="125"/>
      <c r="EU3" s="125"/>
      <c r="EV3" s="125"/>
      <c r="EW3" s="125"/>
      <c r="EX3" s="125"/>
      <c r="EY3" s="125"/>
      <c r="EZ3" s="125"/>
      <c r="FA3" s="125"/>
      <c r="FB3" s="125"/>
      <c r="FC3" s="125"/>
      <c r="FD3" s="125"/>
      <c r="FE3" s="125"/>
      <c r="FF3" s="125"/>
      <c r="FG3" s="125"/>
      <c r="FH3" s="125"/>
      <c r="FI3" s="125"/>
      <c r="FJ3" s="125"/>
      <c r="FK3" s="125"/>
      <c r="FL3" s="125"/>
      <c r="FM3" s="125"/>
      <c r="FN3" s="125"/>
      <c r="FO3" s="125"/>
      <c r="FP3" s="125"/>
      <c r="FQ3" s="125"/>
      <c r="FR3" s="125"/>
      <c r="FS3" s="125"/>
      <c r="FT3" s="125"/>
      <c r="FU3" s="125"/>
      <c r="FV3" s="125"/>
      <c r="FW3" s="125"/>
      <c r="FX3" s="125"/>
      <c r="FY3" s="125"/>
      <c r="FZ3" s="125"/>
      <c r="GA3" s="125"/>
      <c r="GB3" s="125"/>
      <c r="GC3" s="125"/>
      <c r="GD3" s="125"/>
      <c r="GE3" s="125"/>
      <c r="GF3" s="125"/>
      <c r="GG3" s="125"/>
      <c r="GH3" s="125"/>
      <c r="GI3" s="125"/>
      <c r="GJ3" s="125"/>
      <c r="GK3" s="125"/>
      <c r="GL3" s="125"/>
      <c r="GM3" s="125"/>
      <c r="GN3" s="125"/>
      <c r="GO3" s="125"/>
      <c r="GP3" s="125"/>
      <c r="GQ3" s="125"/>
      <c r="GR3" s="125"/>
      <c r="GS3" s="125"/>
      <c r="GT3" s="125"/>
      <c r="GU3" s="125"/>
      <c r="GV3" s="125"/>
      <c r="GW3" s="125"/>
      <c r="GX3" s="125"/>
      <c r="GY3" s="125"/>
      <c r="GZ3" s="125"/>
      <c r="HA3" s="125"/>
      <c r="HB3" s="125"/>
      <c r="HC3" s="125"/>
      <c r="HD3" s="125"/>
      <c r="HE3" s="125"/>
      <c r="HF3" s="125"/>
      <c r="HG3" s="125"/>
      <c r="HH3" s="125"/>
      <c r="HI3" s="125"/>
      <c r="HJ3" s="125"/>
      <c r="HK3" s="125"/>
      <c r="HL3" s="125"/>
      <c r="HM3" s="125"/>
      <c r="HN3" s="125"/>
      <c r="HO3" s="125"/>
      <c r="HP3" s="125"/>
      <c r="HQ3" s="125"/>
      <c r="HR3" s="125"/>
      <c r="HS3" s="125"/>
      <c r="HT3" s="125"/>
      <c r="HU3" s="125"/>
      <c r="HV3" s="125"/>
      <c r="HW3" s="125"/>
      <c r="HX3" s="125"/>
      <c r="HY3" s="125"/>
      <c r="HZ3" s="125"/>
      <c r="IA3" s="125"/>
      <c r="IB3" s="125"/>
      <c r="IC3" s="125"/>
      <c r="ID3" s="125"/>
      <c r="IE3" s="125"/>
      <c r="IF3" s="125"/>
      <c r="IG3" s="125"/>
      <c r="IH3" s="125"/>
      <c r="II3" s="125"/>
      <c r="IJ3" s="125"/>
      <c r="IK3" s="125"/>
      <c r="IL3" s="125"/>
      <c r="IM3" s="125"/>
      <c r="IN3" s="125"/>
      <c r="IO3" s="125"/>
      <c r="IP3" s="125"/>
      <c r="IQ3" s="125"/>
      <c r="IR3" s="125"/>
      <c r="IS3" s="125"/>
    </row>
    <row r="4" spans="1:253" x14ac:dyDescent="0.2">
      <c r="A4" s="2193"/>
      <c r="B4" s="2193"/>
      <c r="C4" s="2193"/>
      <c r="D4" s="2193"/>
      <c r="E4" s="2193"/>
      <c r="F4" s="2193"/>
      <c r="G4" s="2193"/>
      <c r="H4" s="2193"/>
      <c r="I4" s="2194"/>
      <c r="J4" s="2193"/>
      <c r="K4" s="2193"/>
      <c r="L4" s="2193"/>
      <c r="M4" s="2193"/>
      <c r="N4" s="2193"/>
      <c r="O4" s="2193"/>
      <c r="P4" s="125"/>
      <c r="Q4" s="125"/>
      <c r="U4" s="125"/>
      <c r="V4" s="125"/>
      <c r="W4" s="125"/>
      <c r="X4" s="125"/>
      <c r="Y4" s="125"/>
      <c r="Z4" s="125"/>
      <c r="AA4" s="125"/>
      <c r="AB4" s="125"/>
      <c r="AC4" s="125"/>
      <c r="AD4" s="125"/>
      <c r="AE4" s="125"/>
      <c r="AF4" s="125"/>
      <c r="AG4" s="125"/>
      <c r="AH4" s="125"/>
      <c r="AI4" s="125"/>
      <c r="AJ4" s="125"/>
      <c r="AK4" s="125"/>
      <c r="AL4" s="125"/>
      <c r="AM4" s="125"/>
      <c r="AN4" s="125"/>
      <c r="AO4" s="125"/>
      <c r="AP4" s="125"/>
      <c r="AQ4" s="125"/>
      <c r="AR4" s="125"/>
      <c r="AS4" s="125"/>
      <c r="AT4" s="125"/>
      <c r="AU4" s="125"/>
      <c r="AV4" s="125"/>
      <c r="AW4" s="125"/>
      <c r="AX4" s="125"/>
      <c r="AY4" s="125"/>
      <c r="AZ4" s="125"/>
      <c r="BA4" s="125"/>
      <c r="BB4" s="125"/>
      <c r="BC4" s="125"/>
      <c r="BD4" s="125"/>
      <c r="BE4" s="125"/>
      <c r="BF4" s="125"/>
      <c r="BG4" s="125"/>
      <c r="BH4" s="125"/>
      <c r="BI4" s="125"/>
      <c r="BJ4" s="125"/>
      <c r="BK4" s="125"/>
      <c r="BL4" s="125"/>
      <c r="BM4" s="125"/>
      <c r="BN4" s="125"/>
      <c r="BO4" s="125"/>
      <c r="BP4" s="125"/>
      <c r="BQ4" s="125"/>
      <c r="BR4" s="125"/>
      <c r="BS4" s="125"/>
      <c r="BT4" s="125"/>
      <c r="BU4" s="125"/>
      <c r="BV4" s="125"/>
      <c r="BW4" s="125"/>
      <c r="BX4" s="125"/>
      <c r="BY4" s="125"/>
      <c r="BZ4" s="125"/>
      <c r="CA4" s="125"/>
      <c r="CB4" s="125"/>
      <c r="CC4" s="125"/>
      <c r="CD4" s="125"/>
      <c r="CE4" s="125"/>
      <c r="CF4" s="125"/>
      <c r="CG4" s="125"/>
      <c r="CH4" s="125"/>
      <c r="CI4" s="125"/>
      <c r="CJ4" s="125"/>
      <c r="CK4" s="125"/>
      <c r="CL4" s="125"/>
      <c r="CM4" s="125"/>
      <c r="CN4" s="125"/>
      <c r="CO4" s="125"/>
      <c r="CP4" s="125"/>
      <c r="CQ4" s="125"/>
      <c r="CR4" s="125"/>
      <c r="CS4" s="125"/>
      <c r="CT4" s="125"/>
      <c r="CU4" s="125"/>
      <c r="CV4" s="125"/>
      <c r="CW4" s="125"/>
      <c r="CX4" s="125"/>
      <c r="CY4" s="125"/>
      <c r="CZ4" s="125"/>
      <c r="DA4" s="125"/>
      <c r="DB4" s="125"/>
      <c r="DC4" s="125"/>
      <c r="DD4" s="125"/>
      <c r="DE4" s="125"/>
      <c r="DF4" s="125"/>
      <c r="DG4" s="125"/>
      <c r="DH4" s="125"/>
      <c r="DI4" s="125"/>
      <c r="DJ4" s="125"/>
      <c r="DK4" s="125"/>
      <c r="DL4" s="125"/>
      <c r="DM4" s="125"/>
      <c r="DN4" s="125"/>
      <c r="DO4" s="125"/>
      <c r="DP4" s="125"/>
      <c r="DQ4" s="125"/>
      <c r="DR4" s="125"/>
      <c r="DS4" s="125"/>
      <c r="DT4" s="125"/>
      <c r="DU4" s="125"/>
      <c r="DV4" s="125"/>
      <c r="DW4" s="125"/>
      <c r="DX4" s="125"/>
      <c r="DY4" s="125"/>
      <c r="DZ4" s="125"/>
      <c r="EA4" s="125"/>
      <c r="EB4" s="125"/>
      <c r="EC4" s="125"/>
      <c r="ED4" s="125"/>
      <c r="EE4" s="125"/>
      <c r="EF4" s="125"/>
      <c r="EG4" s="125"/>
      <c r="EH4" s="125"/>
      <c r="EI4" s="125"/>
      <c r="EJ4" s="125"/>
      <c r="EK4" s="125"/>
      <c r="EL4" s="125"/>
      <c r="EM4" s="125"/>
      <c r="EN4" s="125"/>
      <c r="EO4" s="125"/>
      <c r="EP4" s="125"/>
      <c r="EQ4" s="125"/>
      <c r="ER4" s="125"/>
      <c r="ES4" s="125"/>
      <c r="ET4" s="125"/>
      <c r="EU4" s="125"/>
      <c r="EV4" s="125"/>
      <c r="EW4" s="125"/>
      <c r="EX4" s="125"/>
      <c r="EY4" s="125"/>
      <c r="EZ4" s="125"/>
      <c r="FA4" s="125"/>
      <c r="FB4" s="125"/>
      <c r="FC4" s="125"/>
      <c r="FD4" s="125"/>
      <c r="FE4" s="125"/>
      <c r="FF4" s="125"/>
      <c r="FG4" s="125"/>
      <c r="FH4" s="125"/>
      <c r="FI4" s="125"/>
      <c r="FJ4" s="125"/>
      <c r="FK4" s="125"/>
      <c r="FL4" s="125"/>
      <c r="FM4" s="125"/>
      <c r="FN4" s="125"/>
      <c r="FO4" s="125"/>
      <c r="FP4" s="125"/>
      <c r="FQ4" s="125"/>
      <c r="FR4" s="125"/>
      <c r="FS4" s="125"/>
      <c r="FT4" s="125"/>
      <c r="FU4" s="125"/>
      <c r="FV4" s="125"/>
      <c r="FW4" s="125"/>
      <c r="FX4" s="125"/>
      <c r="FY4" s="125"/>
      <c r="FZ4" s="125"/>
      <c r="GA4" s="125"/>
      <c r="GB4" s="125"/>
      <c r="GC4" s="125"/>
      <c r="GD4" s="125"/>
      <c r="GE4" s="125"/>
      <c r="GF4" s="125"/>
      <c r="GG4" s="125"/>
      <c r="GH4" s="125"/>
      <c r="GI4" s="125"/>
      <c r="GJ4" s="125"/>
      <c r="GK4" s="125"/>
      <c r="GL4" s="125"/>
      <c r="GM4" s="125"/>
      <c r="GN4" s="125"/>
      <c r="GO4" s="125"/>
      <c r="GP4" s="125"/>
      <c r="GQ4" s="125"/>
      <c r="GR4" s="125"/>
      <c r="GS4" s="125"/>
      <c r="GT4" s="125"/>
      <c r="GU4" s="125"/>
      <c r="GV4" s="125"/>
      <c r="GW4" s="125"/>
      <c r="GX4" s="125"/>
      <c r="GY4" s="125"/>
      <c r="GZ4" s="125"/>
      <c r="HA4" s="125"/>
      <c r="HB4" s="125"/>
      <c r="HC4" s="125"/>
      <c r="HD4" s="125"/>
      <c r="HE4" s="125"/>
      <c r="HF4" s="125"/>
      <c r="HG4" s="125"/>
      <c r="HH4" s="125"/>
      <c r="HI4" s="125"/>
      <c r="HJ4" s="125"/>
      <c r="HK4" s="125"/>
      <c r="HL4" s="125"/>
      <c r="HM4" s="125"/>
      <c r="HN4" s="125"/>
      <c r="HO4" s="125"/>
      <c r="HP4" s="125"/>
      <c r="HQ4" s="125"/>
      <c r="HR4" s="125"/>
      <c r="HS4" s="125"/>
      <c r="HT4" s="125"/>
      <c r="HU4" s="125"/>
      <c r="HV4" s="125"/>
      <c r="HW4" s="125"/>
      <c r="HX4" s="125"/>
      <c r="HY4" s="125"/>
      <c r="HZ4" s="125"/>
      <c r="IA4" s="125"/>
      <c r="IB4" s="125"/>
      <c r="IC4" s="125"/>
      <c r="ID4" s="125"/>
      <c r="IE4" s="125"/>
      <c r="IF4" s="125"/>
      <c r="IG4" s="125"/>
      <c r="IH4" s="125"/>
      <c r="II4" s="125"/>
      <c r="IJ4" s="125"/>
      <c r="IK4" s="125"/>
      <c r="IL4" s="125"/>
      <c r="IM4" s="125"/>
      <c r="IN4" s="125"/>
      <c r="IO4" s="125"/>
      <c r="IP4" s="125"/>
      <c r="IQ4" s="125"/>
      <c r="IR4" s="125"/>
      <c r="IS4" s="125"/>
    </row>
    <row r="5" spans="1:253" x14ac:dyDescent="0.2">
      <c r="A5" s="200" t="s">
        <v>1204</v>
      </c>
      <c r="B5" s="199"/>
      <c r="C5" s="198" t="s">
        <v>7</v>
      </c>
      <c r="D5" s="201" t="str">
        <f>CARAT_!$F$47</f>
        <v>ESPECIFICO Nº SP-2022-012</v>
      </c>
      <c r="F5" s="389"/>
      <c r="G5" s="139"/>
      <c r="H5" s="139"/>
      <c r="K5" s="139"/>
      <c r="L5" s="139"/>
      <c r="M5" s="139"/>
      <c r="N5" s="139"/>
      <c r="O5" s="139"/>
      <c r="P5" s="125"/>
      <c r="Q5" s="125"/>
      <c r="U5" s="125"/>
      <c r="V5" s="125"/>
      <c r="W5" s="125"/>
      <c r="X5" s="125"/>
      <c r="Y5" s="125"/>
      <c r="Z5" s="125"/>
      <c r="AA5" s="125"/>
      <c r="AB5" s="125"/>
      <c r="AC5" s="125"/>
      <c r="AD5" s="125"/>
      <c r="AE5" s="125"/>
      <c r="AF5" s="125"/>
      <c r="AG5" s="125"/>
      <c r="AH5" s="125"/>
      <c r="AI5" s="125"/>
      <c r="AJ5" s="125"/>
      <c r="AK5" s="125"/>
      <c r="AL5" s="125"/>
      <c r="AM5" s="125"/>
      <c r="AN5" s="125"/>
      <c r="AO5" s="125"/>
      <c r="AP5" s="125"/>
      <c r="AQ5" s="125"/>
      <c r="AR5" s="125"/>
      <c r="AS5" s="125"/>
      <c r="AT5" s="125"/>
      <c r="AU5" s="125"/>
      <c r="AV5" s="125"/>
      <c r="AW5" s="125"/>
      <c r="AX5" s="125"/>
      <c r="AY5" s="125"/>
      <c r="AZ5" s="125"/>
      <c r="BA5" s="125"/>
      <c r="BB5" s="125"/>
      <c r="BC5" s="125"/>
      <c r="BD5" s="125"/>
      <c r="BE5" s="125"/>
      <c r="BF5" s="125"/>
      <c r="BG5" s="125"/>
      <c r="BH5" s="125"/>
      <c r="BI5" s="125"/>
      <c r="BJ5" s="125"/>
      <c r="BK5" s="125"/>
      <c r="BL5" s="125"/>
      <c r="BM5" s="125"/>
      <c r="BN5" s="125"/>
      <c r="BO5" s="125"/>
      <c r="BP5" s="125"/>
      <c r="BQ5" s="125"/>
      <c r="BR5" s="125"/>
      <c r="BS5" s="125"/>
      <c r="BT5" s="125"/>
      <c r="BU5" s="125"/>
      <c r="BV5" s="125"/>
      <c r="BW5" s="125"/>
      <c r="BX5" s="125"/>
      <c r="BY5" s="125"/>
      <c r="BZ5" s="125"/>
      <c r="CA5" s="125"/>
      <c r="CB5" s="125"/>
      <c r="CC5" s="125"/>
      <c r="CD5" s="125"/>
      <c r="CE5" s="125"/>
      <c r="CF5" s="125"/>
      <c r="CG5" s="125"/>
      <c r="CH5" s="125"/>
      <c r="CI5" s="125"/>
      <c r="CJ5" s="125"/>
      <c r="CK5" s="125"/>
      <c r="CL5" s="125"/>
      <c r="CM5" s="125"/>
      <c r="CN5" s="125"/>
      <c r="CO5" s="125"/>
      <c r="CP5" s="125"/>
      <c r="CQ5" s="125"/>
      <c r="CR5" s="125"/>
      <c r="CS5" s="125"/>
      <c r="CT5" s="125"/>
      <c r="CU5" s="125"/>
      <c r="CV5" s="125"/>
      <c r="CW5" s="125"/>
      <c r="CX5" s="125"/>
      <c r="CY5" s="125"/>
      <c r="CZ5" s="125"/>
      <c r="DA5" s="125"/>
      <c r="DB5" s="125"/>
      <c r="DC5" s="125"/>
      <c r="DD5" s="125"/>
      <c r="DE5" s="125"/>
      <c r="DF5" s="125"/>
      <c r="DG5" s="125"/>
      <c r="DH5" s="125"/>
      <c r="DI5" s="125"/>
      <c r="DJ5" s="125"/>
      <c r="DK5" s="125"/>
      <c r="DL5" s="125"/>
      <c r="DM5" s="125"/>
      <c r="DN5" s="125"/>
      <c r="DO5" s="125"/>
      <c r="DP5" s="125"/>
      <c r="DQ5" s="125"/>
      <c r="DR5" s="125"/>
      <c r="DS5" s="125"/>
      <c r="DT5" s="125"/>
      <c r="DU5" s="125"/>
      <c r="DV5" s="125"/>
      <c r="DW5" s="125"/>
      <c r="DX5" s="125"/>
      <c r="DY5" s="125"/>
      <c r="DZ5" s="125"/>
      <c r="EA5" s="125"/>
      <c r="EB5" s="125"/>
      <c r="EC5" s="125"/>
      <c r="ED5" s="125"/>
      <c r="EE5" s="125"/>
      <c r="EF5" s="125"/>
      <c r="EG5" s="125"/>
      <c r="EH5" s="125"/>
      <c r="EI5" s="125"/>
      <c r="EJ5" s="125"/>
      <c r="EK5" s="125"/>
      <c r="EL5" s="125"/>
      <c r="EM5" s="125"/>
      <c r="EN5" s="125"/>
      <c r="EO5" s="125"/>
      <c r="EP5" s="125"/>
      <c r="EQ5" s="125"/>
      <c r="ER5" s="125"/>
      <c r="ES5" s="125"/>
      <c r="ET5" s="125"/>
      <c r="EU5" s="125"/>
      <c r="EV5" s="125"/>
      <c r="EW5" s="125"/>
      <c r="EX5" s="125"/>
      <c r="EY5" s="125"/>
      <c r="EZ5" s="125"/>
      <c r="FA5" s="125"/>
      <c r="FB5" s="125"/>
      <c r="FC5" s="125"/>
      <c r="FD5" s="125"/>
      <c r="FE5" s="125"/>
      <c r="FF5" s="125"/>
      <c r="FG5" s="125"/>
      <c r="FH5" s="125"/>
      <c r="FI5" s="125"/>
      <c r="FJ5" s="125"/>
      <c r="FK5" s="125"/>
      <c r="FL5" s="125"/>
      <c r="FM5" s="125"/>
      <c r="FN5" s="125"/>
      <c r="FO5" s="125"/>
      <c r="FP5" s="125"/>
      <c r="FQ5" s="125"/>
      <c r="FR5" s="125"/>
      <c r="FS5" s="125"/>
      <c r="FT5" s="125"/>
      <c r="FU5" s="125"/>
      <c r="FV5" s="125"/>
      <c r="FW5" s="125"/>
      <c r="FX5" s="125"/>
      <c r="FY5" s="125"/>
      <c r="FZ5" s="125"/>
      <c r="GA5" s="125"/>
      <c r="GB5" s="125"/>
      <c r="GC5" s="125"/>
      <c r="GD5" s="125"/>
      <c r="GE5" s="125"/>
      <c r="GF5" s="125"/>
      <c r="GG5" s="125"/>
      <c r="GH5" s="125"/>
      <c r="GI5" s="125"/>
      <c r="GJ5" s="125"/>
      <c r="GK5" s="125"/>
      <c r="GL5" s="125"/>
      <c r="GM5" s="125"/>
      <c r="GN5" s="125"/>
      <c r="GO5" s="125"/>
      <c r="GP5" s="125"/>
      <c r="GQ5" s="125"/>
      <c r="GR5" s="125"/>
      <c r="GS5" s="125"/>
      <c r="GT5" s="125"/>
      <c r="GU5" s="125"/>
      <c r="GV5" s="125"/>
      <c r="GW5" s="125"/>
      <c r="GX5" s="125"/>
      <c r="GY5" s="125"/>
      <c r="GZ5" s="125"/>
      <c r="HA5" s="125"/>
      <c r="HB5" s="125"/>
      <c r="HC5" s="125"/>
      <c r="HD5" s="125"/>
      <c r="HE5" s="125"/>
      <c r="HF5" s="125"/>
      <c r="HG5" s="125"/>
      <c r="HH5" s="125"/>
      <c r="HI5" s="125"/>
      <c r="HJ5" s="125"/>
      <c r="HK5" s="125"/>
      <c r="HL5" s="125"/>
      <c r="HM5" s="125"/>
      <c r="HN5" s="125"/>
      <c r="HO5" s="125"/>
      <c r="HP5" s="125"/>
      <c r="HQ5" s="125"/>
      <c r="HR5" s="125"/>
      <c r="HS5" s="125"/>
      <c r="HT5" s="125"/>
      <c r="HU5" s="125"/>
      <c r="HV5" s="125"/>
      <c r="HW5" s="125"/>
      <c r="HX5" s="125"/>
      <c r="HY5" s="125"/>
      <c r="HZ5" s="125"/>
      <c r="IA5" s="125"/>
      <c r="IB5" s="125"/>
      <c r="IC5" s="125"/>
      <c r="ID5" s="125"/>
      <c r="IE5" s="125"/>
      <c r="IF5" s="125"/>
      <c r="IG5" s="125"/>
      <c r="IH5" s="125"/>
      <c r="II5" s="125"/>
      <c r="IJ5" s="125"/>
      <c r="IK5" s="125"/>
      <c r="IL5" s="125"/>
      <c r="IM5" s="125"/>
      <c r="IN5" s="125"/>
      <c r="IO5" s="125"/>
      <c r="IP5" s="125"/>
      <c r="IQ5" s="125"/>
      <c r="IR5" s="125"/>
      <c r="IS5" s="125"/>
    </row>
    <row r="6" spans="1:253" x14ac:dyDescent="0.2">
      <c r="A6" s="385" t="s">
        <v>18</v>
      </c>
      <c r="B6" s="199"/>
      <c r="C6" s="198" t="s">
        <v>7</v>
      </c>
      <c r="D6" s="2189" t="str">
        <f>CARAT_!F48</f>
        <v>“CREACION DEL PUENTE VEHICULAR CCANCHIS SOBRE EL RIO PAMPAS, DISTRITO DE CHUNGUI - PROVINCIA LA MAR - DEPARTAMENTO AYACUCHO”.</v>
      </c>
      <c r="E6" s="2189"/>
      <c r="F6" s="2189"/>
      <c r="G6" s="2189"/>
      <c r="H6" s="2189"/>
      <c r="I6" s="2190"/>
      <c r="J6" s="2189"/>
      <c r="K6" s="2189"/>
      <c r="L6" s="2189"/>
      <c r="M6" s="2189"/>
      <c r="N6" s="2189"/>
      <c r="O6" s="2189"/>
      <c r="P6" s="125"/>
      <c r="Q6" s="125"/>
      <c r="U6" s="125"/>
      <c r="V6" s="125"/>
      <c r="W6" s="125"/>
      <c r="X6" s="125"/>
      <c r="Y6" s="125"/>
      <c r="Z6" s="125"/>
      <c r="AA6" s="125"/>
      <c r="AB6" s="125"/>
      <c r="AC6" s="125"/>
      <c r="AD6" s="125"/>
      <c r="AE6" s="125"/>
      <c r="AF6" s="125"/>
      <c r="AG6" s="125"/>
      <c r="AH6" s="125"/>
      <c r="AI6" s="125"/>
      <c r="AJ6" s="125"/>
      <c r="AK6" s="125"/>
      <c r="AL6" s="125"/>
      <c r="AM6" s="125"/>
      <c r="AN6" s="125"/>
      <c r="AO6" s="125"/>
      <c r="AP6" s="125"/>
      <c r="AQ6" s="125"/>
      <c r="AR6" s="125"/>
      <c r="AS6" s="125"/>
      <c r="AT6" s="125"/>
      <c r="AU6" s="125"/>
      <c r="AV6" s="125"/>
      <c r="AW6" s="125"/>
      <c r="AX6" s="125"/>
      <c r="AY6" s="125"/>
      <c r="AZ6" s="125"/>
      <c r="BA6" s="125"/>
      <c r="BB6" s="125"/>
      <c r="BC6" s="125"/>
      <c r="BD6" s="125"/>
      <c r="BE6" s="125"/>
      <c r="BF6" s="125"/>
      <c r="BG6" s="125"/>
      <c r="BH6" s="125"/>
      <c r="BI6" s="125"/>
      <c r="BJ6" s="125"/>
      <c r="BK6" s="125"/>
      <c r="BL6" s="125"/>
      <c r="BM6" s="125"/>
      <c r="BN6" s="125"/>
      <c r="BO6" s="125"/>
      <c r="BP6" s="125"/>
      <c r="BQ6" s="125"/>
      <c r="BR6" s="125"/>
      <c r="BS6" s="125"/>
      <c r="BT6" s="125"/>
      <c r="BU6" s="125"/>
      <c r="BV6" s="125"/>
      <c r="BW6" s="125"/>
      <c r="BX6" s="125"/>
      <c r="BY6" s="125"/>
      <c r="BZ6" s="125"/>
      <c r="CA6" s="125"/>
      <c r="CB6" s="125"/>
      <c r="CC6" s="125"/>
      <c r="CD6" s="125"/>
      <c r="CE6" s="125"/>
      <c r="CF6" s="125"/>
      <c r="CG6" s="125"/>
      <c r="CH6" s="125"/>
      <c r="CI6" s="125"/>
      <c r="CJ6" s="125"/>
      <c r="CK6" s="125"/>
      <c r="CL6" s="125"/>
      <c r="CM6" s="125"/>
      <c r="CN6" s="125"/>
      <c r="CO6" s="125"/>
      <c r="CP6" s="125"/>
      <c r="CQ6" s="125"/>
      <c r="CR6" s="125"/>
      <c r="CS6" s="125"/>
      <c r="CT6" s="125"/>
      <c r="CU6" s="125"/>
      <c r="CV6" s="125"/>
      <c r="CW6" s="125"/>
      <c r="CX6" s="125"/>
      <c r="CY6" s="125"/>
      <c r="CZ6" s="125"/>
      <c r="DA6" s="125"/>
      <c r="DB6" s="125"/>
      <c r="DC6" s="125"/>
      <c r="DD6" s="125"/>
      <c r="DE6" s="125"/>
      <c r="DF6" s="125"/>
      <c r="DG6" s="125"/>
      <c r="DH6" s="125"/>
      <c r="DI6" s="125"/>
      <c r="DJ6" s="125"/>
      <c r="DK6" s="125"/>
      <c r="DL6" s="125"/>
      <c r="DM6" s="125"/>
      <c r="DN6" s="125"/>
      <c r="DO6" s="125"/>
      <c r="DP6" s="125"/>
      <c r="DQ6" s="125"/>
      <c r="DR6" s="125"/>
      <c r="DS6" s="125"/>
      <c r="DT6" s="125"/>
      <c r="DU6" s="125"/>
      <c r="DV6" s="125"/>
      <c r="DW6" s="125"/>
      <c r="DX6" s="125"/>
      <c r="DY6" s="125"/>
      <c r="DZ6" s="125"/>
      <c r="EA6" s="125"/>
      <c r="EB6" s="125"/>
      <c r="EC6" s="125"/>
      <c r="ED6" s="125"/>
      <c r="EE6" s="125"/>
      <c r="EF6" s="125"/>
      <c r="EG6" s="125"/>
      <c r="EH6" s="125"/>
      <c r="EI6" s="125"/>
      <c r="EJ6" s="125"/>
      <c r="EK6" s="125"/>
      <c r="EL6" s="125"/>
      <c r="EM6" s="125"/>
      <c r="EN6" s="125"/>
      <c r="EO6" s="125"/>
      <c r="EP6" s="125"/>
      <c r="EQ6" s="125"/>
      <c r="ER6" s="125"/>
      <c r="ES6" s="125"/>
      <c r="ET6" s="125"/>
      <c r="EU6" s="125"/>
      <c r="EV6" s="125"/>
      <c r="EW6" s="125"/>
      <c r="EX6" s="125"/>
      <c r="EY6" s="125"/>
      <c r="EZ6" s="125"/>
      <c r="FA6" s="125"/>
      <c r="FB6" s="125"/>
      <c r="FC6" s="125"/>
      <c r="FD6" s="125"/>
      <c r="FE6" s="125"/>
      <c r="FF6" s="125"/>
      <c r="FG6" s="125"/>
      <c r="FH6" s="125"/>
      <c r="FI6" s="125"/>
      <c r="FJ6" s="125"/>
      <c r="FK6" s="125"/>
      <c r="FL6" s="125"/>
      <c r="FM6" s="125"/>
      <c r="FN6" s="125"/>
      <c r="FO6" s="125"/>
      <c r="FP6" s="125"/>
      <c r="FQ6" s="125"/>
      <c r="FR6" s="125"/>
      <c r="FS6" s="125"/>
      <c r="FT6" s="125"/>
      <c r="FU6" s="125"/>
      <c r="FV6" s="125"/>
      <c r="FW6" s="125"/>
      <c r="FX6" s="125"/>
      <c r="FY6" s="125"/>
      <c r="FZ6" s="125"/>
      <c r="GA6" s="125"/>
      <c r="GB6" s="125"/>
      <c r="GC6" s="125"/>
      <c r="GD6" s="125"/>
      <c r="GE6" s="125"/>
      <c r="GF6" s="125"/>
      <c r="GG6" s="125"/>
      <c r="GH6" s="125"/>
      <c r="GI6" s="125"/>
      <c r="GJ6" s="125"/>
      <c r="GK6" s="125"/>
      <c r="GL6" s="125"/>
      <c r="GM6" s="125"/>
      <c r="GN6" s="125"/>
      <c r="GO6" s="125"/>
      <c r="GP6" s="125"/>
      <c r="GQ6" s="125"/>
      <c r="GR6" s="125"/>
      <c r="GS6" s="125"/>
      <c r="GT6" s="125"/>
      <c r="GU6" s="125"/>
      <c r="GV6" s="125"/>
      <c r="GW6" s="125"/>
      <c r="GX6" s="125"/>
      <c r="GY6" s="125"/>
      <c r="GZ6" s="125"/>
      <c r="HA6" s="125"/>
      <c r="HB6" s="125"/>
      <c r="HC6" s="125"/>
      <c r="HD6" s="125"/>
      <c r="HE6" s="125"/>
      <c r="HF6" s="125"/>
      <c r="HG6" s="125"/>
      <c r="HH6" s="125"/>
      <c r="HI6" s="125"/>
      <c r="HJ6" s="125"/>
      <c r="HK6" s="125"/>
      <c r="HL6" s="125"/>
      <c r="HM6" s="125"/>
      <c r="HN6" s="125"/>
      <c r="HO6" s="125"/>
      <c r="HP6" s="125"/>
      <c r="HQ6" s="125"/>
      <c r="HR6" s="125"/>
      <c r="HS6" s="125"/>
      <c r="HT6" s="125"/>
      <c r="HU6" s="125"/>
      <c r="HV6" s="125"/>
      <c r="HW6" s="125"/>
      <c r="HX6" s="125"/>
      <c r="HY6" s="125"/>
      <c r="HZ6" s="125"/>
      <c r="IA6" s="125"/>
      <c r="IB6" s="125"/>
      <c r="IC6" s="125"/>
      <c r="ID6" s="125"/>
      <c r="IE6" s="125"/>
      <c r="IF6" s="125"/>
      <c r="IG6" s="125"/>
      <c r="IH6" s="125"/>
      <c r="II6" s="125"/>
      <c r="IJ6" s="125"/>
      <c r="IK6" s="125"/>
      <c r="IL6" s="125"/>
      <c r="IM6" s="125"/>
      <c r="IN6" s="125"/>
      <c r="IO6" s="125"/>
      <c r="IP6" s="125"/>
      <c r="IQ6" s="125"/>
      <c r="IR6" s="125"/>
      <c r="IS6" s="125"/>
    </row>
    <row r="7" spans="1:253" x14ac:dyDescent="0.2">
      <c r="A7" s="385" t="s">
        <v>1488</v>
      </c>
      <c r="B7" s="199"/>
      <c r="C7" s="198" t="s">
        <v>7</v>
      </c>
      <c r="D7" s="201" t="str">
        <f>CARAT_!$F$52</f>
        <v>SIMA PERU S.A.</v>
      </c>
      <c r="F7" s="389"/>
      <c r="G7" s="139"/>
      <c r="H7" s="139"/>
      <c r="K7" s="139"/>
      <c r="L7" s="139"/>
      <c r="M7" s="139"/>
      <c r="N7" s="139"/>
      <c r="O7" s="139"/>
      <c r="P7" s="125"/>
      <c r="Q7" s="125"/>
      <c r="U7" s="125"/>
      <c r="V7" s="125"/>
      <c r="W7" s="125"/>
      <c r="X7" s="125"/>
      <c r="Y7" s="125"/>
      <c r="Z7" s="125"/>
      <c r="AA7" s="125"/>
      <c r="AB7" s="125"/>
      <c r="AC7" s="125"/>
      <c r="AD7" s="125"/>
      <c r="AE7" s="125"/>
      <c r="AF7" s="125"/>
      <c r="AG7" s="125"/>
      <c r="AH7" s="125"/>
      <c r="AI7" s="125"/>
      <c r="AJ7" s="125"/>
      <c r="AK7" s="125"/>
      <c r="AL7" s="125"/>
      <c r="AM7" s="125"/>
      <c r="AN7" s="125"/>
      <c r="AO7" s="125"/>
      <c r="AP7" s="125"/>
      <c r="AQ7" s="125"/>
      <c r="AR7" s="125"/>
      <c r="AS7" s="125"/>
      <c r="AT7" s="125"/>
      <c r="AU7" s="125"/>
      <c r="AV7" s="125"/>
      <c r="AW7" s="125"/>
      <c r="AX7" s="125"/>
      <c r="AY7" s="125"/>
      <c r="AZ7" s="125"/>
      <c r="BA7" s="125"/>
      <c r="BB7" s="125"/>
      <c r="BC7" s="125"/>
      <c r="BD7" s="125"/>
      <c r="BE7" s="125"/>
      <c r="BF7" s="125"/>
      <c r="BG7" s="125"/>
      <c r="BH7" s="125"/>
      <c r="BI7" s="125"/>
      <c r="BJ7" s="125"/>
      <c r="BK7" s="125"/>
      <c r="BL7" s="125"/>
      <c r="BM7" s="125"/>
      <c r="BN7" s="125"/>
      <c r="BO7" s="125"/>
      <c r="BP7" s="125"/>
      <c r="BQ7" s="125"/>
      <c r="BR7" s="125"/>
      <c r="BS7" s="125"/>
      <c r="BT7" s="125"/>
      <c r="BU7" s="125"/>
      <c r="BV7" s="125"/>
      <c r="BW7" s="125"/>
      <c r="BX7" s="125"/>
      <c r="BY7" s="125"/>
      <c r="BZ7" s="125"/>
      <c r="CA7" s="125"/>
      <c r="CB7" s="125"/>
      <c r="CC7" s="125"/>
      <c r="CD7" s="125"/>
      <c r="CE7" s="125"/>
      <c r="CF7" s="125"/>
      <c r="CG7" s="125"/>
      <c r="CH7" s="125"/>
      <c r="CI7" s="125"/>
      <c r="CJ7" s="125"/>
      <c r="CK7" s="125"/>
      <c r="CL7" s="125"/>
      <c r="CM7" s="125"/>
      <c r="CN7" s="125"/>
      <c r="CO7" s="125"/>
      <c r="CP7" s="125"/>
      <c r="CQ7" s="125"/>
      <c r="CR7" s="125"/>
      <c r="CS7" s="125"/>
      <c r="CT7" s="125"/>
      <c r="CU7" s="125"/>
      <c r="CV7" s="125"/>
      <c r="CW7" s="125"/>
      <c r="CX7" s="125"/>
      <c r="CY7" s="125"/>
      <c r="CZ7" s="125"/>
      <c r="DA7" s="125"/>
      <c r="DB7" s="125"/>
      <c r="DC7" s="125"/>
      <c r="DD7" s="125"/>
      <c r="DE7" s="125"/>
      <c r="DF7" s="125"/>
      <c r="DG7" s="125"/>
      <c r="DH7" s="125"/>
      <c r="DI7" s="125"/>
      <c r="DJ7" s="125"/>
      <c r="DK7" s="125"/>
      <c r="DL7" s="125"/>
      <c r="DM7" s="125"/>
      <c r="DN7" s="125"/>
      <c r="DO7" s="125"/>
      <c r="DP7" s="125"/>
      <c r="DQ7" s="125"/>
      <c r="DR7" s="125"/>
      <c r="DS7" s="125"/>
      <c r="DT7" s="125"/>
      <c r="DU7" s="125"/>
      <c r="DV7" s="125"/>
      <c r="DW7" s="125"/>
      <c r="DX7" s="125"/>
      <c r="DY7" s="125"/>
      <c r="DZ7" s="125"/>
      <c r="EA7" s="125"/>
      <c r="EB7" s="125"/>
      <c r="EC7" s="125"/>
      <c r="ED7" s="125"/>
      <c r="EE7" s="125"/>
      <c r="EF7" s="125"/>
      <c r="EG7" s="125"/>
      <c r="EH7" s="125"/>
      <c r="EI7" s="125"/>
      <c r="EJ7" s="125"/>
      <c r="EK7" s="125"/>
      <c r="EL7" s="125"/>
      <c r="EM7" s="125"/>
      <c r="EN7" s="125"/>
      <c r="EO7" s="125"/>
      <c r="EP7" s="125"/>
      <c r="EQ7" s="125"/>
      <c r="ER7" s="125"/>
      <c r="ES7" s="125"/>
      <c r="ET7" s="125"/>
      <c r="EU7" s="125"/>
      <c r="EV7" s="125"/>
      <c r="EW7" s="125"/>
      <c r="EX7" s="125"/>
      <c r="EY7" s="125"/>
      <c r="EZ7" s="125"/>
      <c r="FA7" s="125"/>
      <c r="FB7" s="125"/>
      <c r="FC7" s="125"/>
      <c r="FD7" s="125"/>
      <c r="FE7" s="125"/>
      <c r="FF7" s="125"/>
      <c r="FG7" s="125"/>
      <c r="FH7" s="125"/>
      <c r="FI7" s="125"/>
      <c r="FJ7" s="125"/>
      <c r="FK7" s="125"/>
      <c r="FL7" s="125"/>
      <c r="FM7" s="125"/>
      <c r="FN7" s="125"/>
      <c r="FO7" s="125"/>
      <c r="FP7" s="125"/>
      <c r="FQ7" s="125"/>
      <c r="FR7" s="125"/>
      <c r="FS7" s="125"/>
      <c r="FT7" s="125"/>
      <c r="FU7" s="125"/>
      <c r="FV7" s="125"/>
      <c r="FW7" s="125"/>
      <c r="FX7" s="125"/>
      <c r="FY7" s="125"/>
      <c r="FZ7" s="125"/>
      <c r="GA7" s="125"/>
      <c r="GB7" s="125"/>
      <c r="GC7" s="125"/>
      <c r="GD7" s="125"/>
      <c r="GE7" s="125"/>
      <c r="GF7" s="125"/>
      <c r="GG7" s="125"/>
      <c r="GH7" s="125"/>
      <c r="GI7" s="125"/>
      <c r="GJ7" s="125"/>
      <c r="GK7" s="125"/>
      <c r="GL7" s="125"/>
      <c r="GM7" s="125"/>
      <c r="GN7" s="125"/>
      <c r="GO7" s="125"/>
      <c r="GP7" s="125"/>
      <c r="GQ7" s="125"/>
      <c r="GR7" s="125"/>
      <c r="GS7" s="125"/>
      <c r="GT7" s="125"/>
      <c r="GU7" s="125"/>
      <c r="GV7" s="125"/>
      <c r="GW7" s="125"/>
      <c r="GX7" s="125"/>
      <c r="GY7" s="125"/>
      <c r="GZ7" s="125"/>
      <c r="HA7" s="125"/>
      <c r="HB7" s="125"/>
      <c r="HC7" s="125"/>
      <c r="HD7" s="125"/>
      <c r="HE7" s="125"/>
      <c r="HF7" s="125"/>
      <c r="HG7" s="125"/>
      <c r="HH7" s="125"/>
      <c r="HI7" s="125"/>
      <c r="HJ7" s="125"/>
      <c r="HK7" s="125"/>
      <c r="HL7" s="125"/>
      <c r="HM7" s="125"/>
      <c r="HN7" s="125"/>
      <c r="HO7" s="125"/>
      <c r="HP7" s="125"/>
      <c r="HQ7" s="125"/>
      <c r="HR7" s="125"/>
      <c r="HS7" s="125"/>
      <c r="HT7" s="125"/>
      <c r="HU7" s="125"/>
      <c r="HV7" s="125"/>
      <c r="HW7" s="125"/>
      <c r="HX7" s="125"/>
      <c r="HY7" s="125"/>
      <c r="HZ7" s="125"/>
      <c r="IA7" s="125"/>
      <c r="IB7" s="125"/>
      <c r="IC7" s="125"/>
      <c r="ID7" s="125"/>
      <c r="IE7" s="125"/>
      <c r="IF7" s="125"/>
      <c r="IG7" s="125"/>
      <c r="IH7" s="125"/>
      <c r="II7" s="125"/>
      <c r="IJ7" s="125"/>
      <c r="IK7" s="125"/>
      <c r="IL7" s="125"/>
      <c r="IM7" s="125"/>
      <c r="IN7" s="125"/>
      <c r="IO7" s="125"/>
      <c r="IP7" s="125"/>
      <c r="IQ7" s="125"/>
      <c r="IR7" s="125"/>
      <c r="IS7" s="125"/>
    </row>
    <row r="8" spans="1:253" x14ac:dyDescent="0.2">
      <c r="A8" s="385" t="s">
        <v>2</v>
      </c>
      <c r="B8" s="199"/>
      <c r="C8" s="198" t="s">
        <v>7</v>
      </c>
      <c r="D8" s="201" t="s">
        <v>1461</v>
      </c>
      <c r="F8" s="389"/>
      <c r="G8" s="139"/>
      <c r="H8" s="139"/>
      <c r="K8" s="139"/>
      <c r="L8" s="139"/>
      <c r="M8" s="139"/>
      <c r="N8" s="139"/>
      <c r="O8" s="139"/>
      <c r="P8" s="125"/>
      <c r="Q8" s="125"/>
      <c r="U8" s="125"/>
      <c r="V8" s="125"/>
      <c r="W8" s="125"/>
      <c r="X8" s="125"/>
      <c r="Y8" s="125"/>
      <c r="Z8" s="125"/>
      <c r="AA8" s="125"/>
      <c r="AB8" s="125"/>
      <c r="AC8" s="125"/>
      <c r="AD8" s="125"/>
      <c r="AE8" s="125"/>
      <c r="AF8" s="125"/>
      <c r="AG8" s="125"/>
      <c r="AH8" s="125"/>
      <c r="AI8" s="125"/>
      <c r="AJ8" s="125"/>
      <c r="AK8" s="125"/>
      <c r="AL8" s="125"/>
      <c r="AM8" s="125"/>
      <c r="AN8" s="125"/>
      <c r="AO8" s="125"/>
      <c r="AP8" s="125"/>
      <c r="AQ8" s="125"/>
      <c r="AR8" s="125"/>
      <c r="AS8" s="125"/>
      <c r="AT8" s="125"/>
      <c r="AU8" s="125"/>
      <c r="AV8" s="125"/>
      <c r="AW8" s="125"/>
      <c r="AX8" s="125"/>
      <c r="AY8" s="125"/>
      <c r="AZ8" s="125"/>
      <c r="BA8" s="125"/>
      <c r="BB8" s="125"/>
      <c r="BC8" s="125"/>
      <c r="BD8" s="125"/>
      <c r="BE8" s="125"/>
      <c r="BF8" s="125"/>
      <c r="BG8" s="125"/>
      <c r="BH8" s="125"/>
      <c r="BI8" s="125"/>
      <c r="BJ8" s="125"/>
      <c r="BK8" s="125"/>
      <c r="BL8" s="125"/>
      <c r="BM8" s="125"/>
      <c r="BN8" s="125"/>
      <c r="BO8" s="125"/>
      <c r="BP8" s="125"/>
      <c r="BQ8" s="125"/>
      <c r="BR8" s="125"/>
      <c r="BS8" s="125"/>
      <c r="BT8" s="125"/>
      <c r="BU8" s="125"/>
      <c r="BV8" s="125"/>
      <c r="BW8" s="125"/>
      <c r="BX8" s="125"/>
      <c r="BY8" s="125"/>
      <c r="BZ8" s="125"/>
      <c r="CA8" s="125"/>
      <c r="CB8" s="125"/>
      <c r="CC8" s="125"/>
      <c r="CD8" s="125"/>
      <c r="CE8" s="125"/>
      <c r="CF8" s="125"/>
      <c r="CG8" s="125"/>
      <c r="CH8" s="125"/>
      <c r="CI8" s="125"/>
      <c r="CJ8" s="125"/>
      <c r="CK8" s="125"/>
      <c r="CL8" s="125"/>
      <c r="CM8" s="125"/>
      <c r="CN8" s="125"/>
      <c r="CO8" s="125"/>
      <c r="CP8" s="125"/>
      <c r="CQ8" s="125"/>
      <c r="CR8" s="125"/>
      <c r="CS8" s="125"/>
      <c r="CT8" s="125"/>
      <c r="CU8" s="125"/>
      <c r="CV8" s="125"/>
      <c r="CW8" s="125"/>
      <c r="CX8" s="125"/>
      <c r="CY8" s="125"/>
      <c r="CZ8" s="125"/>
      <c r="DA8" s="125"/>
      <c r="DB8" s="125"/>
      <c r="DC8" s="125"/>
      <c r="DD8" s="125"/>
      <c r="DE8" s="125"/>
      <c r="DF8" s="125"/>
      <c r="DG8" s="125"/>
      <c r="DH8" s="125"/>
      <c r="DI8" s="125"/>
      <c r="DJ8" s="125"/>
      <c r="DK8" s="125"/>
      <c r="DL8" s="125"/>
      <c r="DM8" s="125"/>
      <c r="DN8" s="125"/>
      <c r="DO8" s="125"/>
      <c r="DP8" s="125"/>
      <c r="DQ8" s="125"/>
      <c r="DR8" s="125"/>
      <c r="DS8" s="125"/>
      <c r="DT8" s="125"/>
      <c r="DU8" s="125"/>
      <c r="DV8" s="125"/>
      <c r="DW8" s="125"/>
      <c r="DX8" s="125"/>
      <c r="DY8" s="125"/>
      <c r="DZ8" s="125"/>
      <c r="EA8" s="125"/>
      <c r="EB8" s="125"/>
      <c r="EC8" s="125"/>
      <c r="ED8" s="125"/>
      <c r="EE8" s="125"/>
      <c r="EF8" s="125"/>
      <c r="EG8" s="125"/>
      <c r="EH8" s="125"/>
      <c r="EI8" s="125"/>
      <c r="EJ8" s="125"/>
      <c r="EK8" s="125"/>
      <c r="EL8" s="125"/>
      <c r="EM8" s="125"/>
      <c r="EN8" s="125"/>
      <c r="EO8" s="125"/>
      <c r="EP8" s="125"/>
      <c r="EQ8" s="125"/>
      <c r="ER8" s="125"/>
      <c r="ES8" s="125"/>
      <c r="ET8" s="125"/>
      <c r="EU8" s="125"/>
      <c r="EV8" s="125"/>
      <c r="EW8" s="125"/>
      <c r="EX8" s="125"/>
      <c r="EY8" s="125"/>
      <c r="EZ8" s="125"/>
      <c r="FA8" s="125"/>
      <c r="FB8" s="125"/>
      <c r="FC8" s="125"/>
      <c r="FD8" s="125"/>
      <c r="FE8" s="125"/>
      <c r="FF8" s="125"/>
      <c r="FG8" s="125"/>
      <c r="FH8" s="125"/>
      <c r="FI8" s="125"/>
      <c r="FJ8" s="125"/>
      <c r="FK8" s="125"/>
      <c r="FL8" s="125"/>
      <c r="FM8" s="125"/>
      <c r="FN8" s="125"/>
      <c r="FO8" s="125"/>
      <c r="FP8" s="125"/>
      <c r="FQ8" s="125"/>
      <c r="FR8" s="125"/>
      <c r="FS8" s="125"/>
      <c r="FT8" s="125"/>
      <c r="FU8" s="125"/>
      <c r="FV8" s="125"/>
      <c r="FW8" s="125"/>
      <c r="FX8" s="125"/>
      <c r="FY8" s="125"/>
      <c r="FZ8" s="125"/>
      <c r="GA8" s="125"/>
      <c r="GB8" s="125"/>
      <c r="GC8" s="125"/>
      <c r="GD8" s="125"/>
      <c r="GE8" s="125"/>
      <c r="GF8" s="125"/>
      <c r="GG8" s="125"/>
      <c r="GH8" s="125"/>
      <c r="GI8" s="125"/>
      <c r="GJ8" s="125"/>
      <c r="GK8" s="125"/>
      <c r="GL8" s="125"/>
      <c r="GM8" s="125"/>
      <c r="GN8" s="125"/>
      <c r="GO8" s="125"/>
      <c r="GP8" s="125"/>
      <c r="GQ8" s="125"/>
      <c r="GR8" s="125"/>
      <c r="GS8" s="125"/>
      <c r="GT8" s="125"/>
      <c r="GU8" s="125"/>
      <c r="GV8" s="125"/>
      <c r="GW8" s="125"/>
      <c r="GX8" s="125"/>
      <c r="GY8" s="125"/>
      <c r="GZ8" s="125"/>
      <c r="HA8" s="125"/>
      <c r="HB8" s="125"/>
      <c r="HC8" s="125"/>
      <c r="HD8" s="125"/>
      <c r="HE8" s="125"/>
      <c r="HF8" s="125"/>
      <c r="HG8" s="125"/>
      <c r="HH8" s="125"/>
      <c r="HI8" s="125"/>
      <c r="HJ8" s="125"/>
      <c r="HK8" s="125"/>
      <c r="HL8" s="125"/>
      <c r="HM8" s="125"/>
      <c r="HN8" s="125"/>
      <c r="HO8" s="125"/>
      <c r="HP8" s="125"/>
      <c r="HQ8" s="125"/>
      <c r="HR8" s="125"/>
      <c r="HS8" s="125"/>
      <c r="HT8" s="125"/>
      <c r="HU8" s="125"/>
      <c r="HV8" s="125"/>
      <c r="HW8" s="125"/>
      <c r="HX8" s="125"/>
      <c r="HY8" s="125"/>
      <c r="HZ8" s="125"/>
      <c r="IA8" s="125"/>
      <c r="IB8" s="125"/>
      <c r="IC8" s="125"/>
      <c r="ID8" s="125"/>
      <c r="IE8" s="125"/>
      <c r="IF8" s="125"/>
      <c r="IG8" s="125"/>
      <c r="IH8" s="125"/>
      <c r="II8" s="125"/>
      <c r="IJ8" s="125"/>
      <c r="IK8" s="125"/>
      <c r="IL8" s="125"/>
      <c r="IM8" s="125"/>
      <c r="IN8" s="125"/>
      <c r="IO8" s="125"/>
      <c r="IP8" s="125"/>
      <c r="IQ8" s="125"/>
      <c r="IR8" s="125"/>
      <c r="IS8" s="125"/>
    </row>
    <row r="9" spans="1:253" x14ac:dyDescent="0.2">
      <c r="A9" s="385" t="s">
        <v>3</v>
      </c>
      <c r="B9" s="199"/>
      <c r="C9" s="198" t="s">
        <v>7</v>
      </c>
      <c r="D9" s="201" t="str">
        <f>CARAT_!$F$54</f>
        <v>MES DE DICIEMBRE DE 2022</v>
      </c>
      <c r="E9" s="202"/>
      <c r="F9" s="389"/>
      <c r="G9" s="122"/>
      <c r="H9" s="122"/>
      <c r="I9" s="202"/>
      <c r="J9" s="486"/>
      <c r="K9" s="139"/>
      <c r="L9" s="139"/>
      <c r="M9" s="139"/>
      <c r="N9" s="139"/>
      <c r="O9" s="139"/>
      <c r="P9" s="125"/>
      <c r="Q9" s="125"/>
      <c r="U9" s="125"/>
      <c r="V9" s="125"/>
      <c r="W9" s="125"/>
      <c r="X9" s="125"/>
      <c r="Y9" s="125"/>
      <c r="Z9" s="125"/>
      <c r="AA9" s="125"/>
      <c r="AB9" s="125"/>
      <c r="AC9" s="125"/>
      <c r="AD9" s="125"/>
      <c r="AE9" s="125"/>
      <c r="AF9" s="125"/>
      <c r="AG9" s="125"/>
      <c r="AH9" s="125"/>
      <c r="AI9" s="125"/>
      <c r="AJ9" s="125"/>
      <c r="AK9" s="125"/>
      <c r="AL9" s="125"/>
      <c r="AM9" s="125"/>
      <c r="AN9" s="125"/>
      <c r="AO9" s="125"/>
      <c r="AP9" s="125"/>
      <c r="AQ9" s="125"/>
      <c r="AR9" s="125"/>
      <c r="AS9" s="125"/>
      <c r="AT9" s="125"/>
      <c r="AU9" s="125"/>
      <c r="AV9" s="125"/>
      <c r="AW9" s="125"/>
      <c r="AX9" s="125"/>
      <c r="AY9" s="125"/>
      <c r="AZ9" s="125"/>
      <c r="BA9" s="125"/>
      <c r="BB9" s="125"/>
      <c r="BC9" s="125"/>
      <c r="BD9" s="125"/>
      <c r="BE9" s="125"/>
      <c r="BF9" s="125"/>
      <c r="BG9" s="125"/>
      <c r="BH9" s="125"/>
      <c r="BI9" s="125"/>
      <c r="BJ9" s="125"/>
      <c r="BK9" s="125"/>
      <c r="BL9" s="125"/>
      <c r="BM9" s="125"/>
      <c r="BN9" s="125"/>
      <c r="BO9" s="125"/>
      <c r="BP9" s="125"/>
      <c r="BQ9" s="125"/>
      <c r="BR9" s="125"/>
      <c r="BS9" s="125"/>
      <c r="BT9" s="125"/>
      <c r="BU9" s="125"/>
      <c r="BV9" s="125"/>
      <c r="BW9" s="125"/>
      <c r="BX9" s="125"/>
      <c r="BY9" s="125"/>
      <c r="BZ9" s="125"/>
      <c r="CA9" s="125"/>
      <c r="CB9" s="125"/>
      <c r="CC9" s="125"/>
      <c r="CD9" s="125"/>
      <c r="CE9" s="125"/>
      <c r="CF9" s="125"/>
      <c r="CG9" s="125"/>
      <c r="CH9" s="125"/>
      <c r="CI9" s="125"/>
      <c r="CJ9" s="125"/>
      <c r="CK9" s="125"/>
      <c r="CL9" s="125"/>
      <c r="CM9" s="125"/>
      <c r="CN9" s="125"/>
      <c r="CO9" s="125"/>
      <c r="CP9" s="125"/>
      <c r="CQ9" s="125"/>
      <c r="CR9" s="125"/>
      <c r="CS9" s="125"/>
      <c r="CT9" s="125"/>
      <c r="CU9" s="125"/>
      <c r="CV9" s="125"/>
      <c r="CW9" s="125"/>
      <c r="CX9" s="125"/>
      <c r="CY9" s="125"/>
      <c r="CZ9" s="125"/>
      <c r="DA9" s="125"/>
      <c r="DB9" s="125"/>
      <c r="DC9" s="125"/>
      <c r="DD9" s="125"/>
      <c r="DE9" s="125"/>
      <c r="DF9" s="125"/>
      <c r="DG9" s="125"/>
      <c r="DH9" s="125"/>
      <c r="DI9" s="125"/>
      <c r="DJ9" s="125"/>
      <c r="DK9" s="125"/>
      <c r="DL9" s="125"/>
      <c r="DM9" s="125"/>
      <c r="DN9" s="125"/>
      <c r="DO9" s="125"/>
      <c r="DP9" s="125"/>
      <c r="DQ9" s="125"/>
      <c r="DR9" s="125"/>
      <c r="DS9" s="125"/>
      <c r="DT9" s="125"/>
      <c r="DU9" s="125"/>
      <c r="DV9" s="125"/>
      <c r="DW9" s="125"/>
      <c r="DX9" s="125"/>
      <c r="DY9" s="125"/>
      <c r="DZ9" s="125"/>
      <c r="EA9" s="125"/>
      <c r="EB9" s="125"/>
      <c r="EC9" s="125"/>
      <c r="ED9" s="125"/>
      <c r="EE9" s="125"/>
      <c r="EF9" s="125"/>
      <c r="EG9" s="125"/>
      <c r="EH9" s="125"/>
      <c r="EI9" s="125"/>
      <c r="EJ9" s="125"/>
      <c r="EK9" s="125"/>
      <c r="EL9" s="125"/>
      <c r="EM9" s="125"/>
      <c r="EN9" s="125"/>
      <c r="EO9" s="125"/>
      <c r="EP9" s="125"/>
      <c r="EQ9" s="125"/>
      <c r="ER9" s="125"/>
      <c r="ES9" s="125"/>
      <c r="ET9" s="125"/>
      <c r="EU9" s="125"/>
      <c r="EV9" s="125"/>
      <c r="EW9" s="125"/>
      <c r="EX9" s="125"/>
      <c r="EY9" s="125"/>
      <c r="EZ9" s="125"/>
      <c r="FA9" s="125"/>
      <c r="FB9" s="125"/>
      <c r="FC9" s="125"/>
      <c r="FD9" s="125"/>
      <c r="FE9" s="125"/>
      <c r="FF9" s="125"/>
      <c r="FG9" s="125"/>
      <c r="FH9" s="125"/>
      <c r="FI9" s="125"/>
      <c r="FJ9" s="125"/>
      <c r="FK9" s="125"/>
      <c r="FL9" s="125"/>
      <c r="FM9" s="125"/>
      <c r="FN9" s="125"/>
      <c r="FO9" s="125"/>
      <c r="FP9" s="125"/>
      <c r="FQ9" s="125"/>
      <c r="FR9" s="125"/>
      <c r="FS9" s="125"/>
      <c r="FT9" s="125"/>
      <c r="FU9" s="125"/>
      <c r="FV9" s="125"/>
      <c r="FW9" s="125"/>
      <c r="FX9" s="125"/>
      <c r="FY9" s="125"/>
      <c r="FZ9" s="125"/>
      <c r="GA9" s="125"/>
      <c r="GB9" s="125"/>
      <c r="GC9" s="125"/>
      <c r="GD9" s="125"/>
      <c r="GE9" s="125"/>
      <c r="GF9" s="125"/>
      <c r="GG9" s="125"/>
      <c r="GH9" s="125"/>
      <c r="GI9" s="125"/>
      <c r="GJ9" s="125"/>
      <c r="GK9" s="125"/>
      <c r="GL9" s="125"/>
      <c r="GM9" s="125"/>
      <c r="GN9" s="125"/>
      <c r="GO9" s="125"/>
      <c r="GP9" s="125"/>
      <c r="GQ9" s="125"/>
      <c r="GR9" s="125"/>
      <c r="GS9" s="125"/>
      <c r="GT9" s="125"/>
      <c r="GU9" s="125"/>
      <c r="GV9" s="125"/>
      <c r="GW9" s="125"/>
      <c r="GX9" s="125"/>
      <c r="GY9" s="125"/>
      <c r="GZ9" s="125"/>
      <c r="HA9" s="125"/>
      <c r="HB9" s="125"/>
      <c r="HC9" s="125"/>
      <c r="HD9" s="125"/>
      <c r="HE9" s="125"/>
      <c r="HF9" s="125"/>
      <c r="HG9" s="125"/>
      <c r="HH9" s="125"/>
      <c r="HI9" s="125"/>
      <c r="HJ9" s="125"/>
      <c r="HK9" s="125"/>
      <c r="HL9" s="125"/>
      <c r="HM9" s="125"/>
      <c r="HN9" s="125"/>
      <c r="HO9" s="125"/>
      <c r="HP9" s="125"/>
      <c r="HQ9" s="125"/>
      <c r="HR9" s="125"/>
      <c r="HS9" s="125"/>
      <c r="HT9" s="125"/>
      <c r="HU9" s="125"/>
      <c r="HV9" s="125"/>
      <c r="HW9" s="125"/>
      <c r="HX9" s="125"/>
      <c r="HY9" s="125"/>
      <c r="HZ9" s="125"/>
      <c r="IA9" s="125"/>
      <c r="IB9" s="125"/>
      <c r="IC9" s="125"/>
      <c r="ID9" s="125"/>
      <c r="IE9" s="125"/>
      <c r="IF9" s="125"/>
      <c r="IG9" s="125"/>
      <c r="IH9" s="125"/>
      <c r="II9" s="125"/>
      <c r="IJ9" s="125"/>
      <c r="IK9" s="125"/>
      <c r="IL9" s="125"/>
      <c r="IM9" s="125"/>
      <c r="IN9" s="125"/>
      <c r="IO9" s="125"/>
      <c r="IP9" s="125"/>
      <c r="IQ9" s="125"/>
      <c r="IR9" s="125"/>
      <c r="IS9" s="125"/>
    </row>
    <row r="10" spans="1:253" x14ac:dyDescent="0.2">
      <c r="A10" s="385" t="s">
        <v>4</v>
      </c>
      <c r="B10" s="199"/>
      <c r="C10" s="198" t="s">
        <v>7</v>
      </c>
      <c r="D10" s="200" t="str">
        <f>+VAL_RES.!E15</f>
        <v>PUENTE VEHICULAR CCANCHI</v>
      </c>
      <c r="E10" s="202"/>
      <c r="F10" s="389"/>
      <c r="G10" s="122"/>
      <c r="H10" s="122"/>
      <c r="I10" s="202"/>
      <c r="J10" s="486"/>
      <c r="K10" s="139"/>
      <c r="L10" s="139"/>
      <c r="M10" s="139"/>
      <c r="N10" s="139"/>
      <c r="O10" s="139"/>
      <c r="P10" s="125"/>
      <c r="Q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5"/>
      <c r="AS10" s="125"/>
      <c r="AT10" s="125"/>
      <c r="AU10" s="125"/>
      <c r="AV10" s="125"/>
      <c r="AW10" s="125"/>
      <c r="AX10" s="125"/>
      <c r="AY10" s="125"/>
      <c r="AZ10" s="125"/>
      <c r="BA10" s="125"/>
      <c r="BB10" s="125"/>
      <c r="BC10" s="125"/>
      <c r="BD10" s="125"/>
      <c r="BE10" s="125"/>
      <c r="BF10" s="125"/>
      <c r="BG10" s="125"/>
      <c r="BH10" s="125"/>
      <c r="BI10" s="125"/>
      <c r="BJ10" s="125"/>
      <c r="BK10" s="125"/>
      <c r="BL10" s="125"/>
      <c r="BM10" s="125"/>
      <c r="BN10" s="125"/>
      <c r="BO10" s="125"/>
      <c r="BP10" s="125"/>
      <c r="BQ10" s="125"/>
      <c r="BR10" s="125"/>
      <c r="BS10" s="125"/>
      <c r="BT10" s="125"/>
      <c r="BU10" s="125"/>
      <c r="BV10" s="125"/>
      <c r="BW10" s="125"/>
      <c r="BX10" s="125"/>
      <c r="BY10" s="125"/>
      <c r="BZ10" s="125"/>
      <c r="CA10" s="125"/>
      <c r="CB10" s="125"/>
      <c r="CC10" s="125"/>
      <c r="CD10" s="125"/>
      <c r="CE10" s="125"/>
      <c r="CF10" s="125"/>
      <c r="CG10" s="125"/>
      <c r="CH10" s="125"/>
      <c r="CI10" s="125"/>
      <c r="CJ10" s="125"/>
      <c r="CK10" s="125"/>
      <c r="CL10" s="125"/>
      <c r="CM10" s="125"/>
      <c r="CN10" s="125"/>
      <c r="CO10" s="125"/>
      <c r="CP10" s="125"/>
      <c r="CQ10" s="125"/>
      <c r="CR10" s="125"/>
      <c r="CS10" s="125"/>
      <c r="CT10" s="125"/>
      <c r="CU10" s="125"/>
      <c r="CV10" s="125"/>
      <c r="CW10" s="125"/>
      <c r="CX10" s="125"/>
      <c r="CY10" s="125"/>
      <c r="CZ10" s="125"/>
      <c r="DA10" s="125"/>
      <c r="DB10" s="125"/>
      <c r="DC10" s="125"/>
      <c r="DD10" s="125"/>
      <c r="DE10" s="125"/>
      <c r="DF10" s="125"/>
      <c r="DG10" s="125"/>
      <c r="DH10" s="125"/>
      <c r="DI10" s="125"/>
      <c r="DJ10" s="125"/>
      <c r="DK10" s="125"/>
      <c r="DL10" s="125"/>
      <c r="DM10" s="125"/>
      <c r="DN10" s="125"/>
      <c r="DO10" s="125"/>
      <c r="DP10" s="125"/>
      <c r="DQ10" s="125"/>
      <c r="DR10" s="125"/>
      <c r="DS10" s="125"/>
      <c r="DT10" s="125"/>
      <c r="DU10" s="125"/>
      <c r="DV10" s="125"/>
      <c r="DW10" s="125"/>
      <c r="DX10" s="125"/>
      <c r="DY10" s="125"/>
      <c r="DZ10" s="125"/>
      <c r="EA10" s="125"/>
      <c r="EB10" s="125"/>
      <c r="EC10" s="125"/>
      <c r="ED10" s="125"/>
      <c r="EE10" s="125"/>
      <c r="EF10" s="125"/>
      <c r="EG10" s="125"/>
      <c r="EH10" s="125"/>
      <c r="EI10" s="125"/>
      <c r="EJ10" s="125"/>
      <c r="EK10" s="125"/>
      <c r="EL10" s="125"/>
      <c r="EM10" s="125"/>
      <c r="EN10" s="125"/>
      <c r="EO10" s="125"/>
      <c r="EP10" s="125"/>
      <c r="EQ10" s="125"/>
      <c r="ER10" s="125"/>
      <c r="ES10" s="125"/>
      <c r="ET10" s="125"/>
      <c r="EU10" s="125"/>
      <c r="EV10" s="125"/>
      <c r="EW10" s="125"/>
      <c r="EX10" s="125"/>
      <c r="EY10" s="125"/>
      <c r="EZ10" s="125"/>
      <c r="FA10" s="125"/>
      <c r="FB10" s="125"/>
      <c r="FC10" s="125"/>
      <c r="FD10" s="125"/>
      <c r="FE10" s="125"/>
      <c r="FF10" s="125"/>
      <c r="FG10" s="125"/>
      <c r="FH10" s="125"/>
      <c r="FI10" s="125"/>
      <c r="FJ10" s="125"/>
      <c r="FK10" s="125"/>
      <c r="FL10" s="125"/>
      <c r="FM10" s="125"/>
      <c r="FN10" s="125"/>
      <c r="FO10" s="125"/>
      <c r="FP10" s="125"/>
      <c r="FQ10" s="125"/>
      <c r="FR10" s="125"/>
      <c r="FS10" s="125"/>
      <c r="FT10" s="125"/>
      <c r="FU10" s="125"/>
      <c r="FV10" s="125"/>
      <c r="FW10" s="125"/>
      <c r="FX10" s="125"/>
      <c r="FY10" s="125"/>
      <c r="FZ10" s="125"/>
      <c r="GA10" s="125"/>
      <c r="GB10" s="125"/>
      <c r="GC10" s="125"/>
      <c r="GD10" s="125"/>
      <c r="GE10" s="125"/>
      <c r="GF10" s="125"/>
      <c r="GG10" s="125"/>
      <c r="GH10" s="125"/>
      <c r="GI10" s="125"/>
      <c r="GJ10" s="125"/>
      <c r="GK10" s="125"/>
      <c r="GL10" s="125"/>
      <c r="GM10" s="125"/>
      <c r="GN10" s="125"/>
      <c r="GO10" s="125"/>
      <c r="GP10" s="125"/>
      <c r="GQ10" s="125"/>
      <c r="GR10" s="125"/>
      <c r="GS10" s="125"/>
      <c r="GT10" s="125"/>
      <c r="GU10" s="125"/>
      <c r="GV10" s="125"/>
      <c r="GW10" s="125"/>
      <c r="GX10" s="125"/>
      <c r="GY10" s="125"/>
      <c r="GZ10" s="125"/>
      <c r="HA10" s="125"/>
      <c r="HB10" s="125"/>
      <c r="HC10" s="125"/>
      <c r="HD10" s="125"/>
      <c r="HE10" s="125"/>
      <c r="HF10" s="125"/>
      <c r="HG10" s="125"/>
      <c r="HH10" s="125"/>
      <c r="HI10" s="125"/>
      <c r="HJ10" s="125"/>
      <c r="HK10" s="125"/>
      <c r="HL10" s="125"/>
      <c r="HM10" s="125"/>
      <c r="HN10" s="125"/>
      <c r="HO10" s="125"/>
      <c r="HP10" s="125"/>
      <c r="HQ10" s="125"/>
      <c r="HR10" s="125"/>
      <c r="HS10" s="125"/>
      <c r="HT10" s="125"/>
      <c r="HU10" s="125"/>
      <c r="HV10" s="125"/>
      <c r="HW10" s="125"/>
      <c r="HX10" s="125"/>
      <c r="HY10" s="125"/>
      <c r="HZ10" s="125"/>
      <c r="IA10" s="125"/>
      <c r="IB10" s="125"/>
      <c r="IC10" s="125"/>
      <c r="ID10" s="125"/>
      <c r="IE10" s="125"/>
      <c r="IF10" s="125"/>
      <c r="IG10" s="125"/>
      <c r="IH10" s="125"/>
      <c r="II10" s="125"/>
      <c r="IJ10" s="125"/>
      <c r="IK10" s="125"/>
      <c r="IL10" s="125"/>
      <c r="IM10" s="125"/>
      <c r="IN10" s="125"/>
      <c r="IO10" s="125"/>
      <c r="IP10" s="125"/>
      <c r="IQ10" s="125"/>
      <c r="IR10" s="125"/>
      <c r="IS10" s="125"/>
    </row>
    <row r="11" spans="1:253" x14ac:dyDescent="0.2">
      <c r="A11" s="203"/>
      <c r="B11" s="125"/>
      <c r="E11" s="202"/>
      <c r="F11" s="389"/>
      <c r="G11" s="122"/>
      <c r="H11" s="122"/>
      <c r="I11" s="202"/>
      <c r="J11" s="486"/>
      <c r="K11" s="139"/>
      <c r="L11" s="139"/>
      <c r="M11" s="139"/>
      <c r="N11" s="139"/>
      <c r="O11" s="139"/>
      <c r="P11" s="125"/>
      <c r="Q11" s="125"/>
      <c r="U11" s="125"/>
      <c r="V11" s="125"/>
      <c r="W11" s="125"/>
      <c r="X11" s="125"/>
      <c r="Y11" s="125"/>
      <c r="Z11" s="125"/>
      <c r="AA11" s="125"/>
      <c r="AB11" s="125"/>
      <c r="AC11" s="125"/>
      <c r="AD11" s="125"/>
      <c r="AE11" s="125"/>
      <c r="AF11" s="125"/>
      <c r="AG11" s="125"/>
      <c r="AH11" s="125"/>
      <c r="AI11" s="125"/>
      <c r="AJ11" s="125"/>
      <c r="AK11" s="125"/>
      <c r="AL11" s="125"/>
      <c r="AM11" s="125"/>
      <c r="AN11" s="125"/>
      <c r="AO11" s="125"/>
      <c r="AP11" s="125"/>
      <c r="AQ11" s="125"/>
      <c r="AR11" s="125"/>
      <c r="AS11" s="125"/>
      <c r="AT11" s="125"/>
      <c r="AU11" s="125"/>
      <c r="AV11" s="125"/>
      <c r="AW11" s="125"/>
      <c r="AX11" s="125"/>
      <c r="AY11" s="125"/>
      <c r="AZ11" s="125"/>
      <c r="BA11" s="125"/>
      <c r="BB11" s="125"/>
      <c r="BC11" s="125"/>
      <c r="BD11" s="125"/>
      <c r="BE11" s="125"/>
      <c r="BF11" s="125"/>
      <c r="BG11" s="125"/>
      <c r="BH11" s="125"/>
      <c r="BI11" s="125"/>
      <c r="BJ11" s="125"/>
      <c r="BK11" s="125"/>
      <c r="BL11" s="125"/>
      <c r="BM11" s="125"/>
      <c r="BN11" s="125"/>
      <c r="BO11" s="125"/>
      <c r="BP11" s="125"/>
      <c r="BQ11" s="125"/>
      <c r="BR11" s="125"/>
      <c r="BS11" s="125"/>
      <c r="BT11" s="125"/>
      <c r="BU11" s="125"/>
      <c r="BV11" s="125"/>
      <c r="BW11" s="125"/>
      <c r="BX11" s="125"/>
      <c r="BY11" s="125"/>
      <c r="BZ11" s="125"/>
      <c r="CA11" s="125"/>
      <c r="CB11" s="125"/>
      <c r="CC11" s="125"/>
      <c r="CD11" s="125"/>
      <c r="CE11" s="125"/>
      <c r="CF11" s="125"/>
      <c r="CG11" s="125"/>
      <c r="CH11" s="125"/>
      <c r="CI11" s="125"/>
      <c r="CJ11" s="125"/>
      <c r="CK11" s="125"/>
      <c r="CL11" s="125"/>
      <c r="CM11" s="125"/>
      <c r="CN11" s="125"/>
      <c r="CO11" s="125"/>
      <c r="CP11" s="125"/>
      <c r="CQ11" s="125"/>
      <c r="CR11" s="125"/>
      <c r="CS11" s="125"/>
      <c r="CT11" s="125"/>
      <c r="CU11" s="125"/>
      <c r="CV11" s="125"/>
      <c r="CW11" s="125"/>
      <c r="CX11" s="125"/>
      <c r="CY11" s="125"/>
      <c r="CZ11" s="125"/>
      <c r="DA11" s="125"/>
      <c r="DB11" s="125"/>
      <c r="DC11" s="125"/>
      <c r="DD11" s="125"/>
      <c r="DE11" s="125"/>
      <c r="DF11" s="125"/>
      <c r="DG11" s="125"/>
      <c r="DH11" s="125"/>
      <c r="DI11" s="125"/>
      <c r="DJ11" s="125"/>
      <c r="DK11" s="125"/>
      <c r="DL11" s="125"/>
      <c r="DM11" s="125"/>
      <c r="DN11" s="125"/>
      <c r="DO11" s="125"/>
      <c r="DP11" s="125"/>
      <c r="DQ11" s="125"/>
      <c r="DR11" s="125"/>
      <c r="DS11" s="125"/>
      <c r="DT11" s="125"/>
      <c r="DU11" s="125"/>
      <c r="DV11" s="125"/>
      <c r="DW11" s="125"/>
      <c r="DX11" s="125"/>
      <c r="DY11" s="125"/>
      <c r="DZ11" s="125"/>
      <c r="EA11" s="125"/>
      <c r="EB11" s="125"/>
      <c r="EC11" s="125"/>
      <c r="ED11" s="125"/>
      <c r="EE11" s="125"/>
      <c r="EF11" s="125"/>
      <c r="EG11" s="125"/>
      <c r="EH11" s="125"/>
      <c r="EI11" s="125"/>
      <c r="EJ11" s="125"/>
      <c r="EK11" s="125"/>
      <c r="EL11" s="125"/>
      <c r="EM11" s="125"/>
      <c r="EN11" s="125"/>
      <c r="EO11" s="125"/>
      <c r="EP11" s="125"/>
      <c r="EQ11" s="125"/>
      <c r="ER11" s="125"/>
      <c r="ES11" s="125"/>
      <c r="ET11" s="125"/>
      <c r="EU11" s="125"/>
      <c r="EV11" s="125"/>
      <c r="EW11" s="125"/>
      <c r="EX11" s="125"/>
      <c r="EY11" s="125"/>
      <c r="EZ11" s="125"/>
      <c r="FA11" s="125"/>
      <c r="FB11" s="125"/>
      <c r="FC11" s="125"/>
      <c r="FD11" s="125"/>
      <c r="FE11" s="125"/>
      <c r="FF11" s="125"/>
      <c r="FG11" s="125"/>
      <c r="FH11" s="125"/>
      <c r="FI11" s="125"/>
      <c r="FJ11" s="125"/>
      <c r="FK11" s="125"/>
      <c r="FL11" s="125"/>
      <c r="FM11" s="125"/>
      <c r="FN11" s="125"/>
      <c r="FO11" s="125"/>
      <c r="FP11" s="125"/>
      <c r="FQ11" s="125"/>
      <c r="FR11" s="125"/>
      <c r="FS11" s="125"/>
      <c r="FT11" s="125"/>
      <c r="FU11" s="125"/>
      <c r="FV11" s="125"/>
      <c r="FW11" s="125"/>
      <c r="FX11" s="125"/>
      <c r="FY11" s="125"/>
      <c r="FZ11" s="125"/>
      <c r="GA11" s="125"/>
      <c r="GB11" s="125"/>
      <c r="GC11" s="125"/>
      <c r="GD11" s="125"/>
      <c r="GE11" s="125"/>
      <c r="GF11" s="125"/>
      <c r="GG11" s="125"/>
      <c r="GH11" s="125"/>
      <c r="GI11" s="125"/>
      <c r="GJ11" s="125"/>
      <c r="GK11" s="125"/>
      <c r="GL11" s="125"/>
      <c r="GM11" s="125"/>
      <c r="GN11" s="125"/>
      <c r="GO11" s="125"/>
      <c r="GP11" s="125"/>
      <c r="GQ11" s="125"/>
      <c r="GR11" s="125"/>
      <c r="GS11" s="125"/>
      <c r="GT11" s="125"/>
      <c r="GU11" s="125"/>
      <c r="GV11" s="125"/>
      <c r="GW11" s="125"/>
      <c r="GX11" s="125"/>
      <c r="GY11" s="125"/>
      <c r="GZ11" s="125"/>
      <c r="HA11" s="125"/>
      <c r="HB11" s="125"/>
      <c r="HC11" s="125"/>
      <c r="HD11" s="125"/>
      <c r="HE11" s="125"/>
      <c r="HF11" s="125"/>
      <c r="HG11" s="125"/>
      <c r="HH11" s="125"/>
      <c r="HI11" s="125"/>
      <c r="HJ11" s="125"/>
      <c r="HK11" s="125"/>
      <c r="HL11" s="125"/>
      <c r="HM11" s="125"/>
      <c r="HN11" s="125"/>
      <c r="HO11" s="125"/>
      <c r="HP11" s="125"/>
      <c r="HQ11" s="125"/>
      <c r="HR11" s="125"/>
      <c r="HS11" s="125"/>
      <c r="HT11" s="125"/>
      <c r="HU11" s="125"/>
      <c r="HV11" s="125"/>
      <c r="HW11" s="125"/>
      <c r="HX11" s="125"/>
      <c r="HY11" s="125"/>
      <c r="HZ11" s="125"/>
      <c r="IA11" s="125"/>
      <c r="IB11" s="125"/>
      <c r="IC11" s="125"/>
      <c r="ID11" s="125"/>
      <c r="IE11" s="125"/>
      <c r="IF11" s="125"/>
      <c r="IG11" s="125"/>
      <c r="IH11" s="125"/>
      <c r="II11" s="125"/>
      <c r="IJ11" s="125"/>
      <c r="IK11" s="125"/>
      <c r="IL11" s="125"/>
      <c r="IM11" s="125"/>
      <c r="IN11" s="125"/>
      <c r="IO11" s="125"/>
      <c r="IP11" s="125"/>
      <c r="IQ11" s="125"/>
      <c r="IR11" s="125"/>
      <c r="IS11" s="125"/>
    </row>
    <row r="12" spans="1:253" s="1113" customFormat="1" ht="20.100000000000001" customHeight="1" x14ac:dyDescent="0.2">
      <c r="A12" s="2196" t="s">
        <v>1211</v>
      </c>
      <c r="B12" s="2199" t="s">
        <v>1212</v>
      </c>
      <c r="C12" s="2202" t="s">
        <v>13</v>
      </c>
      <c r="D12" s="2187" t="s">
        <v>1213</v>
      </c>
      <c r="E12" s="2195"/>
      <c r="F12" s="2188"/>
      <c r="G12" s="2187" t="s">
        <v>145</v>
      </c>
      <c r="H12" s="2195"/>
      <c r="I12" s="2195"/>
      <c r="J12" s="2195"/>
      <c r="K12" s="2195"/>
      <c r="L12" s="2195"/>
      <c r="M12" s="2188"/>
      <c r="N12" s="2183" t="s">
        <v>1214</v>
      </c>
      <c r="O12" s="2183"/>
      <c r="P12" s="2184"/>
      <c r="Q12" s="1112"/>
    </row>
    <row r="13" spans="1:253" s="1113" customFormat="1" ht="20.100000000000001" customHeight="1" x14ac:dyDescent="0.2">
      <c r="A13" s="2197"/>
      <c r="B13" s="2200"/>
      <c r="C13" s="2203"/>
      <c r="D13" s="1543" t="s">
        <v>14</v>
      </c>
      <c r="E13" s="1544" t="s">
        <v>1215</v>
      </c>
      <c r="F13" s="1545" t="s">
        <v>16</v>
      </c>
      <c r="G13" s="2187" t="s">
        <v>1216</v>
      </c>
      <c r="H13" s="2188"/>
      <c r="I13" s="2187" t="s">
        <v>10</v>
      </c>
      <c r="J13" s="2188"/>
      <c r="K13" s="2195" t="s">
        <v>1217</v>
      </c>
      <c r="L13" s="2195"/>
      <c r="M13" s="2188"/>
      <c r="N13" s="2185"/>
      <c r="O13" s="2185"/>
      <c r="P13" s="2186"/>
      <c r="Q13" s="1112"/>
    </row>
    <row r="14" spans="1:253" s="1113" customFormat="1" ht="20.100000000000001" customHeight="1" x14ac:dyDescent="0.2">
      <c r="A14" s="2198"/>
      <c r="B14" s="2201"/>
      <c r="C14" s="2204"/>
      <c r="D14" s="1546"/>
      <c r="E14" s="1547" t="s">
        <v>1218</v>
      </c>
      <c r="F14" s="1548" t="s">
        <v>1218</v>
      </c>
      <c r="G14" s="1549" t="s">
        <v>14</v>
      </c>
      <c r="H14" s="1550" t="s">
        <v>16</v>
      </c>
      <c r="I14" s="1549" t="s">
        <v>14</v>
      </c>
      <c r="J14" s="1550" t="s">
        <v>16</v>
      </c>
      <c r="K14" s="1551" t="s">
        <v>14</v>
      </c>
      <c r="L14" s="1547" t="s">
        <v>16</v>
      </c>
      <c r="M14" s="1548" t="s">
        <v>17</v>
      </c>
      <c r="N14" s="1552" t="s">
        <v>14</v>
      </c>
      <c r="O14" s="1553" t="s">
        <v>16</v>
      </c>
      <c r="P14" s="1553" t="s">
        <v>17</v>
      </c>
      <c r="Q14" s="1112"/>
    </row>
    <row r="15" spans="1:253" s="1008" customFormat="1" ht="5.0999999999999996" customHeight="1" x14ac:dyDescent="0.25">
      <c r="A15" s="1114"/>
      <c r="B15" s="1114"/>
      <c r="C15" s="1114"/>
      <c r="D15" s="1115"/>
      <c r="E15" s="1114"/>
      <c r="F15" s="1116"/>
      <c r="G15" s="1114"/>
      <c r="H15" s="1114"/>
      <c r="I15" s="1114"/>
      <c r="J15" s="1114"/>
      <c r="K15" s="1114"/>
      <c r="L15" s="1114"/>
      <c r="M15" s="1114"/>
      <c r="N15" s="1114"/>
      <c r="O15" s="1114"/>
      <c r="P15" s="1117"/>
    </row>
    <row r="16" spans="1:253" s="1008" customFormat="1" ht="6.9" customHeight="1" x14ac:dyDescent="0.25">
      <c r="A16" s="1118"/>
      <c r="B16" s="1119"/>
      <c r="C16" s="1120"/>
      <c r="D16" s="1121"/>
      <c r="E16" s="1122"/>
      <c r="F16" s="1123"/>
      <c r="G16" s="1124"/>
      <c r="H16" s="1125"/>
      <c r="I16" s="1126"/>
      <c r="J16" s="1127"/>
      <c r="K16" s="1124"/>
      <c r="L16" s="1531"/>
      <c r="M16" s="1125"/>
      <c r="N16" s="1532"/>
      <c r="O16" s="1531"/>
      <c r="P16" s="1533"/>
    </row>
    <row r="17" spans="1:23" s="1008" customFormat="1" ht="13.2" x14ac:dyDescent="0.25">
      <c r="A17" s="1503">
        <v>1</v>
      </c>
      <c r="B17" s="1504" t="s">
        <v>1219</v>
      </c>
      <c r="C17" s="1505"/>
      <c r="D17" s="1506"/>
      <c r="E17" s="1507"/>
      <c r="F17" s="1508"/>
      <c r="G17" s="1509"/>
      <c r="H17" s="1510"/>
      <c r="I17" s="1128"/>
      <c r="J17" s="1129"/>
      <c r="K17" s="1509"/>
      <c r="L17" s="1534"/>
      <c r="M17" s="1535"/>
      <c r="N17" s="1536"/>
      <c r="O17" s="1507"/>
      <c r="P17" s="1537"/>
      <c r="Q17" s="1130"/>
      <c r="R17" s="1130"/>
      <c r="S17" s="1130"/>
    </row>
    <row r="18" spans="1:23" s="1008" customFormat="1" ht="13.2" x14ac:dyDescent="0.25">
      <c r="A18" s="1503">
        <v>1.01</v>
      </c>
      <c r="B18" s="1511" t="s">
        <v>1220</v>
      </c>
      <c r="C18" s="1505"/>
      <c r="D18" s="1506"/>
      <c r="E18" s="1507"/>
      <c r="F18" s="1508"/>
      <c r="G18" s="1509"/>
      <c r="H18" s="1510"/>
      <c r="I18" s="1128"/>
      <c r="J18" s="1129"/>
      <c r="K18" s="1509"/>
      <c r="L18" s="1534"/>
      <c r="M18" s="1535"/>
      <c r="N18" s="1536"/>
      <c r="O18" s="1507"/>
      <c r="P18" s="1537"/>
      <c r="Q18" s="1130"/>
      <c r="R18" s="1131"/>
      <c r="S18" s="1130"/>
    </row>
    <row r="19" spans="1:23" s="1008" customFormat="1" ht="13.2" x14ac:dyDescent="0.25">
      <c r="A19" s="1512" t="s">
        <v>1221</v>
      </c>
      <c r="B19" s="1513" t="s">
        <v>1222</v>
      </c>
      <c r="C19" s="1514" t="s">
        <v>168</v>
      </c>
      <c r="D19" s="1515">
        <v>219.5</v>
      </c>
      <c r="E19" s="1507">
        <v>101.26</v>
      </c>
      <c r="F19" s="1508">
        <v>22226.57</v>
      </c>
      <c r="G19" s="1509">
        <v>219.5</v>
      </c>
      <c r="H19" s="1510">
        <f>+G19*E19</f>
        <v>22226.57</v>
      </c>
      <c r="I19" s="1128">
        <v>0</v>
      </c>
      <c r="J19" s="1129">
        <f t="shared" ref="J19:J82" si="0">ROUND($E19*I19,2)</f>
        <v>0</v>
      </c>
      <c r="K19" s="1509">
        <f>+G19+I19</f>
        <v>219.5</v>
      </c>
      <c r="L19" s="1534">
        <f t="shared" ref="K19:L34" si="1">ROUND(H19+J19,2)</f>
        <v>22226.57</v>
      </c>
      <c r="M19" s="1535">
        <f t="shared" ref="M19:M32" si="2">K19/D19</f>
        <v>1</v>
      </c>
      <c r="N19" s="1536">
        <f t="shared" ref="N19:N32" si="3">ROUND(D19-K19,2)</f>
        <v>0</v>
      </c>
      <c r="O19" s="1507">
        <f t="shared" ref="O19:O25" si="4">ROUND(F19-L19,2)</f>
        <v>0</v>
      </c>
      <c r="P19" s="1537">
        <f t="shared" ref="P19:P25" si="5">N19/D19</f>
        <v>0</v>
      </c>
      <c r="Q19" s="1130"/>
      <c r="R19" s="1131"/>
      <c r="S19" s="1130"/>
      <c r="U19" s="1008">
        <f>+H19/E19</f>
        <v>219.5</v>
      </c>
      <c r="W19" s="1131">
        <f>+S19-U19</f>
        <v>-219.5</v>
      </c>
    </row>
    <row r="20" spans="1:23" s="1008" customFormat="1" ht="13.2" x14ac:dyDescent="0.25">
      <c r="A20" s="1512" t="s">
        <v>1223</v>
      </c>
      <c r="B20" s="1513" t="s">
        <v>1224</v>
      </c>
      <c r="C20" s="1514" t="s">
        <v>221</v>
      </c>
      <c r="D20" s="1515">
        <v>2</v>
      </c>
      <c r="E20" s="1507">
        <v>1483.83</v>
      </c>
      <c r="F20" s="1508">
        <v>2967.66</v>
      </c>
      <c r="G20" s="1509">
        <v>2</v>
      </c>
      <c r="H20" s="1510">
        <f t="shared" ref="H20:H83" si="6">+G20*E20</f>
        <v>2967.66</v>
      </c>
      <c r="I20" s="1128">
        <v>0</v>
      </c>
      <c r="J20" s="1129">
        <f t="shared" si="0"/>
        <v>0</v>
      </c>
      <c r="K20" s="1509">
        <f t="shared" ref="K20:K25" si="7">+G20+I20</f>
        <v>2</v>
      </c>
      <c r="L20" s="1534">
        <f t="shared" si="1"/>
        <v>2967.66</v>
      </c>
      <c r="M20" s="1535">
        <f t="shared" si="2"/>
        <v>1</v>
      </c>
      <c r="N20" s="1536">
        <f t="shared" si="3"/>
        <v>0</v>
      </c>
      <c r="O20" s="1507">
        <f t="shared" si="4"/>
        <v>0</v>
      </c>
      <c r="P20" s="1537">
        <f t="shared" si="5"/>
        <v>0</v>
      </c>
      <c r="Q20" s="1130"/>
      <c r="R20" s="1131"/>
      <c r="S20" s="1130"/>
      <c r="U20" s="1008">
        <f t="shared" ref="U20:U83" si="8">+H20/E20</f>
        <v>2</v>
      </c>
      <c r="W20" s="1131">
        <f t="shared" ref="W20:W83" si="9">+S20-U20</f>
        <v>-2</v>
      </c>
    </row>
    <row r="21" spans="1:23" s="1008" customFormat="1" ht="13.2" x14ac:dyDescent="0.25">
      <c r="A21" s="1512" t="s">
        <v>1225</v>
      </c>
      <c r="B21" s="1513" t="s">
        <v>1226</v>
      </c>
      <c r="C21" s="1514" t="s">
        <v>221</v>
      </c>
      <c r="D21" s="1515">
        <v>2</v>
      </c>
      <c r="E21" s="1507">
        <v>6786.63</v>
      </c>
      <c r="F21" s="1508">
        <v>13573.26</v>
      </c>
      <c r="G21" s="1509">
        <v>2</v>
      </c>
      <c r="H21" s="1510">
        <f t="shared" si="6"/>
        <v>13573.26</v>
      </c>
      <c r="I21" s="1128">
        <v>0</v>
      </c>
      <c r="J21" s="1129">
        <f t="shared" si="0"/>
        <v>0</v>
      </c>
      <c r="K21" s="1509">
        <f t="shared" si="7"/>
        <v>2</v>
      </c>
      <c r="L21" s="1534">
        <f t="shared" si="1"/>
        <v>13573.26</v>
      </c>
      <c r="M21" s="1535">
        <f t="shared" si="2"/>
        <v>1</v>
      </c>
      <c r="N21" s="1536">
        <f t="shared" si="3"/>
        <v>0</v>
      </c>
      <c r="O21" s="1507">
        <f t="shared" si="4"/>
        <v>0</v>
      </c>
      <c r="P21" s="1537">
        <f t="shared" si="5"/>
        <v>0</v>
      </c>
      <c r="Q21" s="1130"/>
      <c r="R21" s="1131"/>
      <c r="S21" s="1132"/>
      <c r="U21" s="1008">
        <f t="shared" si="8"/>
        <v>2</v>
      </c>
      <c r="W21" s="1131">
        <f t="shared" si="9"/>
        <v>-2</v>
      </c>
    </row>
    <row r="22" spans="1:23" s="1356" customFormat="1" ht="13.2" x14ac:dyDescent="0.25">
      <c r="A22" s="1512" t="s">
        <v>1227</v>
      </c>
      <c r="B22" s="1513" t="s">
        <v>1228</v>
      </c>
      <c r="C22" s="1514" t="s">
        <v>221</v>
      </c>
      <c r="D22" s="1515">
        <v>1</v>
      </c>
      <c r="E22" s="1507">
        <v>1536.23</v>
      </c>
      <c r="F22" s="1508">
        <v>1536.23</v>
      </c>
      <c r="G22" s="1509">
        <v>1</v>
      </c>
      <c r="H22" s="1510">
        <f t="shared" si="6"/>
        <v>1536.23</v>
      </c>
      <c r="I22" s="1128">
        <v>0</v>
      </c>
      <c r="J22" s="1129">
        <f t="shared" si="0"/>
        <v>0</v>
      </c>
      <c r="K22" s="1509">
        <f t="shared" si="1"/>
        <v>1</v>
      </c>
      <c r="L22" s="1534">
        <f t="shared" si="1"/>
        <v>1536.23</v>
      </c>
      <c r="M22" s="1535">
        <f t="shared" si="2"/>
        <v>1</v>
      </c>
      <c r="N22" s="1536">
        <f t="shared" si="3"/>
        <v>0</v>
      </c>
      <c r="O22" s="1507">
        <f t="shared" si="4"/>
        <v>0</v>
      </c>
      <c r="P22" s="1537">
        <f t="shared" si="5"/>
        <v>0</v>
      </c>
      <c r="Q22" s="1357">
        <v>1</v>
      </c>
      <c r="R22" s="1355"/>
      <c r="S22" s="1354"/>
      <c r="U22" s="1356">
        <f t="shared" si="8"/>
        <v>1</v>
      </c>
      <c r="W22" s="1355">
        <f t="shared" si="9"/>
        <v>-1</v>
      </c>
    </row>
    <row r="23" spans="1:23" s="1008" customFormat="1" ht="13.2" x14ac:dyDescent="0.25">
      <c r="A23" s="1512" t="s">
        <v>1229</v>
      </c>
      <c r="B23" s="1513" t="s">
        <v>1230</v>
      </c>
      <c r="C23" s="1514" t="s">
        <v>167</v>
      </c>
      <c r="D23" s="1515">
        <v>2112.5</v>
      </c>
      <c r="E23" s="1507">
        <v>84.63</v>
      </c>
      <c r="F23" s="1508">
        <v>178780.88</v>
      </c>
      <c r="G23" s="1516">
        <v>0</v>
      </c>
      <c r="H23" s="1510">
        <f t="shared" si="6"/>
        <v>0</v>
      </c>
      <c r="I23" s="1128">
        <v>0</v>
      </c>
      <c r="J23" s="1129">
        <f t="shared" si="0"/>
        <v>0</v>
      </c>
      <c r="K23" s="1509">
        <f t="shared" si="7"/>
        <v>0</v>
      </c>
      <c r="L23" s="1534">
        <f t="shared" si="1"/>
        <v>0</v>
      </c>
      <c r="M23" s="1535">
        <f t="shared" si="2"/>
        <v>0</v>
      </c>
      <c r="N23" s="1536">
        <f t="shared" si="3"/>
        <v>2112.5</v>
      </c>
      <c r="O23" s="1507">
        <f t="shared" si="4"/>
        <v>178780.88</v>
      </c>
      <c r="P23" s="1537">
        <f t="shared" si="5"/>
        <v>1</v>
      </c>
      <c r="Q23" s="1130"/>
      <c r="R23" s="1131"/>
      <c r="S23" s="1130"/>
      <c r="U23" s="1008">
        <f t="shared" si="8"/>
        <v>0</v>
      </c>
      <c r="W23" s="1131">
        <f t="shared" si="9"/>
        <v>0</v>
      </c>
    </row>
    <row r="24" spans="1:23" s="1008" customFormat="1" ht="13.2" x14ac:dyDescent="0.25">
      <c r="A24" s="1512" t="s">
        <v>1231</v>
      </c>
      <c r="B24" s="1513" t="s">
        <v>1232</v>
      </c>
      <c r="C24" s="1514" t="s">
        <v>1233</v>
      </c>
      <c r="D24" s="1515">
        <v>1</v>
      </c>
      <c r="E24" s="1507">
        <v>363285</v>
      </c>
      <c r="F24" s="1508">
        <v>363285</v>
      </c>
      <c r="G24" s="1509">
        <v>0</v>
      </c>
      <c r="H24" s="1510">
        <f t="shared" si="6"/>
        <v>0</v>
      </c>
      <c r="I24" s="1128">
        <v>0</v>
      </c>
      <c r="J24" s="1129">
        <f t="shared" si="0"/>
        <v>0</v>
      </c>
      <c r="K24" s="1509">
        <f t="shared" si="7"/>
        <v>0</v>
      </c>
      <c r="L24" s="1534">
        <f t="shared" si="1"/>
        <v>0</v>
      </c>
      <c r="M24" s="1535">
        <f t="shared" si="2"/>
        <v>0</v>
      </c>
      <c r="N24" s="1536">
        <f t="shared" si="3"/>
        <v>1</v>
      </c>
      <c r="O24" s="1507">
        <f t="shared" si="4"/>
        <v>363285</v>
      </c>
      <c r="P24" s="1537">
        <f t="shared" si="5"/>
        <v>1</v>
      </c>
      <c r="Q24" s="1130"/>
      <c r="R24" s="1131"/>
      <c r="S24" s="1130"/>
      <c r="U24" s="1008">
        <f t="shared" si="8"/>
        <v>0</v>
      </c>
      <c r="W24" s="1131">
        <f t="shared" si="9"/>
        <v>0</v>
      </c>
    </row>
    <row r="25" spans="1:23" s="1008" customFormat="1" ht="13.2" x14ac:dyDescent="0.25">
      <c r="A25" s="1512" t="s">
        <v>1234</v>
      </c>
      <c r="B25" s="1513" t="s">
        <v>1235</v>
      </c>
      <c r="C25" s="1514" t="s">
        <v>1233</v>
      </c>
      <c r="D25" s="1515">
        <v>1</v>
      </c>
      <c r="E25" s="1507">
        <v>28081.98</v>
      </c>
      <c r="F25" s="1508">
        <v>28081.98</v>
      </c>
      <c r="G25" s="1517">
        <v>0</v>
      </c>
      <c r="H25" s="1510">
        <f t="shared" si="6"/>
        <v>0</v>
      </c>
      <c r="I25" s="1128">
        <v>0</v>
      </c>
      <c r="J25" s="1129">
        <f t="shared" si="0"/>
        <v>0</v>
      </c>
      <c r="K25" s="1517">
        <f t="shared" si="7"/>
        <v>0</v>
      </c>
      <c r="L25" s="1534">
        <f t="shared" si="1"/>
        <v>0</v>
      </c>
      <c r="M25" s="1535">
        <f t="shared" si="2"/>
        <v>0</v>
      </c>
      <c r="N25" s="1536">
        <f t="shared" si="3"/>
        <v>1</v>
      </c>
      <c r="O25" s="1507">
        <f t="shared" si="4"/>
        <v>28081.98</v>
      </c>
      <c r="P25" s="1537">
        <f t="shared" si="5"/>
        <v>1</v>
      </c>
      <c r="Q25" s="1130"/>
      <c r="R25" s="1131"/>
      <c r="S25" s="1130"/>
      <c r="U25" s="1008">
        <f t="shared" si="8"/>
        <v>0</v>
      </c>
      <c r="W25" s="1131">
        <f t="shared" si="9"/>
        <v>0</v>
      </c>
    </row>
    <row r="26" spans="1:23" s="1008" customFormat="1" ht="13.2" x14ac:dyDescent="0.25">
      <c r="A26" s="1503">
        <v>1.02</v>
      </c>
      <c r="B26" s="1511" t="s">
        <v>1236</v>
      </c>
      <c r="C26" s="1505"/>
      <c r="D26" s="1515"/>
      <c r="E26" s="1507"/>
      <c r="F26" s="1508"/>
      <c r="G26" s="1509"/>
      <c r="H26" s="1510"/>
      <c r="I26" s="1128"/>
      <c r="J26" s="1129"/>
      <c r="K26" s="1509"/>
      <c r="L26" s="1534"/>
      <c r="M26" s="1535"/>
      <c r="N26" s="1536"/>
      <c r="O26" s="1507"/>
      <c r="P26" s="1537"/>
      <c r="Q26" s="1130"/>
      <c r="R26" s="1131"/>
      <c r="S26" s="1130"/>
      <c r="U26" s="1008" t="e">
        <f t="shared" si="8"/>
        <v>#DIV/0!</v>
      </c>
      <c r="W26" s="1131" t="e">
        <f t="shared" si="9"/>
        <v>#DIV/0!</v>
      </c>
    </row>
    <row r="27" spans="1:23" s="1008" customFormat="1" ht="13.2" x14ac:dyDescent="0.25">
      <c r="A27" s="1512" t="s">
        <v>1237</v>
      </c>
      <c r="B27" s="1513" t="s">
        <v>1238</v>
      </c>
      <c r="C27" s="1514" t="s">
        <v>1233</v>
      </c>
      <c r="D27" s="1515">
        <v>1</v>
      </c>
      <c r="E27" s="1507">
        <v>125687.28</v>
      </c>
      <c r="F27" s="1508">
        <v>125687.28</v>
      </c>
      <c r="G27" s="1509">
        <f>0.08+0.09+0.01</f>
        <v>0.18</v>
      </c>
      <c r="H27" s="1510">
        <f t="shared" si="6"/>
        <v>22623.7104</v>
      </c>
      <c r="I27" s="1128">
        <v>0</v>
      </c>
      <c r="J27" s="1129">
        <f t="shared" si="0"/>
        <v>0</v>
      </c>
      <c r="K27" s="1509">
        <f t="shared" si="1"/>
        <v>0.18</v>
      </c>
      <c r="L27" s="1534">
        <f t="shared" si="1"/>
        <v>22623.71</v>
      </c>
      <c r="M27" s="1535">
        <f t="shared" si="2"/>
        <v>0.18</v>
      </c>
      <c r="N27" s="1536">
        <f t="shared" si="3"/>
        <v>0.82</v>
      </c>
      <c r="O27" s="1507">
        <f t="shared" ref="O27:O32" si="10">ROUND(F27-L27,2)</f>
        <v>103063.57</v>
      </c>
      <c r="P27" s="1537">
        <f t="shared" ref="P27:P32" si="11">N27/D27</f>
        <v>0.82</v>
      </c>
      <c r="Q27" s="1130"/>
      <c r="R27" s="1131"/>
      <c r="S27" s="1130"/>
      <c r="U27" s="1008">
        <f t="shared" si="8"/>
        <v>0.18</v>
      </c>
      <c r="W27" s="1131">
        <f t="shared" si="9"/>
        <v>-0.18</v>
      </c>
    </row>
    <row r="28" spans="1:23" s="1008" customFormat="1" ht="13.2" x14ac:dyDescent="0.25">
      <c r="A28" s="1512" t="s">
        <v>1239</v>
      </c>
      <c r="B28" s="1513" t="s">
        <v>1240</v>
      </c>
      <c r="C28" s="1514" t="s">
        <v>168</v>
      </c>
      <c r="D28" s="1515">
        <v>2600</v>
      </c>
      <c r="E28" s="1507">
        <v>2.19</v>
      </c>
      <c r="F28" s="1508">
        <v>5694</v>
      </c>
      <c r="G28" s="1509">
        <v>2576.3000000000002</v>
      </c>
      <c r="H28" s="1510">
        <f t="shared" si="6"/>
        <v>5642.0970000000007</v>
      </c>
      <c r="I28" s="1128">
        <v>0</v>
      </c>
      <c r="J28" s="1129">
        <f t="shared" si="0"/>
        <v>0</v>
      </c>
      <c r="K28" s="1509">
        <f t="shared" si="1"/>
        <v>2576.3000000000002</v>
      </c>
      <c r="L28" s="1534">
        <f t="shared" si="1"/>
        <v>5642.1</v>
      </c>
      <c r="M28" s="1535">
        <f t="shared" si="2"/>
        <v>0.99088461538461547</v>
      </c>
      <c r="N28" s="1536">
        <f t="shared" si="3"/>
        <v>23.7</v>
      </c>
      <c r="O28" s="1507">
        <f t="shared" si="10"/>
        <v>51.9</v>
      </c>
      <c r="P28" s="1537">
        <f t="shared" si="11"/>
        <v>9.1153846153846155E-3</v>
      </c>
      <c r="Q28" s="1130"/>
      <c r="R28" s="1131"/>
      <c r="S28" s="1130"/>
      <c r="U28" s="1008">
        <f t="shared" si="8"/>
        <v>2576.3000000000002</v>
      </c>
      <c r="W28" s="1131">
        <f t="shared" si="9"/>
        <v>-2576.3000000000002</v>
      </c>
    </row>
    <row r="29" spans="1:23" s="1008" customFormat="1" ht="13.2" x14ac:dyDescent="0.25">
      <c r="A29" s="1512" t="s">
        <v>1241</v>
      </c>
      <c r="B29" s="1513" t="s">
        <v>1242</v>
      </c>
      <c r="C29" s="1514" t="s">
        <v>168</v>
      </c>
      <c r="D29" s="1515">
        <v>2600</v>
      </c>
      <c r="E29" s="1507">
        <v>3.5</v>
      </c>
      <c r="F29" s="1508">
        <v>9100</v>
      </c>
      <c r="G29" s="1509">
        <v>2576.3000000000002</v>
      </c>
      <c r="H29" s="1510">
        <f t="shared" si="6"/>
        <v>9017.0500000000011</v>
      </c>
      <c r="I29" s="1128">
        <v>0</v>
      </c>
      <c r="J29" s="1129">
        <f t="shared" si="0"/>
        <v>0</v>
      </c>
      <c r="K29" s="1509">
        <f t="shared" ref="K29:K91" si="12">+G29+I29</f>
        <v>2576.3000000000002</v>
      </c>
      <c r="L29" s="1534">
        <f t="shared" si="1"/>
        <v>9017.0499999999993</v>
      </c>
      <c r="M29" s="1535">
        <f t="shared" si="2"/>
        <v>0.99088461538461547</v>
      </c>
      <c r="N29" s="1536">
        <f t="shared" si="3"/>
        <v>23.7</v>
      </c>
      <c r="O29" s="1507">
        <f t="shared" si="10"/>
        <v>82.95</v>
      </c>
      <c r="P29" s="1537">
        <f t="shared" si="11"/>
        <v>9.1153846153846155E-3</v>
      </c>
      <c r="Q29" s="1130"/>
      <c r="R29" s="1131"/>
      <c r="S29" s="1130"/>
      <c r="U29" s="1008">
        <f t="shared" si="8"/>
        <v>2576.3000000000002</v>
      </c>
      <c r="W29" s="1131">
        <f t="shared" si="9"/>
        <v>-2576.3000000000002</v>
      </c>
    </row>
    <row r="30" spans="1:23" s="1353" customFormat="1" ht="13.2" x14ac:dyDescent="0.25">
      <c r="A30" s="1512" t="s">
        <v>1243</v>
      </c>
      <c r="B30" s="1513" t="s">
        <v>1244</v>
      </c>
      <c r="C30" s="1514" t="s">
        <v>168</v>
      </c>
      <c r="D30" s="1515">
        <v>1560</v>
      </c>
      <c r="E30" s="1507">
        <v>4.01</v>
      </c>
      <c r="F30" s="1508">
        <v>6255.5999999999995</v>
      </c>
      <c r="G30" s="1509">
        <v>1560</v>
      </c>
      <c r="H30" s="1510">
        <f t="shared" si="6"/>
        <v>6255.5999999999995</v>
      </c>
      <c r="I30" s="1128">
        <v>0</v>
      </c>
      <c r="J30" s="1129">
        <f t="shared" si="0"/>
        <v>0</v>
      </c>
      <c r="K30" s="1509">
        <f t="shared" si="12"/>
        <v>1560</v>
      </c>
      <c r="L30" s="1534">
        <f t="shared" si="1"/>
        <v>6255.6</v>
      </c>
      <c r="M30" s="1535">
        <f t="shared" si="2"/>
        <v>1</v>
      </c>
      <c r="N30" s="1536">
        <f t="shared" si="3"/>
        <v>0</v>
      </c>
      <c r="O30" s="1507">
        <f t="shared" si="10"/>
        <v>0</v>
      </c>
      <c r="P30" s="1537">
        <f t="shared" si="11"/>
        <v>0</v>
      </c>
      <c r="Q30" s="1351">
        <v>1</v>
      </c>
      <c r="R30" s="1352"/>
      <c r="S30" s="1351"/>
      <c r="U30" s="1353">
        <f t="shared" si="8"/>
        <v>1560</v>
      </c>
      <c r="W30" s="1352">
        <f t="shared" si="9"/>
        <v>-1560</v>
      </c>
    </row>
    <row r="31" spans="1:23" s="1008" customFormat="1" ht="13.2" x14ac:dyDescent="0.25">
      <c r="A31" s="1554" t="s">
        <v>1245</v>
      </c>
      <c r="B31" s="1555" t="s">
        <v>1246</v>
      </c>
      <c r="C31" s="1556" t="s">
        <v>225</v>
      </c>
      <c r="D31" s="1557">
        <v>12</v>
      </c>
      <c r="E31" s="1558">
        <v>3827.34</v>
      </c>
      <c r="F31" s="1559">
        <v>45928.08</v>
      </c>
      <c r="G31" s="1560">
        <v>7</v>
      </c>
      <c r="H31" s="1561">
        <f t="shared" si="6"/>
        <v>26791.38</v>
      </c>
      <c r="I31" s="1562">
        <v>1</v>
      </c>
      <c r="J31" s="1561">
        <f t="shared" si="0"/>
        <v>3827.34</v>
      </c>
      <c r="K31" s="1560">
        <f t="shared" si="12"/>
        <v>8</v>
      </c>
      <c r="L31" s="1563">
        <f t="shared" si="1"/>
        <v>30618.720000000001</v>
      </c>
      <c r="M31" s="1564">
        <f t="shared" si="2"/>
        <v>0.66666666666666663</v>
      </c>
      <c r="N31" s="1565">
        <f t="shared" si="3"/>
        <v>4</v>
      </c>
      <c r="O31" s="1558">
        <f t="shared" si="10"/>
        <v>15309.36</v>
      </c>
      <c r="P31" s="1566">
        <f t="shared" si="11"/>
        <v>0.33333333333333331</v>
      </c>
      <c r="Q31" s="1130"/>
      <c r="R31" s="1131"/>
      <c r="S31" s="1130"/>
      <c r="U31" s="1008">
        <f t="shared" si="8"/>
        <v>7</v>
      </c>
      <c r="W31" s="1131">
        <f t="shared" si="9"/>
        <v>-7</v>
      </c>
    </row>
    <row r="32" spans="1:23" s="1008" customFormat="1" ht="13.2" x14ac:dyDescent="0.25">
      <c r="A32" s="1512" t="s">
        <v>1247</v>
      </c>
      <c r="B32" s="1513" t="s">
        <v>1248</v>
      </c>
      <c r="C32" s="1514" t="s">
        <v>1249</v>
      </c>
      <c r="D32" s="1515">
        <v>0.7</v>
      </c>
      <c r="E32" s="1507">
        <v>9349.01</v>
      </c>
      <c r="F32" s="1508">
        <v>6544.31</v>
      </c>
      <c r="G32" s="1509">
        <v>0.64500000000000002</v>
      </c>
      <c r="H32" s="1510">
        <f t="shared" si="6"/>
        <v>6030.1114500000003</v>
      </c>
      <c r="I32" s="1128">
        <v>0</v>
      </c>
      <c r="J32" s="1129">
        <f t="shared" si="0"/>
        <v>0</v>
      </c>
      <c r="K32" s="1509">
        <f t="shared" si="12"/>
        <v>0.64500000000000002</v>
      </c>
      <c r="L32" s="1534">
        <f t="shared" si="1"/>
        <v>6030.11</v>
      </c>
      <c r="M32" s="1535">
        <f t="shared" si="2"/>
        <v>0.92142857142857149</v>
      </c>
      <c r="N32" s="1536">
        <f t="shared" si="3"/>
        <v>0.05</v>
      </c>
      <c r="O32" s="1507">
        <f t="shared" si="10"/>
        <v>514.20000000000005</v>
      </c>
      <c r="P32" s="1537">
        <f t="shared" si="11"/>
        <v>7.1428571428571438E-2</v>
      </c>
      <c r="Q32" s="1130"/>
      <c r="R32" s="1131"/>
      <c r="S32" s="1130"/>
      <c r="U32" s="1008">
        <f t="shared" si="8"/>
        <v>0.64500000000000002</v>
      </c>
      <c r="W32" s="1131">
        <f t="shared" si="9"/>
        <v>-0.64500000000000002</v>
      </c>
    </row>
    <row r="33" spans="1:23" s="1008" customFormat="1" ht="13.2" x14ac:dyDescent="0.25">
      <c r="A33" s="1503">
        <v>1.03</v>
      </c>
      <c r="B33" s="1511" t="s">
        <v>1250</v>
      </c>
      <c r="C33" s="1505"/>
      <c r="D33" s="1515"/>
      <c r="E33" s="1507"/>
      <c r="F33" s="1508"/>
      <c r="G33" s="1509"/>
      <c r="H33" s="1510"/>
      <c r="I33" s="1128"/>
      <c r="J33" s="1129"/>
      <c r="K33" s="1509"/>
      <c r="L33" s="1534"/>
      <c r="M33" s="1535"/>
      <c r="N33" s="1536"/>
      <c r="O33" s="1507"/>
      <c r="P33" s="1537"/>
      <c r="Q33" s="1130"/>
      <c r="R33" s="1131"/>
      <c r="S33" s="1130"/>
      <c r="U33" s="1008" t="e">
        <f t="shared" si="8"/>
        <v>#DIV/0!</v>
      </c>
      <c r="W33" s="1131" t="e">
        <f t="shared" si="9"/>
        <v>#DIV/0!</v>
      </c>
    </row>
    <row r="34" spans="1:23" s="1008" customFormat="1" ht="13.2" x14ac:dyDescent="0.25">
      <c r="A34" s="1512" t="s">
        <v>1251</v>
      </c>
      <c r="B34" s="1513" t="s">
        <v>1252</v>
      </c>
      <c r="C34" s="1514" t="s">
        <v>167</v>
      </c>
      <c r="D34" s="1515">
        <v>897.73</v>
      </c>
      <c r="E34" s="1507">
        <v>14.62</v>
      </c>
      <c r="F34" s="1508">
        <v>13124.81</v>
      </c>
      <c r="G34" s="1509">
        <v>897.73</v>
      </c>
      <c r="H34" s="1510">
        <f t="shared" si="6"/>
        <v>13124.812599999999</v>
      </c>
      <c r="I34" s="1128">
        <v>0</v>
      </c>
      <c r="J34" s="1129">
        <f t="shared" si="0"/>
        <v>0</v>
      </c>
      <c r="K34" s="1509">
        <f t="shared" si="12"/>
        <v>897.73</v>
      </c>
      <c r="L34" s="1534">
        <f t="shared" si="1"/>
        <v>13124.81</v>
      </c>
      <c r="M34" s="1535">
        <f t="shared" ref="M34:M97" si="13">K34/D34</f>
        <v>1</v>
      </c>
      <c r="N34" s="1536">
        <f t="shared" ref="N34:N97" si="14">ROUND(D34-K34,2)</f>
        <v>0</v>
      </c>
      <c r="O34" s="1507">
        <f t="shared" ref="O34:O97" si="15">ROUND(F34-L34,2)</f>
        <v>0</v>
      </c>
      <c r="P34" s="1537">
        <f t="shared" ref="P34:P97" si="16">N34/D34</f>
        <v>0</v>
      </c>
      <c r="Q34" s="1130"/>
      <c r="R34" s="1131"/>
      <c r="S34" s="1130"/>
      <c r="U34" s="1008">
        <f t="shared" si="8"/>
        <v>897.73</v>
      </c>
      <c r="W34" s="1131">
        <f t="shared" si="9"/>
        <v>-897.73</v>
      </c>
    </row>
    <row r="35" spans="1:23" s="1008" customFormat="1" ht="13.2" x14ac:dyDescent="0.25">
      <c r="A35" s="1512" t="s">
        <v>1253</v>
      </c>
      <c r="B35" s="1513" t="s">
        <v>1254</v>
      </c>
      <c r="C35" s="1514" t="s">
        <v>167</v>
      </c>
      <c r="D35" s="1515">
        <v>273.88</v>
      </c>
      <c r="E35" s="1507">
        <v>14.62</v>
      </c>
      <c r="F35" s="1508">
        <v>4004.13</v>
      </c>
      <c r="G35" s="1509">
        <v>0</v>
      </c>
      <c r="H35" s="1510">
        <f t="shared" si="6"/>
        <v>0</v>
      </c>
      <c r="I35" s="1128">
        <v>0</v>
      </c>
      <c r="J35" s="1129">
        <f t="shared" si="0"/>
        <v>0</v>
      </c>
      <c r="K35" s="1509">
        <f t="shared" si="12"/>
        <v>0</v>
      </c>
      <c r="L35" s="1534">
        <f t="shared" ref="K35:L97" si="17">ROUND(H35+J35,2)</f>
        <v>0</v>
      </c>
      <c r="M35" s="1535">
        <f t="shared" si="13"/>
        <v>0</v>
      </c>
      <c r="N35" s="1536">
        <f t="shared" si="14"/>
        <v>273.88</v>
      </c>
      <c r="O35" s="1507">
        <f t="shared" si="15"/>
        <v>4004.13</v>
      </c>
      <c r="P35" s="1537">
        <f t="shared" si="16"/>
        <v>1</v>
      </c>
      <c r="Q35" s="1130"/>
      <c r="R35" s="1131"/>
      <c r="S35" s="1130"/>
      <c r="U35" s="1008">
        <f t="shared" si="8"/>
        <v>0</v>
      </c>
      <c r="W35" s="1131">
        <f t="shared" si="9"/>
        <v>0</v>
      </c>
    </row>
    <row r="36" spans="1:23" s="1008" customFormat="1" ht="13.2" x14ac:dyDescent="0.25">
      <c r="A36" s="1512" t="s">
        <v>1255</v>
      </c>
      <c r="B36" s="1513" t="s">
        <v>1256</v>
      </c>
      <c r="C36" s="1514" t="s">
        <v>167</v>
      </c>
      <c r="D36" s="1515">
        <v>112.7</v>
      </c>
      <c r="E36" s="1507">
        <v>14.32</v>
      </c>
      <c r="F36" s="1508">
        <v>1613.86</v>
      </c>
      <c r="G36" s="1509">
        <v>0</v>
      </c>
      <c r="H36" s="1510">
        <f t="shared" si="6"/>
        <v>0</v>
      </c>
      <c r="I36" s="1128">
        <v>0</v>
      </c>
      <c r="J36" s="1129">
        <f t="shared" si="0"/>
        <v>0</v>
      </c>
      <c r="K36" s="1509">
        <f t="shared" si="12"/>
        <v>0</v>
      </c>
      <c r="L36" s="1534">
        <f t="shared" si="17"/>
        <v>0</v>
      </c>
      <c r="M36" s="1535">
        <f t="shared" si="13"/>
        <v>0</v>
      </c>
      <c r="N36" s="1536">
        <f t="shared" si="14"/>
        <v>112.7</v>
      </c>
      <c r="O36" s="1507">
        <f t="shared" si="15"/>
        <v>1613.86</v>
      </c>
      <c r="P36" s="1537">
        <f t="shared" si="16"/>
        <v>1</v>
      </c>
      <c r="Q36" s="1130"/>
      <c r="R36" s="1131"/>
      <c r="S36" s="1130"/>
      <c r="U36" s="1008">
        <f t="shared" si="8"/>
        <v>0</v>
      </c>
      <c r="W36" s="1131">
        <f t="shared" si="9"/>
        <v>0</v>
      </c>
    </row>
    <row r="37" spans="1:23" s="1008" customFormat="1" ht="13.2" x14ac:dyDescent="0.25">
      <c r="A37" s="1740" t="s">
        <v>1257</v>
      </c>
      <c r="B37" s="1741" t="s">
        <v>1258</v>
      </c>
      <c r="C37" s="1742" t="s">
        <v>167</v>
      </c>
      <c r="D37" s="1743">
        <v>399.83</v>
      </c>
      <c r="E37" s="1744">
        <v>80.790000000000006</v>
      </c>
      <c r="F37" s="1745">
        <v>32302.27</v>
      </c>
      <c r="G37" s="1746">
        <v>277.41000000000003</v>
      </c>
      <c r="H37" s="1747">
        <f t="shared" si="6"/>
        <v>22411.953900000004</v>
      </c>
      <c r="I37" s="1128"/>
      <c r="J37" s="1129">
        <f t="shared" si="0"/>
        <v>0</v>
      </c>
      <c r="K37" s="1746">
        <f t="shared" si="12"/>
        <v>277.41000000000003</v>
      </c>
      <c r="L37" s="1748">
        <f t="shared" si="17"/>
        <v>22411.95</v>
      </c>
      <c r="M37" s="1749">
        <f t="shared" si="13"/>
        <v>0.69381987344621476</v>
      </c>
      <c r="N37" s="1750">
        <f t="shared" si="14"/>
        <v>122.42</v>
      </c>
      <c r="O37" s="1744">
        <f t="shared" si="15"/>
        <v>9890.32</v>
      </c>
      <c r="P37" s="1751">
        <f t="shared" si="16"/>
        <v>0.30618012655378535</v>
      </c>
      <c r="Q37" s="1130"/>
      <c r="R37" s="1131"/>
      <c r="S37" s="1130"/>
      <c r="U37" s="1008">
        <f t="shared" si="8"/>
        <v>277.41000000000003</v>
      </c>
      <c r="W37" s="1131">
        <f t="shared" si="9"/>
        <v>-277.41000000000003</v>
      </c>
    </row>
    <row r="38" spans="1:23" s="1008" customFormat="1" ht="13.2" x14ac:dyDescent="0.25">
      <c r="A38" s="1740" t="s">
        <v>1259</v>
      </c>
      <c r="B38" s="1741" t="s">
        <v>1260</v>
      </c>
      <c r="C38" s="1742" t="s">
        <v>167</v>
      </c>
      <c r="D38" s="1743">
        <v>906.95</v>
      </c>
      <c r="E38" s="1744">
        <v>25.31</v>
      </c>
      <c r="F38" s="1745">
        <v>22954.9</v>
      </c>
      <c r="G38" s="1746">
        <v>0</v>
      </c>
      <c r="H38" s="1747">
        <f t="shared" si="6"/>
        <v>0</v>
      </c>
      <c r="I38" s="1128">
        <v>0</v>
      </c>
      <c r="J38" s="1129">
        <f t="shared" si="0"/>
        <v>0</v>
      </c>
      <c r="K38" s="1746">
        <f t="shared" si="12"/>
        <v>0</v>
      </c>
      <c r="L38" s="1748">
        <f t="shared" si="17"/>
        <v>0</v>
      </c>
      <c r="M38" s="1749">
        <f t="shared" si="13"/>
        <v>0</v>
      </c>
      <c r="N38" s="1750">
        <f t="shared" si="14"/>
        <v>906.95</v>
      </c>
      <c r="O38" s="1744">
        <f t="shared" si="15"/>
        <v>22954.9</v>
      </c>
      <c r="P38" s="1751">
        <f t="shared" si="16"/>
        <v>1</v>
      </c>
      <c r="Q38" s="1130"/>
      <c r="R38" s="1131"/>
      <c r="S38" s="1130"/>
      <c r="U38" s="1008">
        <f t="shared" si="8"/>
        <v>0</v>
      </c>
      <c r="W38" s="1131">
        <f t="shared" si="9"/>
        <v>0</v>
      </c>
    </row>
    <row r="39" spans="1:23" s="1008" customFormat="1" ht="13.2" x14ac:dyDescent="0.25">
      <c r="A39" s="1740" t="s">
        <v>1261</v>
      </c>
      <c r="B39" s="1741" t="s">
        <v>1262</v>
      </c>
      <c r="C39" s="1742" t="s">
        <v>168</v>
      </c>
      <c r="D39" s="1743">
        <v>349.65</v>
      </c>
      <c r="E39" s="1744">
        <v>18.649999999999999</v>
      </c>
      <c r="F39" s="1745">
        <v>6520.97</v>
      </c>
      <c r="G39" s="1746">
        <f>67.92+138.03</f>
        <v>205.95</v>
      </c>
      <c r="H39" s="1747">
        <f t="shared" si="6"/>
        <v>3840.9674999999993</v>
      </c>
      <c r="I39" s="1128">
        <v>0</v>
      </c>
      <c r="J39" s="1129">
        <f t="shared" si="0"/>
        <v>0</v>
      </c>
      <c r="K39" s="1746">
        <f t="shared" si="17"/>
        <v>205.95</v>
      </c>
      <c r="L39" s="1748">
        <f t="shared" si="17"/>
        <v>3840.97</v>
      </c>
      <c r="M39" s="1749">
        <f t="shared" si="13"/>
        <v>0.58901758901758905</v>
      </c>
      <c r="N39" s="1750">
        <f t="shared" si="14"/>
        <v>143.69999999999999</v>
      </c>
      <c r="O39" s="1744">
        <f t="shared" si="15"/>
        <v>2680</v>
      </c>
      <c r="P39" s="1751">
        <f t="shared" si="16"/>
        <v>0.41098241098241095</v>
      </c>
      <c r="Q39" s="1130"/>
      <c r="R39" s="1131"/>
      <c r="S39" s="1130"/>
      <c r="U39" s="1008">
        <f t="shared" si="8"/>
        <v>205.95</v>
      </c>
      <c r="W39" s="1131">
        <f t="shared" si="9"/>
        <v>-205.95</v>
      </c>
    </row>
    <row r="40" spans="1:23" s="1008" customFormat="1" ht="13.2" x14ac:dyDescent="0.25">
      <c r="A40" s="1512" t="s">
        <v>1263</v>
      </c>
      <c r="B40" s="1513" t="s">
        <v>1264</v>
      </c>
      <c r="C40" s="1514" t="s">
        <v>167</v>
      </c>
      <c r="D40" s="1515">
        <v>1258.49</v>
      </c>
      <c r="E40" s="1507">
        <v>126.98</v>
      </c>
      <c r="F40" s="1508">
        <v>159803.06</v>
      </c>
      <c r="G40" s="1509">
        <v>0</v>
      </c>
      <c r="H40" s="1510">
        <f t="shared" si="6"/>
        <v>0</v>
      </c>
      <c r="I40" s="1128">
        <v>0</v>
      </c>
      <c r="J40" s="1129">
        <f t="shared" si="0"/>
        <v>0</v>
      </c>
      <c r="K40" s="1509">
        <f t="shared" si="12"/>
        <v>0</v>
      </c>
      <c r="L40" s="1534">
        <f t="shared" si="17"/>
        <v>0</v>
      </c>
      <c r="M40" s="1535">
        <f t="shared" si="13"/>
        <v>0</v>
      </c>
      <c r="N40" s="1536">
        <f t="shared" si="14"/>
        <v>1258.49</v>
      </c>
      <c r="O40" s="1507">
        <f t="shared" si="15"/>
        <v>159803.06</v>
      </c>
      <c r="P40" s="1537">
        <f t="shared" si="16"/>
        <v>1</v>
      </c>
      <c r="Q40" s="1130"/>
      <c r="R40" s="1131"/>
      <c r="S40" s="1130"/>
      <c r="U40" s="1008">
        <f t="shared" si="8"/>
        <v>0</v>
      </c>
      <c r="W40" s="1131">
        <f t="shared" si="9"/>
        <v>0</v>
      </c>
    </row>
    <row r="41" spans="1:23" s="1008" customFormat="1" ht="13.2" x14ac:dyDescent="0.25">
      <c r="A41" s="1512" t="s">
        <v>1265</v>
      </c>
      <c r="B41" s="1513" t="s">
        <v>1266</v>
      </c>
      <c r="C41" s="1514" t="s">
        <v>167</v>
      </c>
      <c r="D41" s="1515">
        <v>582.54</v>
      </c>
      <c r="E41" s="1507">
        <v>123.32</v>
      </c>
      <c r="F41" s="1508">
        <v>71838.83</v>
      </c>
      <c r="G41" s="1509">
        <v>0</v>
      </c>
      <c r="H41" s="1510">
        <f t="shared" si="6"/>
        <v>0</v>
      </c>
      <c r="I41" s="1128">
        <v>0</v>
      </c>
      <c r="J41" s="1129">
        <f t="shared" si="0"/>
        <v>0</v>
      </c>
      <c r="K41" s="1509">
        <f t="shared" si="12"/>
        <v>0</v>
      </c>
      <c r="L41" s="1534">
        <f t="shared" si="17"/>
        <v>0</v>
      </c>
      <c r="M41" s="1535">
        <f t="shared" si="13"/>
        <v>0</v>
      </c>
      <c r="N41" s="1536">
        <f t="shared" si="14"/>
        <v>582.54</v>
      </c>
      <c r="O41" s="1507">
        <f t="shared" si="15"/>
        <v>71838.83</v>
      </c>
      <c r="P41" s="1537">
        <f t="shared" si="16"/>
        <v>1</v>
      </c>
      <c r="Q41" s="1130"/>
      <c r="R41" s="1131"/>
      <c r="S41" s="1130"/>
      <c r="U41" s="1008">
        <f t="shared" si="8"/>
        <v>0</v>
      </c>
      <c r="W41" s="1131">
        <f t="shared" si="9"/>
        <v>0</v>
      </c>
    </row>
    <row r="42" spans="1:23" s="1008" customFormat="1" ht="13.2" x14ac:dyDescent="0.25">
      <c r="A42" s="1512" t="s">
        <v>1267</v>
      </c>
      <c r="B42" s="1513" t="s">
        <v>1268</v>
      </c>
      <c r="C42" s="1514" t="s">
        <v>167</v>
      </c>
      <c r="D42" s="1515">
        <v>1258.49</v>
      </c>
      <c r="E42" s="1507">
        <v>11.05</v>
      </c>
      <c r="F42" s="1508">
        <v>13906.31</v>
      </c>
      <c r="G42" s="1509">
        <v>1258.49</v>
      </c>
      <c r="H42" s="1510">
        <f t="shared" si="6"/>
        <v>13906.3145</v>
      </c>
      <c r="I42" s="1128">
        <v>0</v>
      </c>
      <c r="J42" s="1129">
        <f t="shared" si="0"/>
        <v>0</v>
      </c>
      <c r="K42" s="1509">
        <f t="shared" si="12"/>
        <v>1258.49</v>
      </c>
      <c r="L42" s="1534">
        <f t="shared" si="17"/>
        <v>13906.31</v>
      </c>
      <c r="M42" s="1535">
        <f t="shared" si="13"/>
        <v>1</v>
      </c>
      <c r="N42" s="1536">
        <f t="shared" si="14"/>
        <v>0</v>
      </c>
      <c r="O42" s="1507">
        <f t="shared" si="15"/>
        <v>0</v>
      </c>
      <c r="P42" s="1537">
        <f t="shared" si="16"/>
        <v>0</v>
      </c>
      <c r="Q42" s="1130"/>
      <c r="R42" s="1131"/>
      <c r="S42" s="1130"/>
      <c r="U42" s="1008">
        <f t="shared" si="8"/>
        <v>1258.49</v>
      </c>
      <c r="W42" s="1131">
        <f t="shared" si="9"/>
        <v>-1258.49</v>
      </c>
    </row>
    <row r="43" spans="1:23" s="1008" customFormat="1" ht="13.2" x14ac:dyDescent="0.25">
      <c r="A43" s="1503">
        <v>1.04</v>
      </c>
      <c r="B43" s="1511" t="s">
        <v>1269</v>
      </c>
      <c r="C43" s="1505"/>
      <c r="D43" s="1515"/>
      <c r="E43" s="1507"/>
      <c r="F43" s="1508"/>
      <c r="G43" s="1509"/>
      <c r="H43" s="1510">
        <f t="shared" si="6"/>
        <v>0</v>
      </c>
      <c r="I43" s="1128"/>
      <c r="J43" s="1129"/>
      <c r="K43" s="1509"/>
      <c r="L43" s="1534"/>
      <c r="M43" s="1535"/>
      <c r="N43" s="1536"/>
      <c r="O43" s="1507"/>
      <c r="P43" s="1537"/>
      <c r="Q43" s="1130"/>
      <c r="R43" s="1131"/>
      <c r="S43" s="1130"/>
      <c r="U43" s="1008" t="e">
        <f t="shared" si="8"/>
        <v>#DIV/0!</v>
      </c>
      <c r="W43" s="1131" t="e">
        <f t="shared" si="9"/>
        <v>#DIV/0!</v>
      </c>
    </row>
    <row r="44" spans="1:23" s="1356" customFormat="1" ht="13.2" x14ac:dyDescent="0.25">
      <c r="A44" s="1740" t="s">
        <v>1270</v>
      </c>
      <c r="B44" s="1741" t="s">
        <v>1271</v>
      </c>
      <c r="C44" s="1742" t="s">
        <v>168</v>
      </c>
      <c r="D44" s="1743">
        <v>348.21</v>
      </c>
      <c r="E44" s="1744">
        <v>73.400000000000006</v>
      </c>
      <c r="F44" s="1745">
        <v>25558.61</v>
      </c>
      <c r="G44" s="1746">
        <f>67.92+138.03</f>
        <v>205.95</v>
      </c>
      <c r="H44" s="1747">
        <f t="shared" si="6"/>
        <v>15116.73</v>
      </c>
      <c r="I44" s="1128">
        <v>0</v>
      </c>
      <c r="J44" s="1129">
        <f t="shared" si="0"/>
        <v>0</v>
      </c>
      <c r="K44" s="1746">
        <f t="shared" si="12"/>
        <v>205.95</v>
      </c>
      <c r="L44" s="1748">
        <f t="shared" si="17"/>
        <v>15116.73</v>
      </c>
      <c r="M44" s="1749">
        <f t="shared" si="13"/>
        <v>0.59145343327302491</v>
      </c>
      <c r="N44" s="1750">
        <f t="shared" si="14"/>
        <v>142.26</v>
      </c>
      <c r="O44" s="1744">
        <f t="shared" si="15"/>
        <v>10441.879999999999</v>
      </c>
      <c r="P44" s="1751">
        <f t="shared" si="16"/>
        <v>0.40854656672697509</v>
      </c>
      <c r="Q44" s="1357">
        <v>2</v>
      </c>
      <c r="R44" s="1355"/>
      <c r="S44" s="1354"/>
      <c r="U44" s="1356">
        <f t="shared" si="8"/>
        <v>205.95</v>
      </c>
      <c r="W44" s="1355">
        <f t="shared" si="9"/>
        <v>-205.95</v>
      </c>
    </row>
    <row r="45" spans="1:23" s="1008" customFormat="1" ht="13.2" x14ac:dyDescent="0.25">
      <c r="A45" s="1503">
        <v>1.05</v>
      </c>
      <c r="B45" s="1511" t="s">
        <v>1272</v>
      </c>
      <c r="C45" s="1505"/>
      <c r="D45" s="1515"/>
      <c r="E45" s="1507"/>
      <c r="F45" s="1508"/>
      <c r="G45" s="1509"/>
      <c r="H45" s="1510"/>
      <c r="I45" s="1128"/>
      <c r="J45" s="1129"/>
      <c r="K45" s="1509"/>
      <c r="L45" s="1534"/>
      <c r="M45" s="1535"/>
      <c r="N45" s="1536"/>
      <c r="O45" s="1507"/>
      <c r="P45" s="1537"/>
      <c r="Q45" s="1130"/>
      <c r="R45" s="1131"/>
      <c r="S45" s="1130"/>
      <c r="U45" s="1008" t="e">
        <f t="shared" si="8"/>
        <v>#DIV/0!</v>
      </c>
      <c r="W45" s="1131" t="e">
        <f t="shared" si="9"/>
        <v>#DIV/0!</v>
      </c>
    </row>
    <row r="46" spans="1:23" s="1008" customFormat="1" ht="13.2" x14ac:dyDescent="0.25">
      <c r="A46" s="1503" t="s">
        <v>1273</v>
      </c>
      <c r="B46" s="1511" t="s">
        <v>1274</v>
      </c>
      <c r="C46" s="1505"/>
      <c r="D46" s="1515"/>
      <c r="E46" s="1507"/>
      <c r="F46" s="1508"/>
      <c r="G46" s="1509"/>
      <c r="H46" s="1510"/>
      <c r="I46" s="1128"/>
      <c r="J46" s="1129"/>
      <c r="K46" s="1509"/>
      <c r="L46" s="1534"/>
      <c r="M46" s="1535"/>
      <c r="N46" s="1536"/>
      <c r="O46" s="1507"/>
      <c r="P46" s="1537"/>
      <c r="Q46" s="1130"/>
      <c r="R46" s="1131"/>
      <c r="S46" s="1130"/>
      <c r="U46" s="1008" t="e">
        <f t="shared" si="8"/>
        <v>#DIV/0!</v>
      </c>
      <c r="W46" s="1131" t="e">
        <f t="shared" si="9"/>
        <v>#DIV/0!</v>
      </c>
    </row>
    <row r="47" spans="1:23" s="1356" customFormat="1" ht="13.2" x14ac:dyDescent="0.25">
      <c r="A47" s="1554" t="s">
        <v>1275</v>
      </c>
      <c r="B47" s="1555" t="s">
        <v>1276</v>
      </c>
      <c r="C47" s="1556" t="s">
        <v>167</v>
      </c>
      <c r="D47" s="1557">
        <v>206.47</v>
      </c>
      <c r="E47" s="1558">
        <v>663.62</v>
      </c>
      <c r="F47" s="1559">
        <v>137017.62</v>
      </c>
      <c r="G47" s="1560">
        <v>0</v>
      </c>
      <c r="H47" s="1561">
        <f t="shared" si="6"/>
        <v>0</v>
      </c>
      <c r="I47" s="1562">
        <v>67.709999999999994</v>
      </c>
      <c r="J47" s="1561">
        <f t="shared" si="0"/>
        <v>44933.71</v>
      </c>
      <c r="K47" s="1560">
        <f t="shared" si="17"/>
        <v>67.709999999999994</v>
      </c>
      <c r="L47" s="1563">
        <f t="shared" si="17"/>
        <v>44933.71</v>
      </c>
      <c r="M47" s="1564">
        <f t="shared" si="13"/>
        <v>0.32794110524531406</v>
      </c>
      <c r="N47" s="1565">
        <f t="shared" si="14"/>
        <v>138.76</v>
      </c>
      <c r="O47" s="1558">
        <f t="shared" si="15"/>
        <v>92083.91</v>
      </c>
      <c r="P47" s="1566">
        <f t="shared" si="16"/>
        <v>0.67205889475468583</v>
      </c>
      <c r="Q47" s="1357">
        <v>3</v>
      </c>
      <c r="R47" s="1355"/>
      <c r="S47" s="1354"/>
      <c r="U47" s="1356">
        <f t="shared" si="8"/>
        <v>0</v>
      </c>
      <c r="W47" s="1355">
        <f t="shared" si="9"/>
        <v>0</v>
      </c>
    </row>
    <row r="48" spans="1:23" s="1356" customFormat="1" ht="13.2" x14ac:dyDescent="0.25">
      <c r="A48" s="1554" t="s">
        <v>1277</v>
      </c>
      <c r="B48" s="1555" t="s">
        <v>1278</v>
      </c>
      <c r="C48" s="1556" t="s">
        <v>167</v>
      </c>
      <c r="D48" s="1557">
        <v>290.36</v>
      </c>
      <c r="E48" s="1558">
        <v>682.12</v>
      </c>
      <c r="F48" s="1559">
        <v>198060.36</v>
      </c>
      <c r="G48" s="1560">
        <v>0</v>
      </c>
      <c r="H48" s="1561">
        <f t="shared" si="6"/>
        <v>0</v>
      </c>
      <c r="I48" s="1562">
        <v>156</v>
      </c>
      <c r="J48" s="1561">
        <f t="shared" si="0"/>
        <v>106410.72</v>
      </c>
      <c r="K48" s="1560">
        <f t="shared" si="12"/>
        <v>156</v>
      </c>
      <c r="L48" s="1563">
        <f t="shared" si="17"/>
        <v>106410.72</v>
      </c>
      <c r="M48" s="1564">
        <f t="shared" si="13"/>
        <v>0.53726408596225372</v>
      </c>
      <c r="N48" s="1565">
        <f t="shared" si="14"/>
        <v>134.36000000000001</v>
      </c>
      <c r="O48" s="1558">
        <f t="shared" si="15"/>
        <v>91649.64</v>
      </c>
      <c r="P48" s="1566">
        <f t="shared" si="16"/>
        <v>0.46273591403774628</v>
      </c>
      <c r="Q48" s="1357">
        <v>4</v>
      </c>
      <c r="R48" s="1355"/>
      <c r="S48" s="1354"/>
      <c r="U48" s="1356">
        <f t="shared" si="8"/>
        <v>0</v>
      </c>
      <c r="W48" s="1355">
        <f t="shared" si="9"/>
        <v>0</v>
      </c>
    </row>
    <row r="49" spans="1:23" s="1356" customFormat="1" ht="13.2" x14ac:dyDescent="0.25">
      <c r="A49" s="1512" t="s">
        <v>1279</v>
      </c>
      <c r="B49" s="1513" t="s">
        <v>1280</v>
      </c>
      <c r="C49" s="1514" t="s">
        <v>167</v>
      </c>
      <c r="D49" s="1515">
        <v>319.66000000000003</v>
      </c>
      <c r="E49" s="1507">
        <v>735.82</v>
      </c>
      <c r="F49" s="1508">
        <v>235212.22</v>
      </c>
      <c r="G49" s="1509">
        <v>0</v>
      </c>
      <c r="H49" s="1510">
        <f t="shared" si="6"/>
        <v>0</v>
      </c>
      <c r="I49" s="1128"/>
      <c r="J49" s="1129">
        <f t="shared" si="0"/>
        <v>0</v>
      </c>
      <c r="K49" s="1509">
        <f t="shared" si="12"/>
        <v>0</v>
      </c>
      <c r="L49" s="1534">
        <f t="shared" si="17"/>
        <v>0</v>
      </c>
      <c r="M49" s="1535">
        <f t="shared" si="13"/>
        <v>0</v>
      </c>
      <c r="N49" s="1536">
        <f t="shared" si="14"/>
        <v>319.66000000000003</v>
      </c>
      <c r="O49" s="1507">
        <f t="shared" si="15"/>
        <v>235212.22</v>
      </c>
      <c r="P49" s="1537">
        <f t="shared" si="16"/>
        <v>1</v>
      </c>
      <c r="Q49" s="1357">
        <v>5</v>
      </c>
      <c r="R49" s="1355"/>
      <c r="S49" s="1354"/>
      <c r="U49" s="1356">
        <f t="shared" si="8"/>
        <v>0</v>
      </c>
      <c r="W49" s="1355">
        <f t="shared" si="9"/>
        <v>0</v>
      </c>
    </row>
    <row r="50" spans="1:23" s="1008" customFormat="1" ht="13.2" x14ac:dyDescent="0.25">
      <c r="A50" s="1554" t="s">
        <v>1281</v>
      </c>
      <c r="B50" s="1555" t="s">
        <v>1282</v>
      </c>
      <c r="C50" s="1556" t="s">
        <v>168</v>
      </c>
      <c r="D50" s="1557">
        <v>354.18</v>
      </c>
      <c r="E50" s="1558">
        <v>117.74</v>
      </c>
      <c r="F50" s="1559">
        <v>41701.15</v>
      </c>
      <c r="G50" s="1560">
        <v>35.53</v>
      </c>
      <c r="H50" s="1561">
        <f t="shared" si="6"/>
        <v>4183.3022000000001</v>
      </c>
      <c r="I50" s="1562">
        <v>73.56</v>
      </c>
      <c r="J50" s="1561">
        <f t="shared" si="0"/>
        <v>8660.9500000000007</v>
      </c>
      <c r="K50" s="1560">
        <f t="shared" si="12"/>
        <v>109.09</v>
      </c>
      <c r="L50" s="1563">
        <f t="shared" si="17"/>
        <v>12844.25</v>
      </c>
      <c r="M50" s="1564">
        <f t="shared" si="13"/>
        <v>0.30800722796318258</v>
      </c>
      <c r="N50" s="1565">
        <f t="shared" si="14"/>
        <v>245.09</v>
      </c>
      <c r="O50" s="1558">
        <f t="shared" si="15"/>
        <v>28856.9</v>
      </c>
      <c r="P50" s="1566">
        <f t="shared" si="16"/>
        <v>0.69199277203681742</v>
      </c>
      <c r="Q50" s="1130"/>
      <c r="R50" s="1131"/>
      <c r="S50" s="1130"/>
      <c r="U50" s="1008">
        <f t="shared" si="8"/>
        <v>35.53</v>
      </c>
      <c r="W50" s="1131">
        <f t="shared" si="9"/>
        <v>-35.53</v>
      </c>
    </row>
    <row r="51" spans="1:23" s="1008" customFormat="1" ht="13.2" x14ac:dyDescent="0.25">
      <c r="A51" s="1740" t="s">
        <v>1283</v>
      </c>
      <c r="B51" s="1741" t="s">
        <v>1284</v>
      </c>
      <c r="C51" s="1742" t="s">
        <v>168</v>
      </c>
      <c r="D51" s="1743">
        <v>347.84</v>
      </c>
      <c r="E51" s="1744">
        <v>117.74</v>
      </c>
      <c r="F51" s="1745">
        <v>40954.68</v>
      </c>
      <c r="G51" s="1746">
        <v>76</v>
      </c>
      <c r="H51" s="1747">
        <f t="shared" si="6"/>
        <v>8948.24</v>
      </c>
      <c r="I51" s="1128">
        <v>0</v>
      </c>
      <c r="J51" s="1129">
        <f t="shared" si="0"/>
        <v>0</v>
      </c>
      <c r="K51" s="1746">
        <f t="shared" si="12"/>
        <v>76</v>
      </c>
      <c r="L51" s="1748">
        <f t="shared" si="17"/>
        <v>8948.24</v>
      </c>
      <c r="M51" s="1749">
        <f t="shared" si="13"/>
        <v>0.21849126034958602</v>
      </c>
      <c r="N51" s="1750">
        <f t="shared" si="14"/>
        <v>271.83999999999997</v>
      </c>
      <c r="O51" s="1744">
        <f t="shared" si="15"/>
        <v>32006.44</v>
      </c>
      <c r="P51" s="1751">
        <f t="shared" si="16"/>
        <v>0.78150873965041401</v>
      </c>
      <c r="Q51" s="1130"/>
      <c r="R51" s="1131"/>
      <c r="S51" s="1130"/>
      <c r="U51" s="1008">
        <f t="shared" si="8"/>
        <v>76</v>
      </c>
      <c r="W51" s="1131">
        <f t="shared" si="9"/>
        <v>-76</v>
      </c>
    </row>
    <row r="52" spans="1:23" s="1008" customFormat="1" ht="13.2" x14ac:dyDescent="0.25">
      <c r="A52" s="1512" t="s">
        <v>1285</v>
      </c>
      <c r="B52" s="1513" t="s">
        <v>1286</v>
      </c>
      <c r="C52" s="1514" t="s">
        <v>168</v>
      </c>
      <c r="D52" s="1515">
        <v>247.7</v>
      </c>
      <c r="E52" s="1507">
        <v>123.39</v>
      </c>
      <c r="F52" s="1508">
        <v>30563.7</v>
      </c>
      <c r="G52" s="1509">
        <v>0</v>
      </c>
      <c r="H52" s="1510">
        <f t="shared" si="6"/>
        <v>0</v>
      </c>
      <c r="I52" s="1128">
        <v>0</v>
      </c>
      <c r="J52" s="1129">
        <f t="shared" si="0"/>
        <v>0</v>
      </c>
      <c r="K52" s="1509">
        <f t="shared" si="12"/>
        <v>0</v>
      </c>
      <c r="L52" s="1534">
        <f t="shared" si="17"/>
        <v>0</v>
      </c>
      <c r="M52" s="1535">
        <f t="shared" si="13"/>
        <v>0</v>
      </c>
      <c r="N52" s="1536">
        <f t="shared" si="14"/>
        <v>247.7</v>
      </c>
      <c r="O52" s="1507">
        <f t="shared" si="15"/>
        <v>30563.7</v>
      </c>
      <c r="P52" s="1537">
        <f t="shared" si="16"/>
        <v>1</v>
      </c>
      <c r="Q52" s="1130"/>
      <c r="R52" s="1131"/>
      <c r="S52" s="1130"/>
      <c r="U52" s="1008">
        <f t="shared" si="8"/>
        <v>0</v>
      </c>
      <c r="W52" s="1131">
        <f t="shared" si="9"/>
        <v>0</v>
      </c>
    </row>
    <row r="53" spans="1:23" s="1353" customFormat="1" ht="13.2" x14ac:dyDescent="0.25">
      <c r="A53" s="1554" t="s">
        <v>1287</v>
      </c>
      <c r="B53" s="1555" t="s">
        <v>1288</v>
      </c>
      <c r="C53" s="1556" t="s">
        <v>170</v>
      </c>
      <c r="D53" s="1557">
        <v>15265.71</v>
      </c>
      <c r="E53" s="1558">
        <v>7.48</v>
      </c>
      <c r="F53" s="1559">
        <v>114187.51</v>
      </c>
      <c r="G53" s="1560">
        <f>8510.21+5489.38</f>
        <v>13999.59</v>
      </c>
      <c r="H53" s="1561">
        <f t="shared" si="6"/>
        <v>104716.93320000001</v>
      </c>
      <c r="I53" s="1562">
        <v>1266.1199999999999</v>
      </c>
      <c r="J53" s="1561">
        <f t="shared" si="0"/>
        <v>9470.58</v>
      </c>
      <c r="K53" s="1560">
        <f t="shared" si="12"/>
        <v>15265.71</v>
      </c>
      <c r="L53" s="1563">
        <f t="shared" si="17"/>
        <v>114187.51</v>
      </c>
      <c r="M53" s="1564">
        <f t="shared" si="13"/>
        <v>1</v>
      </c>
      <c r="N53" s="1565">
        <f t="shared" si="14"/>
        <v>0</v>
      </c>
      <c r="O53" s="1558">
        <f t="shared" si="15"/>
        <v>0</v>
      </c>
      <c r="P53" s="1566">
        <f t="shared" si="16"/>
        <v>0</v>
      </c>
      <c r="Q53" s="1351">
        <v>2</v>
      </c>
      <c r="R53" s="1352"/>
      <c r="S53" s="1351"/>
      <c r="U53" s="1353">
        <f t="shared" si="8"/>
        <v>13999.590000000002</v>
      </c>
      <c r="W53" s="1352">
        <f t="shared" si="9"/>
        <v>-13999.590000000002</v>
      </c>
    </row>
    <row r="54" spans="1:23" s="1353" customFormat="1" ht="13.2" x14ac:dyDescent="0.25">
      <c r="A54" s="1740" t="s">
        <v>1289</v>
      </c>
      <c r="B54" s="1741" t="s">
        <v>1290</v>
      </c>
      <c r="C54" s="1742" t="s">
        <v>170</v>
      </c>
      <c r="D54" s="1743">
        <v>47544.86</v>
      </c>
      <c r="E54" s="1744">
        <v>7.48</v>
      </c>
      <c r="F54" s="1745">
        <v>355635.55</v>
      </c>
      <c r="G54" s="1746">
        <v>18281.830000000002</v>
      </c>
      <c r="H54" s="1747">
        <f t="shared" si="6"/>
        <v>136748.08840000001</v>
      </c>
      <c r="I54" s="1128">
        <v>0</v>
      </c>
      <c r="J54" s="1129">
        <f t="shared" si="0"/>
        <v>0</v>
      </c>
      <c r="K54" s="1746">
        <f t="shared" si="12"/>
        <v>18281.830000000002</v>
      </c>
      <c r="L54" s="1748">
        <f t="shared" si="17"/>
        <v>136748.09</v>
      </c>
      <c r="M54" s="1749">
        <f t="shared" si="13"/>
        <v>0.38451748517084711</v>
      </c>
      <c r="N54" s="1750">
        <f t="shared" si="14"/>
        <v>29263.03</v>
      </c>
      <c r="O54" s="1744">
        <f t="shared" si="15"/>
        <v>218887.46</v>
      </c>
      <c r="P54" s="1751">
        <f t="shared" si="16"/>
        <v>0.61548251482915295</v>
      </c>
      <c r="Q54" s="1351">
        <v>3</v>
      </c>
      <c r="R54" s="1352"/>
      <c r="S54" s="1351"/>
      <c r="U54" s="1353">
        <f t="shared" si="8"/>
        <v>18281.830000000002</v>
      </c>
      <c r="W54" s="1352">
        <f t="shared" si="9"/>
        <v>-18281.830000000002</v>
      </c>
    </row>
    <row r="55" spans="1:23" s="1008" customFormat="1" ht="13.2" x14ac:dyDescent="0.25">
      <c r="A55" s="1503" t="s">
        <v>605</v>
      </c>
      <c r="B55" s="1511" t="s">
        <v>1291</v>
      </c>
      <c r="C55" s="1505"/>
      <c r="D55" s="1515"/>
      <c r="E55" s="1507"/>
      <c r="F55" s="1508"/>
      <c r="G55" s="1509"/>
      <c r="H55" s="1510"/>
      <c r="I55" s="1128"/>
      <c r="J55" s="1129"/>
      <c r="K55" s="1509"/>
      <c r="L55" s="1534"/>
      <c r="M55" s="1535"/>
      <c r="N55" s="1536"/>
      <c r="O55" s="1507"/>
      <c r="P55" s="1537"/>
      <c r="Q55" s="1130"/>
      <c r="R55" s="1131"/>
      <c r="S55" s="1130"/>
      <c r="U55" s="1008" t="e">
        <f t="shared" si="8"/>
        <v>#DIV/0!</v>
      </c>
      <c r="W55" s="1131" t="e">
        <f t="shared" si="9"/>
        <v>#DIV/0!</v>
      </c>
    </row>
    <row r="56" spans="1:23" s="1356" customFormat="1" ht="13.2" x14ac:dyDescent="0.25">
      <c r="A56" s="1512" t="s">
        <v>607</v>
      </c>
      <c r="B56" s="1513" t="s">
        <v>1292</v>
      </c>
      <c r="C56" s="1514" t="s">
        <v>167</v>
      </c>
      <c r="D56" s="1515">
        <v>223.76</v>
      </c>
      <c r="E56" s="1507">
        <v>663.62</v>
      </c>
      <c r="F56" s="1508">
        <v>148491.60999999999</v>
      </c>
      <c r="G56" s="1509">
        <v>0</v>
      </c>
      <c r="H56" s="1510">
        <f t="shared" si="6"/>
        <v>0</v>
      </c>
      <c r="I56" s="1128">
        <v>0</v>
      </c>
      <c r="J56" s="1129">
        <f t="shared" si="0"/>
        <v>0</v>
      </c>
      <c r="K56" s="1509">
        <f t="shared" si="12"/>
        <v>0</v>
      </c>
      <c r="L56" s="1534">
        <f t="shared" si="17"/>
        <v>0</v>
      </c>
      <c r="M56" s="1535">
        <f t="shared" si="13"/>
        <v>0</v>
      </c>
      <c r="N56" s="1536">
        <f t="shared" si="14"/>
        <v>223.76</v>
      </c>
      <c r="O56" s="1507">
        <f t="shared" si="15"/>
        <v>148491.60999999999</v>
      </c>
      <c r="P56" s="1537">
        <f t="shared" si="16"/>
        <v>1</v>
      </c>
      <c r="Q56" s="1357">
        <v>6</v>
      </c>
      <c r="R56" s="1355"/>
      <c r="S56" s="1354"/>
      <c r="U56" s="1356">
        <f t="shared" si="8"/>
        <v>0</v>
      </c>
      <c r="W56" s="1355">
        <f t="shared" si="9"/>
        <v>0</v>
      </c>
    </row>
    <row r="57" spans="1:23" s="1008" customFormat="1" ht="13.2" x14ac:dyDescent="0.25">
      <c r="A57" s="1512" t="s">
        <v>608</v>
      </c>
      <c r="B57" s="1513" t="s">
        <v>1293</v>
      </c>
      <c r="C57" s="1514" t="s">
        <v>168</v>
      </c>
      <c r="D57" s="1515">
        <v>910.31</v>
      </c>
      <c r="E57" s="1507">
        <v>143.47</v>
      </c>
      <c r="F57" s="1508">
        <v>130602.18</v>
      </c>
      <c r="G57" s="1509">
        <v>0</v>
      </c>
      <c r="H57" s="1510">
        <f t="shared" si="6"/>
        <v>0</v>
      </c>
      <c r="I57" s="1128">
        <v>0</v>
      </c>
      <c r="J57" s="1129">
        <f t="shared" si="0"/>
        <v>0</v>
      </c>
      <c r="K57" s="1509">
        <f t="shared" si="17"/>
        <v>0</v>
      </c>
      <c r="L57" s="1534">
        <f t="shared" si="17"/>
        <v>0</v>
      </c>
      <c r="M57" s="1535">
        <f t="shared" si="13"/>
        <v>0</v>
      </c>
      <c r="N57" s="1536">
        <f t="shared" si="14"/>
        <v>910.31</v>
      </c>
      <c r="O57" s="1507">
        <f t="shared" si="15"/>
        <v>130602.18</v>
      </c>
      <c r="P57" s="1537">
        <f t="shared" si="16"/>
        <v>1</v>
      </c>
      <c r="Q57" s="1130"/>
      <c r="R57" s="1131"/>
      <c r="S57" s="1130"/>
      <c r="U57" s="1008">
        <f t="shared" si="8"/>
        <v>0</v>
      </c>
      <c r="W57" s="1131">
        <f t="shared" si="9"/>
        <v>0</v>
      </c>
    </row>
    <row r="58" spans="1:23" s="1353" customFormat="1" ht="13.2" x14ac:dyDescent="0.25">
      <c r="A58" s="1512" t="s">
        <v>609</v>
      </c>
      <c r="B58" s="1518" t="s">
        <v>1294</v>
      </c>
      <c r="C58" s="1514" t="s">
        <v>170</v>
      </c>
      <c r="D58" s="1515">
        <v>45792.480000000003</v>
      </c>
      <c r="E58" s="1507">
        <v>7.48</v>
      </c>
      <c r="F58" s="1508">
        <v>342527.75</v>
      </c>
      <c r="G58" s="1509">
        <v>0</v>
      </c>
      <c r="H58" s="1510">
        <f t="shared" si="6"/>
        <v>0</v>
      </c>
      <c r="I58" s="1128">
        <v>0</v>
      </c>
      <c r="J58" s="1129">
        <f t="shared" si="0"/>
        <v>0</v>
      </c>
      <c r="K58" s="1509">
        <f t="shared" si="12"/>
        <v>0</v>
      </c>
      <c r="L58" s="1534">
        <f t="shared" si="17"/>
        <v>0</v>
      </c>
      <c r="M58" s="1535">
        <f t="shared" si="13"/>
        <v>0</v>
      </c>
      <c r="N58" s="1536">
        <f t="shared" si="14"/>
        <v>45792.480000000003</v>
      </c>
      <c r="O58" s="1507">
        <f t="shared" si="15"/>
        <v>342527.75</v>
      </c>
      <c r="P58" s="1537">
        <f t="shared" si="16"/>
        <v>1</v>
      </c>
      <c r="Q58" s="1351">
        <v>4</v>
      </c>
      <c r="R58" s="1352"/>
      <c r="S58" s="1351"/>
      <c r="U58" s="1353">
        <f t="shared" si="8"/>
        <v>0</v>
      </c>
      <c r="W58" s="1352">
        <f t="shared" si="9"/>
        <v>0</v>
      </c>
    </row>
    <row r="59" spans="1:23" s="1356" customFormat="1" ht="13.2" x14ac:dyDescent="0.25">
      <c r="A59" s="1512" t="s">
        <v>610</v>
      </c>
      <c r="B59" s="1513" t="s">
        <v>1295</v>
      </c>
      <c r="C59" s="1514" t="s">
        <v>167</v>
      </c>
      <c r="D59" s="1515">
        <v>129.35</v>
      </c>
      <c r="E59" s="1507">
        <v>663.62</v>
      </c>
      <c r="F59" s="1508">
        <v>85839.25</v>
      </c>
      <c r="G59" s="1509">
        <v>0</v>
      </c>
      <c r="H59" s="1510">
        <f t="shared" si="6"/>
        <v>0</v>
      </c>
      <c r="I59" s="1128">
        <v>0</v>
      </c>
      <c r="J59" s="1129">
        <f t="shared" si="0"/>
        <v>0</v>
      </c>
      <c r="K59" s="1509">
        <f t="shared" si="12"/>
        <v>0</v>
      </c>
      <c r="L59" s="1534">
        <f t="shared" si="17"/>
        <v>0</v>
      </c>
      <c r="M59" s="1535">
        <f t="shared" si="13"/>
        <v>0</v>
      </c>
      <c r="N59" s="1536">
        <f t="shared" si="14"/>
        <v>129.35</v>
      </c>
      <c r="O59" s="1507">
        <f t="shared" si="15"/>
        <v>85839.25</v>
      </c>
      <c r="P59" s="1537">
        <f t="shared" si="16"/>
        <v>1</v>
      </c>
      <c r="Q59" s="1357">
        <v>7</v>
      </c>
      <c r="R59" s="1355"/>
      <c r="S59" s="1354"/>
      <c r="U59" s="1356">
        <f t="shared" si="8"/>
        <v>0</v>
      </c>
      <c r="W59" s="1355">
        <f t="shared" si="9"/>
        <v>0</v>
      </c>
    </row>
    <row r="60" spans="1:23" s="1008" customFormat="1" ht="13.2" x14ac:dyDescent="0.25">
      <c r="A60" s="1512" t="s">
        <v>611</v>
      </c>
      <c r="B60" s="1513" t="s">
        <v>1296</v>
      </c>
      <c r="C60" s="1514" t="s">
        <v>168</v>
      </c>
      <c r="D60" s="1515">
        <v>608.15</v>
      </c>
      <c r="E60" s="1507">
        <v>143.47</v>
      </c>
      <c r="F60" s="1508">
        <v>87251.28</v>
      </c>
      <c r="G60" s="1509">
        <v>0</v>
      </c>
      <c r="H60" s="1510">
        <f t="shared" si="6"/>
        <v>0</v>
      </c>
      <c r="I60" s="1128">
        <v>0</v>
      </c>
      <c r="J60" s="1129">
        <f t="shared" si="0"/>
        <v>0</v>
      </c>
      <c r="K60" s="1509">
        <f t="shared" si="12"/>
        <v>0</v>
      </c>
      <c r="L60" s="1534">
        <f t="shared" si="17"/>
        <v>0</v>
      </c>
      <c r="M60" s="1535">
        <f t="shared" si="13"/>
        <v>0</v>
      </c>
      <c r="N60" s="1536">
        <f t="shared" si="14"/>
        <v>608.15</v>
      </c>
      <c r="O60" s="1507">
        <f t="shared" si="15"/>
        <v>87251.28</v>
      </c>
      <c r="P60" s="1537">
        <f t="shared" si="16"/>
        <v>1</v>
      </c>
      <c r="Q60" s="1130"/>
      <c r="R60" s="1131"/>
      <c r="S60" s="1130"/>
      <c r="U60" s="1008">
        <f t="shared" si="8"/>
        <v>0</v>
      </c>
      <c r="W60" s="1131">
        <f t="shared" si="9"/>
        <v>0</v>
      </c>
    </row>
    <row r="61" spans="1:23" s="1353" customFormat="1" ht="13.2" x14ac:dyDescent="0.25">
      <c r="A61" s="1512" t="s">
        <v>612</v>
      </c>
      <c r="B61" s="1513" t="s">
        <v>1297</v>
      </c>
      <c r="C61" s="1514" t="s">
        <v>170</v>
      </c>
      <c r="D61" s="1515">
        <v>28537.93</v>
      </c>
      <c r="E61" s="1507">
        <v>7.48</v>
      </c>
      <c r="F61" s="1508">
        <v>213463.72</v>
      </c>
      <c r="G61" s="1509">
        <v>0</v>
      </c>
      <c r="H61" s="1510">
        <f t="shared" si="6"/>
        <v>0</v>
      </c>
      <c r="I61" s="1128">
        <v>0</v>
      </c>
      <c r="J61" s="1129">
        <f t="shared" si="0"/>
        <v>0</v>
      </c>
      <c r="K61" s="1509">
        <f t="shared" si="17"/>
        <v>0</v>
      </c>
      <c r="L61" s="1534">
        <f t="shared" si="17"/>
        <v>0</v>
      </c>
      <c r="M61" s="1535">
        <f t="shared" si="13"/>
        <v>0</v>
      </c>
      <c r="N61" s="1536">
        <f t="shared" si="14"/>
        <v>28537.93</v>
      </c>
      <c r="O61" s="1507">
        <f t="shared" si="15"/>
        <v>213463.72</v>
      </c>
      <c r="P61" s="1537">
        <f t="shared" si="16"/>
        <v>1</v>
      </c>
      <c r="Q61" s="1351">
        <v>5</v>
      </c>
      <c r="R61" s="1352"/>
      <c r="S61" s="1351"/>
      <c r="U61" s="1353">
        <f t="shared" si="8"/>
        <v>0</v>
      </c>
      <c r="W61" s="1352">
        <f t="shared" si="9"/>
        <v>0</v>
      </c>
    </row>
    <row r="62" spans="1:23" s="1008" customFormat="1" ht="13.2" x14ac:dyDescent="0.25">
      <c r="A62" s="1503" t="s">
        <v>606</v>
      </c>
      <c r="B62" s="1511" t="s">
        <v>1298</v>
      </c>
      <c r="C62" s="1505"/>
      <c r="D62" s="1515"/>
      <c r="E62" s="1507"/>
      <c r="F62" s="1508"/>
      <c r="G62" s="1509"/>
      <c r="H62" s="1510"/>
      <c r="I62" s="1128"/>
      <c r="J62" s="1129"/>
      <c r="K62" s="1509"/>
      <c r="L62" s="1534"/>
      <c r="M62" s="1535"/>
      <c r="N62" s="1536"/>
      <c r="O62" s="1507"/>
      <c r="P62" s="1537"/>
      <c r="Q62" s="1130"/>
      <c r="R62" s="1131"/>
      <c r="S62" s="1130"/>
      <c r="U62" s="1008" t="e">
        <f t="shared" si="8"/>
        <v>#DIV/0!</v>
      </c>
      <c r="W62" s="1131" t="e">
        <f t="shared" si="9"/>
        <v>#DIV/0!</v>
      </c>
    </row>
    <row r="63" spans="1:23" s="1356" customFormat="1" ht="13.2" x14ac:dyDescent="0.25">
      <c r="A63" s="1512" t="s">
        <v>613</v>
      </c>
      <c r="B63" s="1513" t="s">
        <v>1299</v>
      </c>
      <c r="C63" s="1514" t="s">
        <v>167</v>
      </c>
      <c r="D63" s="1515">
        <v>18.68</v>
      </c>
      <c r="E63" s="1507">
        <v>664.06</v>
      </c>
      <c r="F63" s="1508">
        <v>12404.64</v>
      </c>
      <c r="G63" s="1509">
        <v>0</v>
      </c>
      <c r="H63" s="1510">
        <f t="shared" si="6"/>
        <v>0</v>
      </c>
      <c r="I63" s="1128">
        <v>0</v>
      </c>
      <c r="J63" s="1129">
        <f t="shared" si="0"/>
        <v>0</v>
      </c>
      <c r="K63" s="1509">
        <f t="shared" si="12"/>
        <v>0</v>
      </c>
      <c r="L63" s="1534">
        <f t="shared" si="17"/>
        <v>0</v>
      </c>
      <c r="M63" s="1535">
        <f t="shared" si="13"/>
        <v>0</v>
      </c>
      <c r="N63" s="1536">
        <f t="shared" si="14"/>
        <v>18.68</v>
      </c>
      <c r="O63" s="1507">
        <f t="shared" si="15"/>
        <v>12404.64</v>
      </c>
      <c r="P63" s="1537">
        <f t="shared" si="16"/>
        <v>1</v>
      </c>
      <c r="Q63" s="1357">
        <v>8</v>
      </c>
      <c r="R63" s="1355"/>
      <c r="S63" s="1354"/>
      <c r="U63" s="1356">
        <f t="shared" si="8"/>
        <v>0</v>
      </c>
      <c r="W63" s="1355">
        <f t="shared" si="9"/>
        <v>0</v>
      </c>
    </row>
    <row r="64" spans="1:23" s="1356" customFormat="1" ht="13.2" x14ac:dyDescent="0.25">
      <c r="A64" s="1512" t="s">
        <v>614</v>
      </c>
      <c r="B64" s="1513" t="s">
        <v>1300</v>
      </c>
      <c r="C64" s="1514" t="s">
        <v>167</v>
      </c>
      <c r="D64" s="1515">
        <v>5.04</v>
      </c>
      <c r="E64" s="1507">
        <v>509.83</v>
      </c>
      <c r="F64" s="1508">
        <v>2569.54</v>
      </c>
      <c r="G64" s="1509">
        <v>0</v>
      </c>
      <c r="H64" s="1510">
        <f t="shared" si="6"/>
        <v>0</v>
      </c>
      <c r="I64" s="1128">
        <v>0</v>
      </c>
      <c r="J64" s="1129">
        <f t="shared" si="0"/>
        <v>0</v>
      </c>
      <c r="K64" s="1509">
        <f t="shared" si="12"/>
        <v>0</v>
      </c>
      <c r="L64" s="1534">
        <f t="shared" si="17"/>
        <v>0</v>
      </c>
      <c r="M64" s="1535">
        <f t="shared" si="13"/>
        <v>0</v>
      </c>
      <c r="N64" s="1536">
        <f t="shared" si="14"/>
        <v>5.04</v>
      </c>
      <c r="O64" s="1507">
        <f t="shared" si="15"/>
        <v>2569.54</v>
      </c>
      <c r="P64" s="1537">
        <f t="shared" si="16"/>
        <v>1</v>
      </c>
      <c r="Q64" s="1357">
        <v>9</v>
      </c>
      <c r="R64" s="1355"/>
      <c r="S64" s="1354"/>
      <c r="U64" s="1356">
        <f t="shared" si="8"/>
        <v>0</v>
      </c>
      <c r="W64" s="1355">
        <f t="shared" si="9"/>
        <v>0</v>
      </c>
    </row>
    <row r="65" spans="1:23" s="1008" customFormat="1" ht="13.2" x14ac:dyDescent="0.25">
      <c r="A65" s="1512" t="s">
        <v>1301</v>
      </c>
      <c r="B65" s="1513" t="s">
        <v>1302</v>
      </c>
      <c r="C65" s="1514" t="s">
        <v>168</v>
      </c>
      <c r="D65" s="1515">
        <v>13.2</v>
      </c>
      <c r="E65" s="1507">
        <v>39.35</v>
      </c>
      <c r="F65" s="1508">
        <v>519.41999999999996</v>
      </c>
      <c r="G65" s="1509">
        <v>0</v>
      </c>
      <c r="H65" s="1510">
        <f t="shared" si="6"/>
        <v>0</v>
      </c>
      <c r="I65" s="1128">
        <v>0</v>
      </c>
      <c r="J65" s="1129">
        <f t="shared" si="0"/>
        <v>0</v>
      </c>
      <c r="K65" s="1509">
        <f t="shared" si="12"/>
        <v>0</v>
      </c>
      <c r="L65" s="1534">
        <f t="shared" si="17"/>
        <v>0</v>
      </c>
      <c r="M65" s="1535">
        <f t="shared" si="13"/>
        <v>0</v>
      </c>
      <c r="N65" s="1536">
        <f t="shared" si="14"/>
        <v>13.2</v>
      </c>
      <c r="O65" s="1507">
        <f t="shared" si="15"/>
        <v>519.41999999999996</v>
      </c>
      <c r="P65" s="1537">
        <f t="shared" si="16"/>
        <v>1</v>
      </c>
      <c r="Q65" s="1130"/>
      <c r="R65" s="1131"/>
      <c r="S65" s="1130"/>
      <c r="U65" s="1008">
        <f t="shared" si="8"/>
        <v>0</v>
      </c>
      <c r="W65" s="1131">
        <f t="shared" si="9"/>
        <v>0</v>
      </c>
    </row>
    <row r="66" spans="1:23" s="1353" customFormat="1" ht="13.2" x14ac:dyDescent="0.25">
      <c r="A66" s="1512" t="s">
        <v>1303</v>
      </c>
      <c r="B66" s="1513" t="s">
        <v>1304</v>
      </c>
      <c r="C66" s="1514" t="s">
        <v>170</v>
      </c>
      <c r="D66" s="1515">
        <v>830.79</v>
      </c>
      <c r="E66" s="1507">
        <v>7.48</v>
      </c>
      <c r="F66" s="1508">
        <v>6214.31</v>
      </c>
      <c r="G66" s="1509">
        <v>0</v>
      </c>
      <c r="H66" s="1510">
        <f t="shared" si="6"/>
        <v>0</v>
      </c>
      <c r="I66" s="1128">
        <v>0</v>
      </c>
      <c r="J66" s="1129">
        <f t="shared" si="0"/>
        <v>0</v>
      </c>
      <c r="K66" s="1509">
        <f t="shared" si="12"/>
        <v>0</v>
      </c>
      <c r="L66" s="1534">
        <f t="shared" si="17"/>
        <v>0</v>
      </c>
      <c r="M66" s="1535">
        <f t="shared" si="13"/>
        <v>0</v>
      </c>
      <c r="N66" s="1536">
        <f t="shared" si="14"/>
        <v>830.79</v>
      </c>
      <c r="O66" s="1507">
        <f t="shared" si="15"/>
        <v>6214.31</v>
      </c>
      <c r="P66" s="1537">
        <f t="shared" si="16"/>
        <v>1</v>
      </c>
      <c r="Q66" s="1351">
        <v>6</v>
      </c>
      <c r="R66" s="1352"/>
      <c r="S66" s="1351"/>
      <c r="U66" s="1353">
        <f t="shared" si="8"/>
        <v>0</v>
      </c>
      <c r="W66" s="1352">
        <f t="shared" si="9"/>
        <v>0</v>
      </c>
    </row>
    <row r="67" spans="1:23" s="1008" customFormat="1" ht="13.2" x14ac:dyDescent="0.25">
      <c r="A67" s="1503">
        <v>1.06</v>
      </c>
      <c r="B67" s="1511" t="s">
        <v>1305</v>
      </c>
      <c r="C67" s="1505"/>
      <c r="D67" s="1515"/>
      <c r="E67" s="1507"/>
      <c r="F67" s="1508"/>
      <c r="G67" s="1509"/>
      <c r="H67" s="1510">
        <f t="shared" si="6"/>
        <v>0</v>
      </c>
      <c r="I67" s="1128"/>
      <c r="J67" s="1129"/>
      <c r="K67" s="1509"/>
      <c r="L67" s="1534"/>
      <c r="M67" s="1535"/>
      <c r="N67" s="1536"/>
      <c r="O67" s="1507"/>
      <c r="P67" s="1537"/>
      <c r="Q67" s="1130"/>
      <c r="R67" s="1131"/>
      <c r="S67" s="1130"/>
      <c r="U67" s="1008" t="e">
        <f t="shared" si="8"/>
        <v>#DIV/0!</v>
      </c>
      <c r="W67" s="1131" t="e">
        <f t="shared" si="9"/>
        <v>#DIV/0!</v>
      </c>
    </row>
    <row r="68" spans="1:23" s="1008" customFormat="1" ht="13.2" x14ac:dyDescent="0.25">
      <c r="A68" s="1740" t="s">
        <v>1306</v>
      </c>
      <c r="B68" s="1741" t="s">
        <v>1307</v>
      </c>
      <c r="C68" s="1742" t="s">
        <v>1308</v>
      </c>
      <c r="D68" s="1743">
        <v>382.46600000000001</v>
      </c>
      <c r="E68" s="1744">
        <v>13214.87</v>
      </c>
      <c r="F68" s="1745">
        <v>5054238.47</v>
      </c>
      <c r="G68" s="1746">
        <f>57.52+103.87+112.24+78.24</f>
        <v>351.87</v>
      </c>
      <c r="H68" s="1747">
        <f t="shared" si="6"/>
        <v>4649916.3069000002</v>
      </c>
      <c r="I68" s="1128">
        <v>0</v>
      </c>
      <c r="J68" s="1129">
        <f t="shared" si="0"/>
        <v>0</v>
      </c>
      <c r="K68" s="1746">
        <f t="shared" si="12"/>
        <v>351.87</v>
      </c>
      <c r="L68" s="1748">
        <f t="shared" si="17"/>
        <v>4649916.3099999996</v>
      </c>
      <c r="M68" s="1749">
        <f t="shared" si="13"/>
        <v>0.92000334670271344</v>
      </c>
      <c r="N68" s="1750">
        <f t="shared" si="14"/>
        <v>30.6</v>
      </c>
      <c r="O68" s="1744">
        <f t="shared" si="15"/>
        <v>404322.16</v>
      </c>
      <c r="P68" s="1751">
        <f t="shared" si="16"/>
        <v>8.0007111743266066E-2</v>
      </c>
      <c r="Q68" s="1130"/>
      <c r="R68" s="1131"/>
      <c r="S68" s="1130"/>
      <c r="U68" s="1008">
        <f t="shared" si="8"/>
        <v>351.87</v>
      </c>
      <c r="W68" s="1131">
        <f t="shared" si="9"/>
        <v>-351.87</v>
      </c>
    </row>
    <row r="69" spans="1:23" s="1008" customFormat="1" ht="13.2" x14ac:dyDescent="0.25">
      <c r="A69" s="1512" t="s">
        <v>616</v>
      </c>
      <c r="B69" s="1513" t="s">
        <v>1309</v>
      </c>
      <c r="C69" s="1514" t="s">
        <v>1308</v>
      </c>
      <c r="D69" s="1515">
        <v>382.46600000000001</v>
      </c>
      <c r="E69" s="1507">
        <v>1199.0999999999999</v>
      </c>
      <c r="F69" s="1508">
        <v>458614.98</v>
      </c>
      <c r="G69" s="1509">
        <v>0</v>
      </c>
      <c r="H69" s="1510">
        <f t="shared" si="6"/>
        <v>0</v>
      </c>
      <c r="I69" s="1128">
        <v>0</v>
      </c>
      <c r="J69" s="1129">
        <f t="shared" si="0"/>
        <v>0</v>
      </c>
      <c r="K69" s="1509">
        <f t="shared" si="12"/>
        <v>0</v>
      </c>
      <c r="L69" s="1534">
        <f t="shared" si="17"/>
        <v>0</v>
      </c>
      <c r="M69" s="1535">
        <f t="shared" si="13"/>
        <v>0</v>
      </c>
      <c r="N69" s="1536">
        <f t="shared" si="14"/>
        <v>382.47</v>
      </c>
      <c r="O69" s="1507">
        <f t="shared" si="15"/>
        <v>458614.98</v>
      </c>
      <c r="P69" s="1537">
        <f t="shared" si="16"/>
        <v>1.0000104584459795</v>
      </c>
      <c r="Q69" s="1130"/>
      <c r="R69" s="1131"/>
      <c r="S69" s="1130"/>
      <c r="U69" s="1008">
        <f t="shared" si="8"/>
        <v>0</v>
      </c>
      <c r="W69" s="1131">
        <f t="shared" si="9"/>
        <v>0</v>
      </c>
    </row>
    <row r="70" spans="1:23" s="1008" customFormat="1" ht="13.2" x14ac:dyDescent="0.25">
      <c r="A70" s="1512" t="s">
        <v>617</v>
      </c>
      <c r="B70" s="1513" t="s">
        <v>1310</v>
      </c>
      <c r="C70" s="1514" t="s">
        <v>1308</v>
      </c>
      <c r="D70" s="1515">
        <v>382.46600000000001</v>
      </c>
      <c r="E70" s="1507">
        <v>1698.15</v>
      </c>
      <c r="F70" s="1508">
        <v>649484.64</v>
      </c>
      <c r="G70" s="1509">
        <v>0</v>
      </c>
      <c r="H70" s="1510">
        <f t="shared" si="6"/>
        <v>0</v>
      </c>
      <c r="I70" s="1128">
        <v>0</v>
      </c>
      <c r="J70" s="1129">
        <f t="shared" si="0"/>
        <v>0</v>
      </c>
      <c r="K70" s="1509">
        <f t="shared" si="12"/>
        <v>0</v>
      </c>
      <c r="L70" s="1534">
        <f t="shared" si="17"/>
        <v>0</v>
      </c>
      <c r="M70" s="1535">
        <f t="shared" si="13"/>
        <v>0</v>
      </c>
      <c r="N70" s="1536">
        <f t="shared" si="14"/>
        <v>382.47</v>
      </c>
      <c r="O70" s="1507">
        <f t="shared" si="15"/>
        <v>649484.64</v>
      </c>
      <c r="P70" s="1537">
        <f t="shared" si="16"/>
        <v>1.0000104584459795</v>
      </c>
      <c r="Q70" s="1130"/>
      <c r="R70" s="1131"/>
      <c r="S70" s="1130"/>
      <c r="U70" s="1008">
        <f t="shared" si="8"/>
        <v>0</v>
      </c>
      <c r="W70" s="1131">
        <f t="shared" si="9"/>
        <v>0</v>
      </c>
    </row>
    <row r="71" spans="1:23" s="1008" customFormat="1" ht="13.2" x14ac:dyDescent="0.25">
      <c r="A71" s="1512" t="s">
        <v>618</v>
      </c>
      <c r="B71" s="1513" t="s">
        <v>1311</v>
      </c>
      <c r="C71" s="1514" t="s">
        <v>1308</v>
      </c>
      <c r="D71" s="1515">
        <v>382.46600000000001</v>
      </c>
      <c r="E71" s="1507">
        <v>4884.0200000000004</v>
      </c>
      <c r="F71" s="1508">
        <v>1867971.59</v>
      </c>
      <c r="G71" s="1509">
        <v>0</v>
      </c>
      <c r="H71" s="1510">
        <f t="shared" si="6"/>
        <v>0</v>
      </c>
      <c r="I71" s="1128">
        <v>0</v>
      </c>
      <c r="J71" s="1129">
        <f t="shared" si="0"/>
        <v>0</v>
      </c>
      <c r="K71" s="1509">
        <f t="shared" si="12"/>
        <v>0</v>
      </c>
      <c r="L71" s="1534">
        <f t="shared" si="17"/>
        <v>0</v>
      </c>
      <c r="M71" s="1535">
        <f t="shared" si="13"/>
        <v>0</v>
      </c>
      <c r="N71" s="1536">
        <f t="shared" si="14"/>
        <v>382.47</v>
      </c>
      <c r="O71" s="1507">
        <f t="shared" si="15"/>
        <v>1867971.59</v>
      </c>
      <c r="P71" s="1537">
        <f t="shared" si="16"/>
        <v>1.0000104584459795</v>
      </c>
      <c r="Q71" s="1130"/>
      <c r="R71" s="1131"/>
      <c r="S71" s="1130"/>
      <c r="U71" s="1008">
        <f t="shared" si="8"/>
        <v>0</v>
      </c>
      <c r="W71" s="1131">
        <f t="shared" si="9"/>
        <v>0</v>
      </c>
    </row>
    <row r="72" spans="1:23" s="1008" customFormat="1" ht="13.2" x14ac:dyDescent="0.25">
      <c r="A72" s="1503">
        <v>1.07</v>
      </c>
      <c r="B72" s="1511" t="s">
        <v>1312</v>
      </c>
      <c r="C72" s="1505"/>
      <c r="D72" s="1515"/>
      <c r="E72" s="1507"/>
      <c r="F72" s="1508"/>
      <c r="G72" s="1509"/>
      <c r="H72" s="1510"/>
      <c r="I72" s="1128"/>
      <c r="J72" s="1129"/>
      <c r="K72" s="1509"/>
      <c r="L72" s="1534"/>
      <c r="M72" s="1535"/>
      <c r="N72" s="1536"/>
      <c r="O72" s="1507"/>
      <c r="P72" s="1537"/>
      <c r="Q72" s="1130"/>
      <c r="R72" s="1131"/>
      <c r="S72" s="1130"/>
      <c r="U72" s="1008" t="e">
        <f t="shared" si="8"/>
        <v>#DIV/0!</v>
      </c>
      <c r="W72" s="1131" t="e">
        <f t="shared" si="9"/>
        <v>#DIV/0!</v>
      </c>
    </row>
    <row r="73" spans="1:23" s="1008" customFormat="1" ht="13.2" x14ac:dyDescent="0.25">
      <c r="A73" s="1512" t="s">
        <v>620</v>
      </c>
      <c r="B73" s="1513" t="s">
        <v>1313</v>
      </c>
      <c r="C73" s="1514" t="s">
        <v>99</v>
      </c>
      <c r="D73" s="1515">
        <v>57.2</v>
      </c>
      <c r="E73" s="1507">
        <v>8.58</v>
      </c>
      <c r="F73" s="1508">
        <v>490.78</v>
      </c>
      <c r="G73" s="1509">
        <v>0</v>
      </c>
      <c r="H73" s="1510">
        <f t="shared" si="6"/>
        <v>0</v>
      </c>
      <c r="I73" s="1128">
        <v>0</v>
      </c>
      <c r="J73" s="1129">
        <f t="shared" si="0"/>
        <v>0</v>
      </c>
      <c r="K73" s="1509">
        <f t="shared" si="12"/>
        <v>0</v>
      </c>
      <c r="L73" s="1534">
        <f t="shared" si="17"/>
        <v>0</v>
      </c>
      <c r="M73" s="1535">
        <f t="shared" si="13"/>
        <v>0</v>
      </c>
      <c r="N73" s="1536">
        <f t="shared" si="14"/>
        <v>57.2</v>
      </c>
      <c r="O73" s="1507">
        <f t="shared" si="15"/>
        <v>490.78</v>
      </c>
      <c r="P73" s="1537">
        <f t="shared" si="16"/>
        <v>1</v>
      </c>
      <c r="Q73" s="1130"/>
      <c r="R73" s="1131"/>
      <c r="S73" s="1130"/>
      <c r="U73" s="1008">
        <f t="shared" si="8"/>
        <v>0</v>
      </c>
      <c r="W73" s="1131">
        <f t="shared" si="9"/>
        <v>0</v>
      </c>
    </row>
    <row r="74" spans="1:23" s="1356" customFormat="1" ht="13.2" x14ac:dyDescent="0.25">
      <c r="A74" s="1512" t="s">
        <v>621</v>
      </c>
      <c r="B74" s="1513" t="s">
        <v>1314</v>
      </c>
      <c r="C74" s="1514" t="s">
        <v>99</v>
      </c>
      <c r="D74" s="1515">
        <v>220</v>
      </c>
      <c r="E74" s="1507">
        <v>19.8</v>
      </c>
      <c r="F74" s="1508">
        <v>4356</v>
      </c>
      <c r="G74" s="1509">
        <v>0</v>
      </c>
      <c r="H74" s="1510">
        <f t="shared" si="6"/>
        <v>0</v>
      </c>
      <c r="I74" s="1128">
        <v>0</v>
      </c>
      <c r="J74" s="1129">
        <f t="shared" si="0"/>
        <v>0</v>
      </c>
      <c r="K74" s="1509">
        <f t="shared" si="12"/>
        <v>0</v>
      </c>
      <c r="L74" s="1534">
        <f t="shared" si="17"/>
        <v>0</v>
      </c>
      <c r="M74" s="1535">
        <f t="shared" si="13"/>
        <v>0</v>
      </c>
      <c r="N74" s="1536">
        <f t="shared" si="14"/>
        <v>220</v>
      </c>
      <c r="O74" s="1507">
        <f t="shared" si="15"/>
        <v>4356</v>
      </c>
      <c r="P74" s="1537">
        <f t="shared" si="16"/>
        <v>1</v>
      </c>
      <c r="Q74" s="1357">
        <v>10</v>
      </c>
      <c r="R74" s="1355"/>
      <c r="S74" s="1354"/>
      <c r="U74" s="1356">
        <f t="shared" si="8"/>
        <v>0</v>
      </c>
      <c r="W74" s="1355">
        <f t="shared" si="9"/>
        <v>0</v>
      </c>
    </row>
    <row r="75" spans="1:23" s="1356" customFormat="1" ht="13.2" x14ac:dyDescent="0.25">
      <c r="A75" s="1512" t="s">
        <v>622</v>
      </c>
      <c r="B75" s="1513" t="s">
        <v>1315</v>
      </c>
      <c r="C75" s="1514" t="s">
        <v>167</v>
      </c>
      <c r="D75" s="1515">
        <v>40.840000000000003</v>
      </c>
      <c r="E75" s="1507">
        <v>664.06</v>
      </c>
      <c r="F75" s="1508">
        <v>27120.21</v>
      </c>
      <c r="G75" s="1509">
        <v>0</v>
      </c>
      <c r="H75" s="1510">
        <f t="shared" si="6"/>
        <v>0</v>
      </c>
      <c r="I75" s="1128">
        <v>0</v>
      </c>
      <c r="J75" s="1129">
        <f t="shared" si="0"/>
        <v>0</v>
      </c>
      <c r="K75" s="1509">
        <f t="shared" si="12"/>
        <v>0</v>
      </c>
      <c r="L75" s="1534">
        <f t="shared" si="17"/>
        <v>0</v>
      </c>
      <c r="M75" s="1535">
        <f t="shared" si="13"/>
        <v>0</v>
      </c>
      <c r="N75" s="1536">
        <f t="shared" si="14"/>
        <v>40.840000000000003</v>
      </c>
      <c r="O75" s="1507">
        <f t="shared" si="15"/>
        <v>27120.21</v>
      </c>
      <c r="P75" s="1537">
        <f t="shared" si="16"/>
        <v>1</v>
      </c>
      <c r="Q75" s="1357">
        <v>11</v>
      </c>
      <c r="R75" s="1355"/>
      <c r="S75" s="1354"/>
      <c r="U75" s="1356">
        <f t="shared" si="8"/>
        <v>0</v>
      </c>
      <c r="W75" s="1355">
        <f t="shared" si="9"/>
        <v>0</v>
      </c>
    </row>
    <row r="76" spans="1:23" s="1008" customFormat="1" ht="13.2" x14ac:dyDescent="0.25">
      <c r="A76" s="1512" t="s">
        <v>623</v>
      </c>
      <c r="B76" s="1513" t="s">
        <v>1316</v>
      </c>
      <c r="C76" s="1514"/>
      <c r="D76" s="1515"/>
      <c r="E76" s="1507"/>
      <c r="F76" s="1508"/>
      <c r="G76" s="1509"/>
      <c r="H76" s="1510"/>
      <c r="I76" s="1128"/>
      <c r="J76" s="1129"/>
      <c r="K76" s="1509"/>
      <c r="L76" s="1534"/>
      <c r="M76" s="1535"/>
      <c r="N76" s="1536"/>
      <c r="O76" s="1507"/>
      <c r="P76" s="1537"/>
      <c r="Q76" s="1130"/>
      <c r="R76" s="1131"/>
      <c r="S76" s="1130"/>
      <c r="U76" s="1008" t="e">
        <f t="shared" si="8"/>
        <v>#DIV/0!</v>
      </c>
      <c r="W76" s="1131" t="e">
        <f t="shared" si="9"/>
        <v>#DIV/0!</v>
      </c>
    </row>
    <row r="77" spans="1:23" s="1356" customFormat="1" ht="13.2" x14ac:dyDescent="0.25">
      <c r="A77" s="1512" t="s">
        <v>624</v>
      </c>
      <c r="B77" s="1513" t="s">
        <v>1317</v>
      </c>
      <c r="C77" s="1514" t="s">
        <v>167</v>
      </c>
      <c r="D77" s="1515">
        <v>51.92</v>
      </c>
      <c r="E77" s="1507">
        <v>664.08</v>
      </c>
      <c r="F77" s="1508">
        <v>34478</v>
      </c>
      <c r="G77" s="1509">
        <v>0</v>
      </c>
      <c r="H77" s="1510">
        <f t="shared" si="6"/>
        <v>0</v>
      </c>
      <c r="I77" s="1128">
        <v>0</v>
      </c>
      <c r="J77" s="1129">
        <f t="shared" si="0"/>
        <v>0</v>
      </c>
      <c r="K77" s="1509">
        <f t="shared" si="12"/>
        <v>0</v>
      </c>
      <c r="L77" s="1534">
        <f t="shared" si="17"/>
        <v>0</v>
      </c>
      <c r="M77" s="1535">
        <f t="shared" si="13"/>
        <v>0</v>
      </c>
      <c r="N77" s="1536">
        <f t="shared" si="14"/>
        <v>51.92</v>
      </c>
      <c r="O77" s="1507">
        <f t="shared" si="15"/>
        <v>34478</v>
      </c>
      <c r="P77" s="1537">
        <f t="shared" si="16"/>
        <v>1</v>
      </c>
      <c r="Q77" s="1357">
        <v>12</v>
      </c>
      <c r="R77" s="1355"/>
      <c r="S77" s="1354"/>
      <c r="U77" s="1356">
        <f t="shared" si="8"/>
        <v>0</v>
      </c>
      <c r="W77" s="1355">
        <f t="shared" si="9"/>
        <v>0</v>
      </c>
    </row>
    <row r="78" spans="1:23" s="1008" customFormat="1" ht="13.2" x14ac:dyDescent="0.25">
      <c r="A78" s="1512" t="s">
        <v>625</v>
      </c>
      <c r="B78" s="1513" t="s">
        <v>1318</v>
      </c>
      <c r="C78" s="1514" t="s">
        <v>168</v>
      </c>
      <c r="D78" s="1515">
        <v>438.96</v>
      </c>
      <c r="E78" s="1507">
        <v>75.239999999999995</v>
      </c>
      <c r="F78" s="1508">
        <v>33027.35</v>
      </c>
      <c r="G78" s="1509">
        <v>0</v>
      </c>
      <c r="H78" s="1510">
        <f t="shared" si="6"/>
        <v>0</v>
      </c>
      <c r="I78" s="1128">
        <v>0</v>
      </c>
      <c r="J78" s="1129">
        <f t="shared" si="0"/>
        <v>0</v>
      </c>
      <c r="K78" s="1509">
        <f t="shared" si="12"/>
        <v>0</v>
      </c>
      <c r="L78" s="1534">
        <f t="shared" si="17"/>
        <v>0</v>
      </c>
      <c r="M78" s="1535">
        <f t="shared" si="13"/>
        <v>0</v>
      </c>
      <c r="N78" s="1536">
        <f t="shared" si="14"/>
        <v>438.96</v>
      </c>
      <c r="O78" s="1507">
        <f t="shared" si="15"/>
        <v>33027.35</v>
      </c>
      <c r="P78" s="1537">
        <f t="shared" si="16"/>
        <v>1</v>
      </c>
      <c r="Q78" s="1130"/>
      <c r="R78" s="1131"/>
      <c r="S78" s="1130"/>
      <c r="U78" s="1008">
        <f t="shared" si="8"/>
        <v>0</v>
      </c>
      <c r="W78" s="1131">
        <f t="shared" si="9"/>
        <v>0</v>
      </c>
    </row>
    <row r="79" spans="1:23" s="1353" customFormat="1" ht="13.2" x14ac:dyDescent="0.25">
      <c r="A79" s="1512" t="s">
        <v>1319</v>
      </c>
      <c r="B79" s="1513" t="s">
        <v>1320</v>
      </c>
      <c r="C79" s="1514" t="s">
        <v>170</v>
      </c>
      <c r="D79" s="1515">
        <v>3498.09</v>
      </c>
      <c r="E79" s="1507">
        <v>7.48</v>
      </c>
      <c r="F79" s="1508">
        <v>26165.71</v>
      </c>
      <c r="G79" s="1509">
        <v>0</v>
      </c>
      <c r="H79" s="1510">
        <f t="shared" si="6"/>
        <v>0</v>
      </c>
      <c r="I79" s="1128">
        <v>0</v>
      </c>
      <c r="J79" s="1129">
        <f t="shared" si="0"/>
        <v>0</v>
      </c>
      <c r="K79" s="1509">
        <f t="shared" si="12"/>
        <v>0</v>
      </c>
      <c r="L79" s="1534">
        <f t="shared" si="17"/>
        <v>0</v>
      </c>
      <c r="M79" s="1535">
        <f t="shared" si="13"/>
        <v>0</v>
      </c>
      <c r="N79" s="1536">
        <f t="shared" si="14"/>
        <v>3498.09</v>
      </c>
      <c r="O79" s="1507">
        <f t="shared" si="15"/>
        <v>26165.71</v>
      </c>
      <c r="P79" s="1537">
        <f t="shared" si="16"/>
        <v>1</v>
      </c>
      <c r="Q79" s="1351">
        <v>7</v>
      </c>
      <c r="R79" s="1352"/>
      <c r="S79" s="1351"/>
      <c r="U79" s="1353">
        <f t="shared" si="8"/>
        <v>0</v>
      </c>
      <c r="W79" s="1352">
        <f t="shared" si="9"/>
        <v>0</v>
      </c>
    </row>
    <row r="80" spans="1:23" s="1008" customFormat="1" ht="13.2" x14ac:dyDescent="0.25">
      <c r="A80" s="1512" t="s">
        <v>626</v>
      </c>
      <c r="B80" s="1513" t="s">
        <v>1321</v>
      </c>
      <c r="C80" s="1514" t="s">
        <v>221</v>
      </c>
      <c r="D80" s="1515">
        <v>44</v>
      </c>
      <c r="E80" s="1507">
        <v>3450</v>
      </c>
      <c r="F80" s="1508">
        <v>151800</v>
      </c>
      <c r="G80" s="1509">
        <v>0</v>
      </c>
      <c r="H80" s="1510">
        <f t="shared" si="6"/>
        <v>0</v>
      </c>
      <c r="I80" s="1128">
        <v>0</v>
      </c>
      <c r="J80" s="1129">
        <f t="shared" si="0"/>
        <v>0</v>
      </c>
      <c r="K80" s="1509">
        <f t="shared" si="12"/>
        <v>0</v>
      </c>
      <c r="L80" s="1534">
        <f t="shared" si="17"/>
        <v>0</v>
      </c>
      <c r="M80" s="1535">
        <f t="shared" si="13"/>
        <v>0</v>
      </c>
      <c r="N80" s="1536">
        <f t="shared" si="14"/>
        <v>44</v>
      </c>
      <c r="O80" s="1507">
        <f t="shared" si="15"/>
        <v>151800</v>
      </c>
      <c r="P80" s="1537">
        <f t="shared" si="16"/>
        <v>1</v>
      </c>
      <c r="Q80" s="1130"/>
      <c r="R80" s="1131"/>
      <c r="S80" s="1130"/>
      <c r="U80" s="1008">
        <f t="shared" si="8"/>
        <v>0</v>
      </c>
      <c r="W80" s="1131">
        <f t="shared" si="9"/>
        <v>0</v>
      </c>
    </row>
    <row r="81" spans="1:23" s="1353" customFormat="1" ht="13.2" x14ac:dyDescent="0.25">
      <c r="A81" s="1512" t="s">
        <v>627</v>
      </c>
      <c r="B81" s="1513" t="s">
        <v>1322</v>
      </c>
      <c r="C81" s="1514" t="s">
        <v>99</v>
      </c>
      <c r="D81" s="1515">
        <v>45.2</v>
      </c>
      <c r="E81" s="1507">
        <v>982.8</v>
      </c>
      <c r="F81" s="1508">
        <v>44422.559999999998</v>
      </c>
      <c r="G81" s="1509">
        <v>0</v>
      </c>
      <c r="H81" s="1510">
        <f t="shared" si="6"/>
        <v>0</v>
      </c>
      <c r="I81" s="1128">
        <v>0</v>
      </c>
      <c r="J81" s="1129">
        <f t="shared" si="0"/>
        <v>0</v>
      </c>
      <c r="K81" s="1509">
        <f t="shared" si="12"/>
        <v>0</v>
      </c>
      <c r="L81" s="1534">
        <f t="shared" si="17"/>
        <v>0</v>
      </c>
      <c r="M81" s="1535">
        <f t="shared" si="13"/>
        <v>0</v>
      </c>
      <c r="N81" s="1536">
        <f t="shared" si="14"/>
        <v>45.2</v>
      </c>
      <c r="O81" s="1507">
        <f t="shared" si="15"/>
        <v>44422.559999999998</v>
      </c>
      <c r="P81" s="1537">
        <f t="shared" si="16"/>
        <v>1</v>
      </c>
      <c r="Q81" s="1351">
        <v>8</v>
      </c>
      <c r="R81" s="1352"/>
      <c r="S81" s="1351"/>
      <c r="U81" s="1353">
        <f t="shared" si="8"/>
        <v>0</v>
      </c>
      <c r="W81" s="1352">
        <f t="shared" si="9"/>
        <v>0</v>
      </c>
    </row>
    <row r="82" spans="1:23" s="1008" customFormat="1" ht="13.2" x14ac:dyDescent="0.25">
      <c r="A82" s="1512" t="s">
        <v>628</v>
      </c>
      <c r="B82" s="1513" t="s">
        <v>1323</v>
      </c>
      <c r="C82" s="1514" t="s">
        <v>221</v>
      </c>
      <c r="D82" s="1515">
        <v>16</v>
      </c>
      <c r="E82" s="1507">
        <v>7190.59</v>
      </c>
      <c r="F82" s="1508">
        <v>115049.44</v>
      </c>
      <c r="G82" s="1509">
        <v>0</v>
      </c>
      <c r="H82" s="1510">
        <f t="shared" si="6"/>
        <v>0</v>
      </c>
      <c r="I82" s="1128">
        <v>0</v>
      </c>
      <c r="J82" s="1129">
        <f t="shared" si="0"/>
        <v>0</v>
      </c>
      <c r="K82" s="1509">
        <f t="shared" si="12"/>
        <v>0</v>
      </c>
      <c r="L82" s="1534">
        <f t="shared" si="17"/>
        <v>0</v>
      </c>
      <c r="M82" s="1535">
        <f t="shared" si="13"/>
        <v>0</v>
      </c>
      <c r="N82" s="1536">
        <f t="shared" si="14"/>
        <v>16</v>
      </c>
      <c r="O82" s="1507">
        <f t="shared" si="15"/>
        <v>115049.44</v>
      </c>
      <c r="P82" s="1537">
        <f t="shared" si="16"/>
        <v>1</v>
      </c>
      <c r="Q82" s="1130"/>
      <c r="R82" s="1131"/>
      <c r="S82" s="1130"/>
      <c r="U82" s="1008">
        <f t="shared" si="8"/>
        <v>0</v>
      </c>
      <c r="W82" s="1131">
        <f t="shared" si="9"/>
        <v>0</v>
      </c>
    </row>
    <row r="83" spans="1:23" s="1008" customFormat="1" ht="13.2" x14ac:dyDescent="0.25">
      <c r="A83" s="1512" t="s">
        <v>629</v>
      </c>
      <c r="B83" s="1513" t="s">
        <v>1324</v>
      </c>
      <c r="C83" s="1514" t="s">
        <v>221</v>
      </c>
      <c r="D83" s="1515">
        <v>4</v>
      </c>
      <c r="E83" s="1507">
        <v>7190.59</v>
      </c>
      <c r="F83" s="1508">
        <v>28762.36</v>
      </c>
      <c r="G83" s="1509">
        <v>0</v>
      </c>
      <c r="H83" s="1510">
        <f t="shared" si="6"/>
        <v>0</v>
      </c>
      <c r="I83" s="1128">
        <v>0</v>
      </c>
      <c r="J83" s="1129">
        <f t="shared" ref="J83:J120" si="18">ROUND($E83*I83,2)</f>
        <v>0</v>
      </c>
      <c r="K83" s="1509">
        <f t="shared" si="12"/>
        <v>0</v>
      </c>
      <c r="L83" s="1534">
        <f t="shared" si="17"/>
        <v>0</v>
      </c>
      <c r="M83" s="1535">
        <f t="shared" si="13"/>
        <v>0</v>
      </c>
      <c r="N83" s="1536">
        <f t="shared" si="14"/>
        <v>4</v>
      </c>
      <c r="O83" s="1507">
        <f t="shared" si="15"/>
        <v>28762.36</v>
      </c>
      <c r="P83" s="1537">
        <f t="shared" si="16"/>
        <v>1</v>
      </c>
      <c r="Q83" s="1130"/>
      <c r="R83" s="1131"/>
      <c r="S83" s="1130"/>
      <c r="U83" s="1008">
        <f t="shared" si="8"/>
        <v>0</v>
      </c>
      <c r="W83" s="1131">
        <f t="shared" si="9"/>
        <v>0</v>
      </c>
    </row>
    <row r="84" spans="1:23" s="1008" customFormat="1" ht="13.2" x14ac:dyDescent="0.25">
      <c r="A84" s="1512" t="s">
        <v>630</v>
      </c>
      <c r="B84" s="1513" t="s">
        <v>1325</v>
      </c>
      <c r="C84" s="1514" t="s">
        <v>99</v>
      </c>
      <c r="D84" s="1515">
        <v>220</v>
      </c>
      <c r="E84" s="1507">
        <v>48.3</v>
      </c>
      <c r="F84" s="1508">
        <v>10626</v>
      </c>
      <c r="G84" s="1509">
        <v>0</v>
      </c>
      <c r="H84" s="1510">
        <f t="shared" ref="H84:H120" si="19">+G84*E84</f>
        <v>0</v>
      </c>
      <c r="I84" s="1128">
        <v>0</v>
      </c>
      <c r="J84" s="1129">
        <f t="shared" si="18"/>
        <v>0</v>
      </c>
      <c r="K84" s="1509">
        <f t="shared" si="12"/>
        <v>0</v>
      </c>
      <c r="L84" s="1534">
        <f t="shared" si="17"/>
        <v>0</v>
      </c>
      <c r="M84" s="1535">
        <f t="shared" si="13"/>
        <v>0</v>
      </c>
      <c r="N84" s="1536">
        <f t="shared" si="14"/>
        <v>220</v>
      </c>
      <c r="O84" s="1507">
        <f t="shared" si="15"/>
        <v>10626</v>
      </c>
      <c r="P84" s="1537">
        <f t="shared" si="16"/>
        <v>1</v>
      </c>
      <c r="Q84" s="1130"/>
      <c r="R84" s="1131"/>
      <c r="S84" s="1130"/>
      <c r="U84" s="1008">
        <f t="shared" ref="U84:U131" si="20">+H84/E84</f>
        <v>0</v>
      </c>
      <c r="W84" s="1131">
        <f t="shared" ref="W84:W120" si="21">+S84-U84</f>
        <v>0</v>
      </c>
    </row>
    <row r="85" spans="1:23" s="1008" customFormat="1" ht="13.2" x14ac:dyDescent="0.25">
      <c r="A85" s="1512" t="s">
        <v>631</v>
      </c>
      <c r="B85" s="1513" t="s">
        <v>1326</v>
      </c>
      <c r="C85" s="1514" t="s">
        <v>221</v>
      </c>
      <c r="D85" s="1515">
        <v>32</v>
      </c>
      <c r="E85" s="1507">
        <v>536.6</v>
      </c>
      <c r="F85" s="1508">
        <v>17171.2</v>
      </c>
      <c r="G85" s="1509">
        <v>0</v>
      </c>
      <c r="H85" s="1510">
        <f t="shared" si="19"/>
        <v>0</v>
      </c>
      <c r="I85" s="1128">
        <v>0</v>
      </c>
      <c r="J85" s="1129">
        <f t="shared" si="18"/>
        <v>0</v>
      </c>
      <c r="K85" s="1509">
        <f t="shared" si="12"/>
        <v>0</v>
      </c>
      <c r="L85" s="1534">
        <f t="shared" si="17"/>
        <v>0</v>
      </c>
      <c r="M85" s="1535">
        <f t="shared" si="13"/>
        <v>0</v>
      </c>
      <c r="N85" s="1536">
        <f t="shared" si="14"/>
        <v>32</v>
      </c>
      <c r="O85" s="1507">
        <f t="shared" si="15"/>
        <v>17171.2</v>
      </c>
      <c r="P85" s="1537">
        <f t="shared" si="16"/>
        <v>1</v>
      </c>
      <c r="Q85" s="1130"/>
      <c r="R85" s="1131"/>
      <c r="S85" s="1130"/>
      <c r="U85" s="1008">
        <f t="shared" si="20"/>
        <v>0</v>
      </c>
      <c r="W85" s="1131">
        <f t="shared" si="21"/>
        <v>0</v>
      </c>
    </row>
    <row r="86" spans="1:23" s="1008" customFormat="1" ht="13.2" x14ac:dyDescent="0.25">
      <c r="A86" s="1503">
        <v>1.08</v>
      </c>
      <c r="B86" s="1511" t="s">
        <v>1327</v>
      </c>
      <c r="C86" s="1505"/>
      <c r="D86" s="1515"/>
      <c r="E86" s="1507"/>
      <c r="F86" s="1508"/>
      <c r="G86" s="1509"/>
      <c r="H86" s="1510"/>
      <c r="I86" s="1128"/>
      <c r="J86" s="1129"/>
      <c r="K86" s="1509"/>
      <c r="L86" s="1534"/>
      <c r="M86" s="1535"/>
      <c r="N86" s="1536"/>
      <c r="O86" s="1507"/>
      <c r="P86" s="1537"/>
      <c r="Q86" s="1130"/>
      <c r="R86" s="1131"/>
      <c r="S86" s="1130"/>
      <c r="U86" s="1008" t="e">
        <f t="shared" si="20"/>
        <v>#DIV/0!</v>
      </c>
      <c r="W86" s="1131" t="e">
        <f t="shared" si="21"/>
        <v>#DIV/0!</v>
      </c>
    </row>
    <row r="87" spans="1:23" s="1008" customFormat="1" ht="13.2" x14ac:dyDescent="0.25">
      <c r="A87" s="1554" t="s">
        <v>632</v>
      </c>
      <c r="B87" s="1555" t="s">
        <v>1328</v>
      </c>
      <c r="C87" s="1556" t="s">
        <v>221</v>
      </c>
      <c r="D87" s="1557">
        <v>50</v>
      </c>
      <c r="E87" s="1558">
        <v>33.9</v>
      </c>
      <c r="F87" s="1559">
        <v>1695</v>
      </c>
      <c r="G87" s="1560">
        <v>3</v>
      </c>
      <c r="H87" s="1561">
        <f t="shared" si="19"/>
        <v>101.69999999999999</v>
      </c>
      <c r="I87" s="1562">
        <v>6</v>
      </c>
      <c r="J87" s="1561">
        <f t="shared" si="18"/>
        <v>203.4</v>
      </c>
      <c r="K87" s="1560">
        <f t="shared" si="12"/>
        <v>9</v>
      </c>
      <c r="L87" s="1563">
        <f t="shared" si="17"/>
        <v>305.10000000000002</v>
      </c>
      <c r="M87" s="1564">
        <f t="shared" si="13"/>
        <v>0.18</v>
      </c>
      <c r="N87" s="1565">
        <f t="shared" si="14"/>
        <v>41</v>
      </c>
      <c r="O87" s="1558">
        <f t="shared" si="15"/>
        <v>1389.9</v>
      </c>
      <c r="P87" s="1566">
        <f t="shared" si="16"/>
        <v>0.82</v>
      </c>
      <c r="Q87" s="1130"/>
      <c r="R87" s="1131"/>
      <c r="S87" s="1130"/>
      <c r="U87" s="1008">
        <f t="shared" si="20"/>
        <v>3</v>
      </c>
      <c r="W87" s="1131">
        <f t="shared" si="21"/>
        <v>-3</v>
      </c>
    </row>
    <row r="88" spans="1:23" s="1008" customFormat="1" ht="13.2" x14ac:dyDescent="0.25">
      <c r="A88" s="1512" t="s">
        <v>633</v>
      </c>
      <c r="B88" s="1513" t="s">
        <v>1329</v>
      </c>
      <c r="C88" s="1514" t="s">
        <v>99</v>
      </c>
      <c r="D88" s="1515">
        <v>80</v>
      </c>
      <c r="E88" s="1507">
        <v>700</v>
      </c>
      <c r="F88" s="1508">
        <v>56000</v>
      </c>
      <c r="G88" s="1509">
        <v>80</v>
      </c>
      <c r="H88" s="1510">
        <f t="shared" si="19"/>
        <v>56000</v>
      </c>
      <c r="I88" s="1128">
        <v>0</v>
      </c>
      <c r="J88" s="1129">
        <f t="shared" si="18"/>
        <v>0</v>
      </c>
      <c r="K88" s="1509">
        <f t="shared" si="12"/>
        <v>80</v>
      </c>
      <c r="L88" s="1534">
        <f t="shared" si="17"/>
        <v>56000</v>
      </c>
      <c r="M88" s="1535">
        <f t="shared" si="13"/>
        <v>1</v>
      </c>
      <c r="N88" s="1536">
        <f t="shared" si="14"/>
        <v>0</v>
      </c>
      <c r="O88" s="1507">
        <f t="shared" si="15"/>
        <v>0</v>
      </c>
      <c r="P88" s="1537">
        <f t="shared" si="16"/>
        <v>0</v>
      </c>
      <c r="Q88" s="1130"/>
      <c r="R88" s="1131"/>
      <c r="S88" s="1130"/>
      <c r="U88" s="1008">
        <f t="shared" si="20"/>
        <v>80</v>
      </c>
      <c r="W88" s="1131">
        <f t="shared" si="21"/>
        <v>-80</v>
      </c>
    </row>
    <row r="89" spans="1:23" s="1008" customFormat="1" ht="13.2" x14ac:dyDescent="0.25">
      <c r="A89" s="1554" t="s">
        <v>634</v>
      </c>
      <c r="B89" s="1555" t="s">
        <v>1330</v>
      </c>
      <c r="C89" s="1556" t="s">
        <v>1233</v>
      </c>
      <c r="D89" s="1557">
        <v>2</v>
      </c>
      <c r="E89" s="1558">
        <v>466.11</v>
      </c>
      <c r="F89" s="1559">
        <v>932.22</v>
      </c>
      <c r="G89" s="1560">
        <v>0</v>
      </c>
      <c r="H89" s="1561">
        <f t="shared" si="19"/>
        <v>0</v>
      </c>
      <c r="I89" s="1562">
        <v>1</v>
      </c>
      <c r="J89" s="1561">
        <f t="shared" si="18"/>
        <v>466.11</v>
      </c>
      <c r="K89" s="1560">
        <f t="shared" si="12"/>
        <v>1</v>
      </c>
      <c r="L89" s="1563">
        <f t="shared" si="17"/>
        <v>466.11</v>
      </c>
      <c r="M89" s="1564">
        <f t="shared" si="13"/>
        <v>0.5</v>
      </c>
      <c r="N89" s="1565">
        <f t="shared" si="14"/>
        <v>1</v>
      </c>
      <c r="O89" s="1558">
        <f t="shared" si="15"/>
        <v>466.11</v>
      </c>
      <c r="P89" s="1566">
        <f t="shared" si="16"/>
        <v>0.5</v>
      </c>
      <c r="Q89" s="1130"/>
      <c r="R89" s="1131"/>
      <c r="S89" s="1130"/>
      <c r="U89" s="1008">
        <f t="shared" si="20"/>
        <v>0</v>
      </c>
      <c r="W89" s="1131">
        <f t="shared" si="21"/>
        <v>0</v>
      </c>
    </row>
    <row r="90" spans="1:23" s="1008" customFormat="1" ht="13.2" x14ac:dyDescent="0.25">
      <c r="A90" s="1512" t="s">
        <v>635</v>
      </c>
      <c r="B90" s="1519" t="s">
        <v>1331</v>
      </c>
      <c r="C90" s="1514" t="s">
        <v>1233</v>
      </c>
      <c r="D90" s="1515">
        <v>1</v>
      </c>
      <c r="E90" s="1507">
        <v>8547.5</v>
      </c>
      <c r="F90" s="1508">
        <v>8547.5</v>
      </c>
      <c r="G90" s="1509">
        <v>0</v>
      </c>
      <c r="H90" s="1510">
        <f t="shared" si="19"/>
        <v>0</v>
      </c>
      <c r="I90" s="1128">
        <v>0</v>
      </c>
      <c r="J90" s="1129">
        <f t="shared" si="18"/>
        <v>0</v>
      </c>
      <c r="K90" s="1509">
        <f t="shared" si="12"/>
        <v>0</v>
      </c>
      <c r="L90" s="1534">
        <f t="shared" si="17"/>
        <v>0</v>
      </c>
      <c r="M90" s="1535">
        <f t="shared" si="13"/>
        <v>0</v>
      </c>
      <c r="N90" s="1536">
        <f t="shared" si="14"/>
        <v>1</v>
      </c>
      <c r="O90" s="1507">
        <f t="shared" si="15"/>
        <v>8547.5</v>
      </c>
      <c r="P90" s="1537">
        <f t="shared" si="16"/>
        <v>1</v>
      </c>
      <c r="Q90" s="1130"/>
      <c r="R90" s="1131"/>
      <c r="S90" s="1130"/>
      <c r="U90" s="1008">
        <f t="shared" si="20"/>
        <v>0</v>
      </c>
      <c r="W90" s="1131">
        <f t="shared" si="21"/>
        <v>0</v>
      </c>
    </row>
    <row r="91" spans="1:23" s="1008" customFormat="1" ht="13.2" x14ac:dyDescent="0.25">
      <c r="A91" s="1512" t="s">
        <v>636</v>
      </c>
      <c r="B91" s="1519" t="s">
        <v>1332</v>
      </c>
      <c r="C91" s="1514" t="s">
        <v>1233</v>
      </c>
      <c r="D91" s="1515">
        <v>1</v>
      </c>
      <c r="E91" s="1507">
        <v>45796.99</v>
      </c>
      <c r="F91" s="1508">
        <v>45796.99</v>
      </c>
      <c r="G91" s="1509">
        <v>0</v>
      </c>
      <c r="H91" s="1510">
        <f t="shared" si="19"/>
        <v>0</v>
      </c>
      <c r="I91" s="1128">
        <v>0</v>
      </c>
      <c r="J91" s="1129">
        <f t="shared" si="18"/>
        <v>0</v>
      </c>
      <c r="K91" s="1509">
        <f t="shared" si="12"/>
        <v>0</v>
      </c>
      <c r="L91" s="1534">
        <f t="shared" si="17"/>
        <v>0</v>
      </c>
      <c r="M91" s="1535">
        <f t="shared" si="13"/>
        <v>0</v>
      </c>
      <c r="N91" s="1536">
        <f t="shared" si="14"/>
        <v>1</v>
      </c>
      <c r="O91" s="1507">
        <f t="shared" si="15"/>
        <v>45796.99</v>
      </c>
      <c r="P91" s="1537">
        <f t="shared" si="16"/>
        <v>1</v>
      </c>
      <c r="Q91" s="1130"/>
      <c r="R91" s="1131"/>
      <c r="S91" s="1130"/>
      <c r="U91" s="1008">
        <f t="shared" si="20"/>
        <v>0</v>
      </c>
      <c r="W91" s="1131">
        <f t="shared" si="21"/>
        <v>0</v>
      </c>
    </row>
    <row r="92" spans="1:23" s="1008" customFormat="1" ht="13.2" x14ac:dyDescent="0.25">
      <c r="A92" s="1503">
        <v>1.0900000000000001</v>
      </c>
      <c r="B92" s="1511" t="s">
        <v>1333</v>
      </c>
      <c r="C92" s="1505"/>
      <c r="D92" s="1515"/>
      <c r="E92" s="1507"/>
      <c r="F92" s="1508"/>
      <c r="G92" s="1509"/>
      <c r="H92" s="1510"/>
      <c r="I92" s="1128"/>
      <c r="J92" s="1129"/>
      <c r="K92" s="1509"/>
      <c r="L92" s="1534"/>
      <c r="M92" s="1535"/>
      <c r="N92" s="1536"/>
      <c r="O92" s="1507"/>
      <c r="P92" s="1537"/>
      <c r="Q92" s="1130"/>
      <c r="R92" s="1131"/>
      <c r="S92" s="1130"/>
      <c r="U92" s="1008" t="e">
        <f t="shared" si="20"/>
        <v>#DIV/0!</v>
      </c>
      <c r="W92" s="1131" t="e">
        <f t="shared" si="21"/>
        <v>#DIV/0!</v>
      </c>
    </row>
    <row r="93" spans="1:23" s="1008" customFormat="1" ht="13.2" x14ac:dyDescent="0.25">
      <c r="A93" s="1512" t="s">
        <v>637</v>
      </c>
      <c r="B93" s="1513" t="s">
        <v>1334</v>
      </c>
      <c r="C93" s="1514" t="s">
        <v>221</v>
      </c>
      <c r="D93" s="1515">
        <v>2</v>
      </c>
      <c r="E93" s="1507">
        <v>7583.51</v>
      </c>
      <c r="F93" s="1508">
        <v>15167.02</v>
      </c>
      <c r="G93" s="1509">
        <v>0</v>
      </c>
      <c r="H93" s="1510">
        <f t="shared" si="19"/>
        <v>0</v>
      </c>
      <c r="I93" s="1128">
        <v>0</v>
      </c>
      <c r="J93" s="1129">
        <f t="shared" si="18"/>
        <v>0</v>
      </c>
      <c r="K93" s="1509">
        <f t="shared" ref="K93:K120" si="22">+G93+I93</f>
        <v>0</v>
      </c>
      <c r="L93" s="1534">
        <f t="shared" si="17"/>
        <v>0</v>
      </c>
      <c r="M93" s="1535">
        <f t="shared" si="13"/>
        <v>0</v>
      </c>
      <c r="N93" s="1536">
        <f t="shared" si="14"/>
        <v>2</v>
      </c>
      <c r="O93" s="1507">
        <f t="shared" si="15"/>
        <v>15167.02</v>
      </c>
      <c r="P93" s="1537">
        <f t="shared" si="16"/>
        <v>1</v>
      </c>
      <c r="Q93" s="1130"/>
      <c r="R93" s="1131"/>
      <c r="S93" s="1130"/>
      <c r="U93" s="1008">
        <f t="shared" si="20"/>
        <v>0</v>
      </c>
      <c r="W93" s="1131">
        <f t="shared" si="21"/>
        <v>0</v>
      </c>
    </row>
    <row r="94" spans="1:23" s="1008" customFormat="1" ht="13.2" x14ac:dyDescent="0.25">
      <c r="A94" s="1512" t="s">
        <v>638</v>
      </c>
      <c r="B94" s="1513" t="s">
        <v>1335</v>
      </c>
      <c r="C94" s="1514" t="s">
        <v>221</v>
      </c>
      <c r="D94" s="1515">
        <v>2</v>
      </c>
      <c r="E94" s="1507">
        <v>646.05999999999995</v>
      </c>
      <c r="F94" s="1508">
        <v>1292.1199999999999</v>
      </c>
      <c r="G94" s="1509">
        <v>0</v>
      </c>
      <c r="H94" s="1510">
        <f t="shared" si="19"/>
        <v>0</v>
      </c>
      <c r="I94" s="1128">
        <v>0</v>
      </c>
      <c r="J94" s="1129">
        <f t="shared" si="18"/>
        <v>0</v>
      </c>
      <c r="K94" s="1509">
        <f t="shared" si="22"/>
        <v>0</v>
      </c>
      <c r="L94" s="1534">
        <f t="shared" si="17"/>
        <v>0</v>
      </c>
      <c r="M94" s="1535">
        <f t="shared" si="13"/>
        <v>0</v>
      </c>
      <c r="N94" s="1536">
        <f t="shared" si="14"/>
        <v>2</v>
      </c>
      <c r="O94" s="1507">
        <f t="shared" si="15"/>
        <v>1292.1199999999999</v>
      </c>
      <c r="P94" s="1537">
        <f t="shared" si="16"/>
        <v>1</v>
      </c>
      <c r="Q94" s="1130"/>
      <c r="R94" s="1131"/>
      <c r="S94" s="1130"/>
      <c r="U94" s="1008">
        <f t="shared" si="20"/>
        <v>0</v>
      </c>
      <c r="W94" s="1131">
        <f t="shared" si="21"/>
        <v>0</v>
      </c>
    </row>
    <row r="95" spans="1:23" s="1008" customFormat="1" ht="13.2" x14ac:dyDescent="0.25">
      <c r="A95" s="1512" t="s">
        <v>639</v>
      </c>
      <c r="B95" s="1513" t="s">
        <v>1336</v>
      </c>
      <c r="C95" s="1514" t="s">
        <v>221</v>
      </c>
      <c r="D95" s="1515">
        <v>2</v>
      </c>
      <c r="E95" s="1507">
        <v>715.46</v>
      </c>
      <c r="F95" s="1508">
        <v>1430.92</v>
      </c>
      <c r="G95" s="1509">
        <v>0</v>
      </c>
      <c r="H95" s="1510">
        <f t="shared" si="19"/>
        <v>0</v>
      </c>
      <c r="I95" s="1128">
        <v>0</v>
      </c>
      <c r="J95" s="1129">
        <f t="shared" si="18"/>
        <v>0</v>
      </c>
      <c r="K95" s="1509">
        <f t="shared" si="22"/>
        <v>0</v>
      </c>
      <c r="L95" s="1534">
        <f t="shared" si="17"/>
        <v>0</v>
      </c>
      <c r="M95" s="1535">
        <f t="shared" si="13"/>
        <v>0</v>
      </c>
      <c r="N95" s="1536">
        <f t="shared" si="14"/>
        <v>2</v>
      </c>
      <c r="O95" s="1507">
        <f t="shared" si="15"/>
        <v>1430.92</v>
      </c>
      <c r="P95" s="1537">
        <f t="shared" si="16"/>
        <v>1</v>
      </c>
      <c r="Q95" s="1130"/>
      <c r="R95" s="1131"/>
      <c r="S95" s="1130"/>
      <c r="U95" s="1008">
        <f t="shared" si="20"/>
        <v>0</v>
      </c>
      <c r="W95" s="1131">
        <f t="shared" si="21"/>
        <v>0</v>
      </c>
    </row>
    <row r="96" spans="1:23" s="1008" customFormat="1" ht="13.2" x14ac:dyDescent="0.25">
      <c r="A96" s="1512" t="s">
        <v>640</v>
      </c>
      <c r="B96" s="1513" t="s">
        <v>1337</v>
      </c>
      <c r="C96" s="1514" t="s">
        <v>221</v>
      </c>
      <c r="D96" s="1515">
        <v>160</v>
      </c>
      <c r="E96" s="1507">
        <v>11.58</v>
      </c>
      <c r="F96" s="1508">
        <v>1852.8</v>
      </c>
      <c r="G96" s="1509">
        <v>0</v>
      </c>
      <c r="H96" s="1510">
        <f t="shared" si="19"/>
        <v>0</v>
      </c>
      <c r="I96" s="1128">
        <v>0</v>
      </c>
      <c r="J96" s="1129">
        <f t="shared" si="18"/>
        <v>0</v>
      </c>
      <c r="K96" s="1509">
        <f t="shared" si="22"/>
        <v>0</v>
      </c>
      <c r="L96" s="1534">
        <f t="shared" si="17"/>
        <v>0</v>
      </c>
      <c r="M96" s="1535">
        <f t="shared" si="13"/>
        <v>0</v>
      </c>
      <c r="N96" s="1536">
        <f t="shared" si="14"/>
        <v>160</v>
      </c>
      <c r="O96" s="1507">
        <f t="shared" si="15"/>
        <v>1852.8</v>
      </c>
      <c r="P96" s="1537">
        <f t="shared" si="16"/>
        <v>1</v>
      </c>
      <c r="Q96" s="1130"/>
      <c r="R96" s="1131"/>
      <c r="S96" s="1130"/>
      <c r="U96" s="1008">
        <f t="shared" si="20"/>
        <v>0</v>
      </c>
      <c r="W96" s="1131">
        <f t="shared" si="21"/>
        <v>0</v>
      </c>
    </row>
    <row r="97" spans="1:23" s="1008" customFormat="1" ht="13.2" x14ac:dyDescent="0.25">
      <c r="A97" s="1512" t="s">
        <v>641</v>
      </c>
      <c r="B97" s="1513" t="s">
        <v>1338</v>
      </c>
      <c r="C97" s="1514" t="s">
        <v>99</v>
      </c>
      <c r="D97" s="1515">
        <v>100</v>
      </c>
      <c r="E97" s="1507">
        <v>90.58</v>
      </c>
      <c r="F97" s="1508">
        <v>9058</v>
      </c>
      <c r="G97" s="1509">
        <v>0</v>
      </c>
      <c r="H97" s="1510">
        <f t="shared" si="19"/>
        <v>0</v>
      </c>
      <c r="I97" s="1128">
        <v>0</v>
      </c>
      <c r="J97" s="1129">
        <f t="shared" si="18"/>
        <v>0</v>
      </c>
      <c r="K97" s="1509">
        <f t="shared" si="22"/>
        <v>0</v>
      </c>
      <c r="L97" s="1534">
        <f t="shared" si="17"/>
        <v>0</v>
      </c>
      <c r="M97" s="1535">
        <f t="shared" si="13"/>
        <v>0</v>
      </c>
      <c r="N97" s="1536">
        <f t="shared" si="14"/>
        <v>100</v>
      </c>
      <c r="O97" s="1507">
        <f t="shared" si="15"/>
        <v>9058</v>
      </c>
      <c r="P97" s="1537">
        <f t="shared" si="16"/>
        <v>1</v>
      </c>
      <c r="Q97" s="1130"/>
      <c r="R97" s="1131"/>
      <c r="S97" s="1130"/>
      <c r="U97" s="1008">
        <f t="shared" si="20"/>
        <v>0</v>
      </c>
      <c r="W97" s="1131">
        <f t="shared" si="21"/>
        <v>0</v>
      </c>
    </row>
    <row r="98" spans="1:23" s="1008" customFormat="1" ht="13.2" x14ac:dyDescent="0.25">
      <c r="A98" s="1503">
        <v>1.1000000000000001</v>
      </c>
      <c r="B98" s="1511" t="s">
        <v>1339</v>
      </c>
      <c r="C98" s="1505"/>
      <c r="D98" s="1515"/>
      <c r="E98" s="1507"/>
      <c r="F98" s="1508"/>
      <c r="G98" s="1509"/>
      <c r="H98" s="1510"/>
      <c r="I98" s="1128">
        <v>0</v>
      </c>
      <c r="J98" s="1129"/>
      <c r="K98" s="1509"/>
      <c r="L98" s="1534"/>
      <c r="M98" s="1535"/>
      <c r="N98" s="1536"/>
      <c r="O98" s="1507"/>
      <c r="P98" s="1537"/>
      <c r="Q98" s="1130"/>
      <c r="R98" s="1131"/>
      <c r="S98" s="1130"/>
      <c r="U98" s="1008" t="e">
        <f t="shared" si="20"/>
        <v>#DIV/0!</v>
      </c>
      <c r="W98" s="1131" t="e">
        <f t="shared" si="21"/>
        <v>#DIV/0!</v>
      </c>
    </row>
    <row r="99" spans="1:23" s="1008" customFormat="1" ht="13.2" x14ac:dyDescent="0.25">
      <c r="A99" s="1512" t="s">
        <v>642</v>
      </c>
      <c r="B99" s="1513" t="s">
        <v>1340</v>
      </c>
      <c r="C99" s="1514" t="s">
        <v>1233</v>
      </c>
      <c r="D99" s="1515">
        <v>1</v>
      </c>
      <c r="E99" s="1507">
        <v>67905</v>
      </c>
      <c r="F99" s="1508">
        <v>67905</v>
      </c>
      <c r="G99" s="1509">
        <v>0</v>
      </c>
      <c r="H99" s="1510">
        <f t="shared" si="19"/>
        <v>0</v>
      </c>
      <c r="I99" s="1128">
        <v>0</v>
      </c>
      <c r="J99" s="1129">
        <f t="shared" si="18"/>
        <v>0</v>
      </c>
      <c r="K99" s="1509">
        <f t="shared" si="22"/>
        <v>0</v>
      </c>
      <c r="L99" s="1534">
        <f t="shared" ref="L99:L120" si="23">ROUND(H99+J99,2)</f>
        <v>0</v>
      </c>
      <c r="M99" s="1535">
        <f t="shared" ref="M99:M120" si="24">K99/D99</f>
        <v>0</v>
      </c>
      <c r="N99" s="1536">
        <f t="shared" ref="N99:N120" si="25">ROUND(D99-K99,2)</f>
        <v>1</v>
      </c>
      <c r="O99" s="1507">
        <f t="shared" ref="O99:O120" si="26">ROUND(F99-L99,2)</f>
        <v>67905</v>
      </c>
      <c r="P99" s="1537">
        <f t="shared" ref="P99:P120" si="27">N99/D99</f>
        <v>1</v>
      </c>
      <c r="Q99" s="1130"/>
      <c r="R99" s="1131"/>
      <c r="S99" s="1130"/>
      <c r="U99" s="1008">
        <f t="shared" si="20"/>
        <v>0</v>
      </c>
      <c r="W99" s="1131">
        <f t="shared" si="21"/>
        <v>0</v>
      </c>
    </row>
    <row r="100" spans="1:23" s="1008" customFormat="1" ht="13.2" x14ac:dyDescent="0.25">
      <c r="A100" s="1503">
        <v>2</v>
      </c>
      <c r="B100" s="1511" t="s">
        <v>1341</v>
      </c>
      <c r="C100" s="1505"/>
      <c r="D100" s="1515"/>
      <c r="E100" s="1507"/>
      <c r="F100" s="1508"/>
      <c r="G100" s="1509"/>
      <c r="H100" s="1510">
        <f t="shared" si="19"/>
        <v>0</v>
      </c>
      <c r="I100" s="1128"/>
      <c r="J100" s="1129"/>
      <c r="K100" s="1509"/>
      <c r="L100" s="1534"/>
      <c r="M100" s="1535"/>
      <c r="N100" s="1536"/>
      <c r="O100" s="1507"/>
      <c r="P100" s="1537"/>
      <c r="Q100" s="1130"/>
      <c r="R100" s="1131"/>
      <c r="S100" s="1130"/>
      <c r="U100" s="1008" t="e">
        <f t="shared" si="20"/>
        <v>#DIV/0!</v>
      </c>
      <c r="W100" s="1131" t="e">
        <f t="shared" si="21"/>
        <v>#DIV/0!</v>
      </c>
    </row>
    <row r="101" spans="1:23" s="1008" customFormat="1" ht="13.2" x14ac:dyDescent="0.25">
      <c r="A101" s="1503">
        <v>2.0099999999999998</v>
      </c>
      <c r="B101" s="1511" t="s">
        <v>1236</v>
      </c>
      <c r="C101" s="1505"/>
      <c r="D101" s="1515"/>
      <c r="E101" s="1507"/>
      <c r="F101" s="1508"/>
      <c r="G101" s="1509"/>
      <c r="H101" s="1510"/>
      <c r="I101" s="1128"/>
      <c r="J101" s="1129"/>
      <c r="K101" s="1509"/>
      <c r="L101" s="1534"/>
      <c r="M101" s="1535"/>
      <c r="N101" s="1536"/>
      <c r="O101" s="1507"/>
      <c r="P101" s="1537"/>
      <c r="Q101" s="1130"/>
      <c r="R101" s="1131"/>
      <c r="S101" s="1130"/>
      <c r="U101" s="1008" t="e">
        <f t="shared" si="20"/>
        <v>#DIV/0!</v>
      </c>
      <c r="W101" s="1131" t="e">
        <f t="shared" si="21"/>
        <v>#DIV/0!</v>
      </c>
    </row>
    <row r="102" spans="1:23" s="1008" customFormat="1" ht="13.2" x14ac:dyDescent="0.25">
      <c r="A102" s="1512" t="s">
        <v>209</v>
      </c>
      <c r="B102" s="1513" t="s">
        <v>1342</v>
      </c>
      <c r="C102" s="1514" t="s">
        <v>1249</v>
      </c>
      <c r="D102" s="1515">
        <v>0.13</v>
      </c>
      <c r="E102" s="1507">
        <v>964.61</v>
      </c>
      <c r="F102" s="1508">
        <v>125.4</v>
      </c>
      <c r="G102" s="1509">
        <v>0</v>
      </c>
      <c r="H102" s="1510">
        <f t="shared" si="19"/>
        <v>0</v>
      </c>
      <c r="I102" s="1128">
        <v>0</v>
      </c>
      <c r="J102" s="1129">
        <f t="shared" si="18"/>
        <v>0</v>
      </c>
      <c r="K102" s="1509">
        <f t="shared" si="22"/>
        <v>0</v>
      </c>
      <c r="L102" s="1534">
        <f t="shared" si="23"/>
        <v>0</v>
      </c>
      <c r="M102" s="1535">
        <f t="shared" si="24"/>
        <v>0</v>
      </c>
      <c r="N102" s="1536">
        <f t="shared" si="25"/>
        <v>0.13</v>
      </c>
      <c r="O102" s="1507">
        <f t="shared" si="26"/>
        <v>125.4</v>
      </c>
      <c r="P102" s="1537">
        <f t="shared" si="27"/>
        <v>1</v>
      </c>
      <c r="Q102" s="1130"/>
      <c r="R102" s="1131"/>
      <c r="S102" s="1130"/>
      <c r="U102" s="1008">
        <f t="shared" si="20"/>
        <v>0</v>
      </c>
      <c r="W102" s="1131">
        <f t="shared" si="21"/>
        <v>0</v>
      </c>
    </row>
    <row r="103" spans="1:23" s="1008" customFormat="1" ht="13.2" x14ac:dyDescent="0.25">
      <c r="A103" s="1512" t="s">
        <v>222</v>
      </c>
      <c r="B103" s="1513" t="s">
        <v>1343</v>
      </c>
      <c r="C103" s="1514" t="s">
        <v>225</v>
      </c>
      <c r="D103" s="1515">
        <v>3</v>
      </c>
      <c r="E103" s="1507">
        <v>3827.34</v>
      </c>
      <c r="F103" s="1508">
        <v>11482.02</v>
      </c>
      <c r="G103" s="1509">
        <v>0</v>
      </c>
      <c r="H103" s="1510">
        <f t="shared" si="19"/>
        <v>0</v>
      </c>
      <c r="I103" s="1128">
        <v>0</v>
      </c>
      <c r="J103" s="1129">
        <f t="shared" si="18"/>
        <v>0</v>
      </c>
      <c r="K103" s="1509">
        <f t="shared" si="22"/>
        <v>0</v>
      </c>
      <c r="L103" s="1534">
        <f t="shared" si="23"/>
        <v>0</v>
      </c>
      <c r="M103" s="1535">
        <f t="shared" si="24"/>
        <v>0</v>
      </c>
      <c r="N103" s="1536">
        <f t="shared" si="25"/>
        <v>3</v>
      </c>
      <c r="O103" s="1507">
        <f t="shared" si="26"/>
        <v>11482.02</v>
      </c>
      <c r="P103" s="1537">
        <f t="shared" si="27"/>
        <v>1</v>
      </c>
      <c r="Q103" s="1130"/>
      <c r="R103" s="1131"/>
      <c r="S103" s="1130"/>
      <c r="U103" s="1008">
        <f t="shared" si="20"/>
        <v>0</v>
      </c>
      <c r="W103" s="1131">
        <f t="shared" si="21"/>
        <v>0</v>
      </c>
    </row>
    <row r="104" spans="1:23" s="1008" customFormat="1" ht="13.2" x14ac:dyDescent="0.25">
      <c r="A104" s="1503">
        <v>2.02</v>
      </c>
      <c r="B104" s="1511" t="s">
        <v>1344</v>
      </c>
      <c r="C104" s="1505"/>
      <c r="D104" s="1515"/>
      <c r="E104" s="1507"/>
      <c r="F104" s="1508"/>
      <c r="G104" s="1509"/>
      <c r="H104" s="1510">
        <f t="shared" si="19"/>
        <v>0</v>
      </c>
      <c r="I104" s="1128"/>
      <c r="J104" s="1129"/>
      <c r="K104" s="1509"/>
      <c r="L104" s="1534"/>
      <c r="M104" s="1535"/>
      <c r="N104" s="1536"/>
      <c r="O104" s="1507"/>
      <c r="P104" s="1537"/>
      <c r="Q104" s="1130"/>
      <c r="R104" s="1131"/>
      <c r="S104" s="1130"/>
      <c r="U104" s="1008" t="e">
        <f t="shared" si="20"/>
        <v>#DIV/0!</v>
      </c>
      <c r="W104" s="1131" t="e">
        <f t="shared" si="21"/>
        <v>#DIV/0!</v>
      </c>
    </row>
    <row r="105" spans="1:23" s="1008" customFormat="1" ht="13.2" x14ac:dyDescent="0.25">
      <c r="A105" s="1512" t="s">
        <v>206</v>
      </c>
      <c r="B105" s="1513" t="s">
        <v>1345</v>
      </c>
      <c r="C105" s="1514" t="s">
        <v>167</v>
      </c>
      <c r="D105" s="1515">
        <v>1073.9000000000001</v>
      </c>
      <c r="E105" s="1507">
        <v>10.46</v>
      </c>
      <c r="F105" s="1508">
        <v>11232.99</v>
      </c>
      <c r="G105" s="1509">
        <v>0</v>
      </c>
      <c r="H105" s="1510">
        <f t="shared" si="19"/>
        <v>0</v>
      </c>
      <c r="I105" s="1128">
        <v>0</v>
      </c>
      <c r="J105" s="1129">
        <f t="shared" si="18"/>
        <v>0</v>
      </c>
      <c r="K105" s="1509">
        <f t="shared" si="22"/>
        <v>0</v>
      </c>
      <c r="L105" s="1534">
        <f t="shared" si="23"/>
        <v>0</v>
      </c>
      <c r="M105" s="1535">
        <f t="shared" si="24"/>
        <v>0</v>
      </c>
      <c r="N105" s="1536">
        <f t="shared" si="25"/>
        <v>1073.9000000000001</v>
      </c>
      <c r="O105" s="1507">
        <f t="shared" si="26"/>
        <v>11232.99</v>
      </c>
      <c r="P105" s="1537">
        <f t="shared" si="27"/>
        <v>1</v>
      </c>
      <c r="Q105" s="1130"/>
      <c r="R105" s="1131"/>
      <c r="S105" s="1130"/>
      <c r="U105" s="1008">
        <f t="shared" si="20"/>
        <v>0</v>
      </c>
      <c r="W105" s="1131">
        <f t="shared" si="21"/>
        <v>0</v>
      </c>
    </row>
    <row r="106" spans="1:23" s="1008" customFormat="1" ht="13.2" x14ac:dyDescent="0.25">
      <c r="A106" s="1512" t="s">
        <v>207</v>
      </c>
      <c r="B106" s="1513" t="s">
        <v>1346</v>
      </c>
      <c r="C106" s="1514" t="s">
        <v>167</v>
      </c>
      <c r="D106" s="1515">
        <v>5353.1</v>
      </c>
      <c r="E106" s="1507">
        <v>89.01</v>
      </c>
      <c r="F106" s="1508">
        <v>476479.43</v>
      </c>
      <c r="G106" s="1509">
        <v>0</v>
      </c>
      <c r="H106" s="1510">
        <f t="shared" si="19"/>
        <v>0</v>
      </c>
      <c r="I106" s="1128">
        <v>0</v>
      </c>
      <c r="J106" s="1129">
        <f t="shared" si="18"/>
        <v>0</v>
      </c>
      <c r="K106" s="1509">
        <f t="shared" si="22"/>
        <v>0</v>
      </c>
      <c r="L106" s="1534">
        <f t="shared" si="23"/>
        <v>0</v>
      </c>
      <c r="M106" s="1535">
        <f t="shared" si="24"/>
        <v>0</v>
      </c>
      <c r="N106" s="1536">
        <f t="shared" si="25"/>
        <v>5353.1</v>
      </c>
      <c r="O106" s="1507">
        <f t="shared" si="26"/>
        <v>476479.43</v>
      </c>
      <c r="P106" s="1537">
        <f t="shared" si="27"/>
        <v>1</v>
      </c>
      <c r="Q106" s="1130"/>
      <c r="R106" s="1131"/>
      <c r="S106" s="1130"/>
      <c r="U106" s="1008">
        <f t="shared" si="20"/>
        <v>0</v>
      </c>
      <c r="W106" s="1131">
        <f t="shared" si="21"/>
        <v>0</v>
      </c>
    </row>
    <row r="107" spans="1:23" s="1008" customFormat="1" ht="13.2" x14ac:dyDescent="0.25">
      <c r="A107" s="1512" t="s">
        <v>313</v>
      </c>
      <c r="B107" s="1513" t="s">
        <v>1347</v>
      </c>
      <c r="C107" s="1514" t="s">
        <v>167</v>
      </c>
      <c r="D107" s="1515">
        <v>240</v>
      </c>
      <c r="E107" s="1507">
        <v>0.74</v>
      </c>
      <c r="F107" s="1508">
        <v>177.6</v>
      </c>
      <c r="G107" s="1509">
        <v>0</v>
      </c>
      <c r="H107" s="1510">
        <f t="shared" si="19"/>
        <v>0</v>
      </c>
      <c r="I107" s="1128">
        <v>0</v>
      </c>
      <c r="J107" s="1129">
        <f t="shared" si="18"/>
        <v>0</v>
      </c>
      <c r="K107" s="1509">
        <f t="shared" si="22"/>
        <v>0</v>
      </c>
      <c r="L107" s="1534">
        <f t="shared" si="23"/>
        <v>0</v>
      </c>
      <c r="M107" s="1535">
        <f t="shared" si="24"/>
        <v>0</v>
      </c>
      <c r="N107" s="1536">
        <f t="shared" si="25"/>
        <v>240</v>
      </c>
      <c r="O107" s="1507">
        <f t="shared" si="26"/>
        <v>177.6</v>
      </c>
      <c r="P107" s="1537">
        <f t="shared" si="27"/>
        <v>1</v>
      </c>
      <c r="Q107" s="1130"/>
      <c r="R107" s="1131"/>
      <c r="S107" s="1130"/>
      <c r="U107" s="1008">
        <f t="shared" si="20"/>
        <v>0</v>
      </c>
      <c r="W107" s="1131">
        <f t="shared" si="21"/>
        <v>0</v>
      </c>
    </row>
    <row r="108" spans="1:23" s="1008" customFormat="1" ht="13.2" x14ac:dyDescent="0.25">
      <c r="A108" s="1512" t="s">
        <v>314</v>
      </c>
      <c r="B108" s="1513" t="s">
        <v>1348</v>
      </c>
      <c r="C108" s="1514" t="s">
        <v>168</v>
      </c>
      <c r="D108" s="1515">
        <v>430.43</v>
      </c>
      <c r="E108" s="1507">
        <v>11.05</v>
      </c>
      <c r="F108" s="1508">
        <v>4756.25</v>
      </c>
      <c r="G108" s="1509">
        <v>0</v>
      </c>
      <c r="H108" s="1510">
        <f t="shared" si="19"/>
        <v>0</v>
      </c>
      <c r="I108" s="1128">
        <v>0</v>
      </c>
      <c r="J108" s="1129">
        <f t="shared" si="18"/>
        <v>0</v>
      </c>
      <c r="K108" s="1509">
        <f t="shared" si="22"/>
        <v>0</v>
      </c>
      <c r="L108" s="1534">
        <f t="shared" si="23"/>
        <v>0</v>
      </c>
      <c r="M108" s="1535">
        <f t="shared" si="24"/>
        <v>0</v>
      </c>
      <c r="N108" s="1536">
        <f t="shared" si="25"/>
        <v>430.43</v>
      </c>
      <c r="O108" s="1507">
        <f t="shared" si="26"/>
        <v>4756.25</v>
      </c>
      <c r="P108" s="1537">
        <f t="shared" si="27"/>
        <v>1</v>
      </c>
      <c r="Q108" s="1130"/>
      <c r="R108" s="1131"/>
      <c r="S108" s="1130"/>
      <c r="U108" s="1008">
        <f t="shared" si="20"/>
        <v>0</v>
      </c>
      <c r="W108" s="1131">
        <f t="shared" si="21"/>
        <v>0</v>
      </c>
    </row>
    <row r="109" spans="1:23" s="1008" customFormat="1" ht="13.2" x14ac:dyDescent="0.25">
      <c r="A109" s="1503">
        <v>2.0299999999999998</v>
      </c>
      <c r="B109" s="1511" t="s">
        <v>1349</v>
      </c>
      <c r="C109" s="1505"/>
      <c r="D109" s="1515"/>
      <c r="E109" s="1507"/>
      <c r="F109" s="1508"/>
      <c r="G109" s="1509"/>
      <c r="H109" s="1510"/>
      <c r="I109" s="1128"/>
      <c r="J109" s="1129"/>
      <c r="K109" s="1509"/>
      <c r="L109" s="1534"/>
      <c r="M109" s="1535"/>
      <c r="N109" s="1536"/>
      <c r="O109" s="1507"/>
      <c r="P109" s="1537"/>
      <c r="Q109" s="1130"/>
      <c r="R109" s="1131"/>
      <c r="S109" s="1130"/>
      <c r="U109" s="1008" t="e">
        <f t="shared" si="20"/>
        <v>#DIV/0!</v>
      </c>
      <c r="W109" s="1131" t="e">
        <f t="shared" si="21"/>
        <v>#DIV/0!</v>
      </c>
    </row>
    <row r="110" spans="1:23" s="1008" customFormat="1" ht="13.2" x14ac:dyDescent="0.25">
      <c r="A110" s="1512" t="s">
        <v>211</v>
      </c>
      <c r="B110" s="1513" t="s">
        <v>1350</v>
      </c>
      <c r="C110" s="1514" t="s">
        <v>168</v>
      </c>
      <c r="D110" s="1515">
        <v>840</v>
      </c>
      <c r="E110" s="1507">
        <v>2.44</v>
      </c>
      <c r="F110" s="1508">
        <v>2049.6</v>
      </c>
      <c r="G110" s="1509">
        <v>0</v>
      </c>
      <c r="H110" s="1510">
        <f t="shared" si="19"/>
        <v>0</v>
      </c>
      <c r="I110" s="1128">
        <v>0</v>
      </c>
      <c r="J110" s="1129">
        <f t="shared" si="18"/>
        <v>0</v>
      </c>
      <c r="K110" s="1509">
        <f t="shared" si="22"/>
        <v>0</v>
      </c>
      <c r="L110" s="1534">
        <f t="shared" si="23"/>
        <v>0</v>
      </c>
      <c r="M110" s="1535">
        <f t="shared" si="24"/>
        <v>0</v>
      </c>
      <c r="N110" s="1536">
        <f t="shared" si="25"/>
        <v>840</v>
      </c>
      <c r="O110" s="1507">
        <f t="shared" si="26"/>
        <v>2049.6</v>
      </c>
      <c r="P110" s="1537">
        <f t="shared" si="27"/>
        <v>1</v>
      </c>
      <c r="Q110" s="1130"/>
      <c r="R110" s="1131"/>
      <c r="S110" s="1130"/>
      <c r="U110" s="1008">
        <f t="shared" si="20"/>
        <v>0</v>
      </c>
      <c r="W110" s="1131">
        <f t="shared" si="21"/>
        <v>0</v>
      </c>
    </row>
    <row r="111" spans="1:23" s="1008" customFormat="1" ht="13.2" x14ac:dyDescent="0.25">
      <c r="A111" s="1512" t="s">
        <v>212</v>
      </c>
      <c r="B111" s="1513" t="s">
        <v>1351</v>
      </c>
      <c r="C111" s="1514" t="s">
        <v>167</v>
      </c>
      <c r="D111" s="1515">
        <v>163.80000000000001</v>
      </c>
      <c r="E111" s="1507">
        <v>4.3</v>
      </c>
      <c r="F111" s="1508">
        <v>704.34</v>
      </c>
      <c r="G111" s="1509">
        <v>0</v>
      </c>
      <c r="H111" s="1510">
        <f t="shared" si="19"/>
        <v>0</v>
      </c>
      <c r="I111" s="1128">
        <v>0</v>
      </c>
      <c r="J111" s="1129">
        <f t="shared" si="18"/>
        <v>0</v>
      </c>
      <c r="K111" s="1509">
        <f t="shared" si="22"/>
        <v>0</v>
      </c>
      <c r="L111" s="1534">
        <f t="shared" si="23"/>
        <v>0</v>
      </c>
      <c r="M111" s="1535">
        <f t="shared" si="24"/>
        <v>0</v>
      </c>
      <c r="N111" s="1536">
        <f t="shared" si="25"/>
        <v>163.80000000000001</v>
      </c>
      <c r="O111" s="1507">
        <f t="shared" si="26"/>
        <v>704.34</v>
      </c>
      <c r="P111" s="1537">
        <f t="shared" si="27"/>
        <v>1</v>
      </c>
      <c r="Q111" s="1130"/>
      <c r="R111" s="1131"/>
      <c r="S111" s="1130"/>
      <c r="U111" s="1008">
        <f t="shared" si="20"/>
        <v>0</v>
      </c>
      <c r="W111" s="1131">
        <f t="shared" si="21"/>
        <v>0</v>
      </c>
    </row>
    <row r="112" spans="1:23" s="1008" customFormat="1" ht="13.2" x14ac:dyDescent="0.25">
      <c r="A112" s="1512" t="s">
        <v>213</v>
      </c>
      <c r="B112" s="1513" t="s">
        <v>1352</v>
      </c>
      <c r="C112" s="1514" t="s">
        <v>167</v>
      </c>
      <c r="D112" s="1515">
        <v>163.80000000000001</v>
      </c>
      <c r="E112" s="1507">
        <v>11.78</v>
      </c>
      <c r="F112" s="1508">
        <v>1929.56</v>
      </c>
      <c r="G112" s="1509">
        <v>0</v>
      </c>
      <c r="H112" s="1510">
        <f t="shared" si="19"/>
        <v>0</v>
      </c>
      <c r="I112" s="1128">
        <v>0</v>
      </c>
      <c r="J112" s="1129">
        <f t="shared" si="18"/>
        <v>0</v>
      </c>
      <c r="K112" s="1509">
        <f t="shared" si="22"/>
        <v>0</v>
      </c>
      <c r="L112" s="1534">
        <f t="shared" si="23"/>
        <v>0</v>
      </c>
      <c r="M112" s="1535">
        <f t="shared" si="24"/>
        <v>0</v>
      </c>
      <c r="N112" s="1536">
        <f t="shared" si="25"/>
        <v>163.80000000000001</v>
      </c>
      <c r="O112" s="1507">
        <f t="shared" si="26"/>
        <v>1929.56</v>
      </c>
      <c r="P112" s="1537">
        <f t="shared" si="27"/>
        <v>1</v>
      </c>
      <c r="Q112" s="1130"/>
      <c r="R112" s="1131"/>
      <c r="S112" s="1130"/>
      <c r="U112" s="1008">
        <f t="shared" si="20"/>
        <v>0</v>
      </c>
      <c r="W112" s="1131">
        <f t="shared" si="21"/>
        <v>0</v>
      </c>
    </row>
    <row r="113" spans="1:23" s="1008" customFormat="1" ht="13.2" x14ac:dyDescent="0.25">
      <c r="A113" s="1512" t="s">
        <v>1353</v>
      </c>
      <c r="B113" s="1513" t="s">
        <v>1354</v>
      </c>
      <c r="C113" s="1514" t="s">
        <v>168</v>
      </c>
      <c r="D113" s="1515">
        <v>840</v>
      </c>
      <c r="E113" s="1507">
        <v>15.39</v>
      </c>
      <c r="F113" s="1508">
        <v>12927.6</v>
      </c>
      <c r="G113" s="1509">
        <v>0</v>
      </c>
      <c r="H113" s="1510">
        <f t="shared" si="19"/>
        <v>0</v>
      </c>
      <c r="I113" s="1128">
        <v>0</v>
      </c>
      <c r="J113" s="1129">
        <f t="shared" si="18"/>
        <v>0</v>
      </c>
      <c r="K113" s="1509">
        <f t="shared" si="22"/>
        <v>0</v>
      </c>
      <c r="L113" s="1534">
        <f t="shared" si="23"/>
        <v>0</v>
      </c>
      <c r="M113" s="1535">
        <f t="shared" si="24"/>
        <v>0</v>
      </c>
      <c r="N113" s="1536">
        <f t="shared" si="25"/>
        <v>840</v>
      </c>
      <c r="O113" s="1507">
        <f t="shared" si="26"/>
        <v>12927.6</v>
      </c>
      <c r="P113" s="1537">
        <f t="shared" si="27"/>
        <v>1</v>
      </c>
      <c r="Q113" s="1130"/>
      <c r="R113" s="1131"/>
      <c r="S113" s="1130"/>
      <c r="U113" s="1008">
        <f t="shared" si="20"/>
        <v>0</v>
      </c>
      <c r="W113" s="1131">
        <f t="shared" si="21"/>
        <v>0</v>
      </c>
    </row>
    <row r="114" spans="1:23" s="1008" customFormat="1" ht="13.2" x14ac:dyDescent="0.25">
      <c r="A114" s="1503">
        <v>2.04</v>
      </c>
      <c r="B114" s="1511" t="s">
        <v>1312</v>
      </c>
      <c r="C114" s="1505"/>
      <c r="D114" s="1515"/>
      <c r="E114" s="1520"/>
      <c r="F114" s="1508"/>
      <c r="G114" s="1509"/>
      <c r="H114" s="1510"/>
      <c r="I114" s="1128"/>
      <c r="J114" s="1129"/>
      <c r="K114" s="1509"/>
      <c r="L114" s="1534"/>
      <c r="M114" s="1535"/>
      <c r="N114" s="1536"/>
      <c r="O114" s="1507"/>
      <c r="P114" s="1537"/>
      <c r="Q114" s="1130"/>
      <c r="R114" s="1131"/>
      <c r="S114" s="1130"/>
      <c r="U114" s="1008" t="e">
        <f t="shared" si="20"/>
        <v>#DIV/0!</v>
      </c>
      <c r="W114" s="1131" t="e">
        <f t="shared" si="21"/>
        <v>#DIV/0!</v>
      </c>
    </row>
    <row r="115" spans="1:23" s="1008" customFormat="1" ht="13.2" x14ac:dyDescent="0.25">
      <c r="A115" s="1512" t="s">
        <v>214</v>
      </c>
      <c r="B115" s="1513" t="s">
        <v>1355</v>
      </c>
      <c r="C115" s="1514" t="s">
        <v>1233</v>
      </c>
      <c r="D115" s="1515">
        <v>1</v>
      </c>
      <c r="E115" s="1520">
        <v>1732.34</v>
      </c>
      <c r="F115" s="1508">
        <v>1732.34</v>
      </c>
      <c r="G115" s="1509">
        <v>0</v>
      </c>
      <c r="H115" s="1510">
        <f t="shared" si="19"/>
        <v>0</v>
      </c>
      <c r="I115" s="1128">
        <v>0</v>
      </c>
      <c r="J115" s="1129">
        <f t="shared" si="18"/>
        <v>0</v>
      </c>
      <c r="K115" s="1509">
        <f t="shared" si="22"/>
        <v>0</v>
      </c>
      <c r="L115" s="1534">
        <f t="shared" si="23"/>
        <v>0</v>
      </c>
      <c r="M115" s="1535">
        <f t="shared" si="24"/>
        <v>0</v>
      </c>
      <c r="N115" s="1536">
        <f t="shared" si="25"/>
        <v>1</v>
      </c>
      <c r="O115" s="1507">
        <f t="shared" si="26"/>
        <v>1732.34</v>
      </c>
      <c r="P115" s="1537">
        <f t="shared" si="27"/>
        <v>1</v>
      </c>
      <c r="Q115" s="1130"/>
      <c r="R115" s="1131"/>
      <c r="S115" s="1130"/>
      <c r="U115" s="1008">
        <f t="shared" si="20"/>
        <v>0</v>
      </c>
      <c r="W115" s="1131">
        <f t="shared" si="21"/>
        <v>0</v>
      </c>
    </row>
    <row r="116" spans="1:23" s="1008" customFormat="1" ht="13.2" x14ac:dyDescent="0.25">
      <c r="A116" s="1512" t="s">
        <v>215</v>
      </c>
      <c r="B116" s="1513" t="s">
        <v>1356</v>
      </c>
      <c r="C116" s="1514" t="s">
        <v>167</v>
      </c>
      <c r="D116" s="1515">
        <v>6550</v>
      </c>
      <c r="E116" s="1520">
        <v>108.14</v>
      </c>
      <c r="F116" s="1508">
        <v>708317</v>
      </c>
      <c r="G116" s="1509">
        <v>0</v>
      </c>
      <c r="H116" s="1510">
        <f t="shared" si="19"/>
        <v>0</v>
      </c>
      <c r="I116" s="1128">
        <v>0</v>
      </c>
      <c r="J116" s="1129">
        <f t="shared" si="18"/>
        <v>0</v>
      </c>
      <c r="K116" s="1509">
        <f t="shared" si="22"/>
        <v>0</v>
      </c>
      <c r="L116" s="1534">
        <f t="shared" si="23"/>
        <v>0</v>
      </c>
      <c r="M116" s="1535">
        <f t="shared" si="24"/>
        <v>0</v>
      </c>
      <c r="N116" s="1536">
        <f t="shared" si="25"/>
        <v>6550</v>
      </c>
      <c r="O116" s="1507">
        <f t="shared" si="26"/>
        <v>708317</v>
      </c>
      <c r="P116" s="1537">
        <f t="shared" si="27"/>
        <v>1</v>
      </c>
      <c r="Q116" s="1130"/>
      <c r="R116" s="1131"/>
      <c r="S116" s="1130"/>
      <c r="U116" s="1008">
        <f t="shared" si="20"/>
        <v>0</v>
      </c>
      <c r="W116" s="1131">
        <f t="shared" si="21"/>
        <v>0</v>
      </c>
    </row>
    <row r="117" spans="1:23" s="1008" customFormat="1" ht="13.2" x14ac:dyDescent="0.25">
      <c r="A117" s="1512" t="s">
        <v>218</v>
      </c>
      <c r="B117" s="1513" t="s">
        <v>1357</v>
      </c>
      <c r="C117" s="1514" t="s">
        <v>167</v>
      </c>
      <c r="D117" s="1515">
        <v>40</v>
      </c>
      <c r="E117" s="1520">
        <v>24.82</v>
      </c>
      <c r="F117" s="1508">
        <v>992.8</v>
      </c>
      <c r="G117" s="1509">
        <v>0</v>
      </c>
      <c r="H117" s="1510">
        <f t="shared" si="19"/>
        <v>0</v>
      </c>
      <c r="I117" s="1128">
        <v>0</v>
      </c>
      <c r="J117" s="1129">
        <f t="shared" si="18"/>
        <v>0</v>
      </c>
      <c r="K117" s="1509">
        <f t="shared" si="22"/>
        <v>0</v>
      </c>
      <c r="L117" s="1534">
        <f t="shared" si="23"/>
        <v>0</v>
      </c>
      <c r="M117" s="1535">
        <f t="shared" si="24"/>
        <v>0</v>
      </c>
      <c r="N117" s="1536">
        <f t="shared" si="25"/>
        <v>40</v>
      </c>
      <c r="O117" s="1507">
        <f t="shared" si="26"/>
        <v>992.8</v>
      </c>
      <c r="P117" s="1537">
        <f t="shared" si="27"/>
        <v>1</v>
      </c>
      <c r="Q117" s="1130"/>
      <c r="R117" s="1131"/>
      <c r="S117" s="1130"/>
      <c r="U117" s="1008">
        <f t="shared" si="20"/>
        <v>0</v>
      </c>
      <c r="W117" s="1131">
        <f t="shared" si="21"/>
        <v>0</v>
      </c>
    </row>
    <row r="118" spans="1:23" s="1008" customFormat="1" ht="13.2" x14ac:dyDescent="0.25">
      <c r="A118" s="1554" t="s">
        <v>219</v>
      </c>
      <c r="B118" s="1555" t="s">
        <v>1358</v>
      </c>
      <c r="C118" s="1556" t="s">
        <v>1308</v>
      </c>
      <c r="D118" s="1557">
        <v>935.5</v>
      </c>
      <c r="E118" s="1567">
        <v>256.44</v>
      </c>
      <c r="F118" s="1559">
        <v>239899.62</v>
      </c>
      <c r="G118" s="1560">
        <f>9.96+63.14+37.19-0.00004</f>
        <v>110.28995999999999</v>
      </c>
      <c r="H118" s="1561">
        <f t="shared" si="19"/>
        <v>28282.757342399997</v>
      </c>
      <c r="I118" s="1562">
        <v>65.37</v>
      </c>
      <c r="J118" s="1561">
        <f t="shared" si="18"/>
        <v>16763.48</v>
      </c>
      <c r="K118" s="1560">
        <f t="shared" si="22"/>
        <v>175.65996000000001</v>
      </c>
      <c r="L118" s="1563">
        <f t="shared" si="23"/>
        <v>45046.239999999998</v>
      </c>
      <c r="M118" s="1564">
        <f t="shared" si="24"/>
        <v>0.18777120256547303</v>
      </c>
      <c r="N118" s="1565">
        <f t="shared" si="25"/>
        <v>759.84</v>
      </c>
      <c r="O118" s="1558">
        <f t="shared" si="26"/>
        <v>194853.38</v>
      </c>
      <c r="P118" s="1566">
        <f t="shared" si="27"/>
        <v>0.81222875467664357</v>
      </c>
      <c r="Q118" s="1130"/>
      <c r="R118" s="1131"/>
      <c r="S118" s="1130"/>
      <c r="U118" s="1008">
        <f t="shared" si="20"/>
        <v>110.28995999999999</v>
      </c>
      <c r="W118" s="1131">
        <f t="shared" si="21"/>
        <v>-110.28995999999999</v>
      </c>
    </row>
    <row r="119" spans="1:23" s="1008" customFormat="1" ht="13.2" x14ac:dyDescent="0.25">
      <c r="A119" s="1503">
        <v>3</v>
      </c>
      <c r="B119" s="1511" t="s">
        <v>1359</v>
      </c>
      <c r="C119" s="1505"/>
      <c r="D119" s="1515"/>
      <c r="E119" s="1520"/>
      <c r="F119" s="1508"/>
      <c r="G119" s="1509"/>
      <c r="H119" s="1510"/>
      <c r="I119" s="1128"/>
      <c r="J119" s="1129"/>
      <c r="K119" s="1509"/>
      <c r="L119" s="1534"/>
      <c r="M119" s="1535"/>
      <c r="N119" s="1536"/>
      <c r="O119" s="1507"/>
      <c r="P119" s="1537"/>
      <c r="Q119" s="1130"/>
      <c r="R119" s="1131"/>
      <c r="S119" s="1130"/>
      <c r="U119" s="1008" t="e">
        <f t="shared" si="20"/>
        <v>#DIV/0!</v>
      </c>
      <c r="W119" s="1131" t="e">
        <f t="shared" si="21"/>
        <v>#DIV/0!</v>
      </c>
    </row>
    <row r="120" spans="1:23" s="1008" customFormat="1" ht="13.2" x14ac:dyDescent="0.25">
      <c r="A120" s="1740">
        <v>3.01</v>
      </c>
      <c r="B120" s="1741" t="s">
        <v>1360</v>
      </c>
      <c r="C120" s="1742" t="s">
        <v>277</v>
      </c>
      <c r="D120" s="1743">
        <v>1</v>
      </c>
      <c r="E120" s="1752">
        <v>61438.8</v>
      </c>
      <c r="F120" s="1745">
        <v>61438.8</v>
      </c>
      <c r="G120" s="1746">
        <f>0.5+0.25+0.1</f>
        <v>0.85</v>
      </c>
      <c r="H120" s="1747">
        <f t="shared" si="19"/>
        <v>52222.98</v>
      </c>
      <c r="I120" s="1128">
        <v>0</v>
      </c>
      <c r="J120" s="1129">
        <f t="shared" si="18"/>
        <v>0</v>
      </c>
      <c r="K120" s="1746">
        <f t="shared" si="22"/>
        <v>0.85</v>
      </c>
      <c r="L120" s="1748">
        <f t="shared" si="23"/>
        <v>52222.98</v>
      </c>
      <c r="M120" s="1749">
        <f t="shared" si="24"/>
        <v>0.85</v>
      </c>
      <c r="N120" s="1750">
        <f t="shared" si="25"/>
        <v>0.15</v>
      </c>
      <c r="O120" s="1744">
        <f t="shared" si="26"/>
        <v>9215.82</v>
      </c>
      <c r="P120" s="1751">
        <f t="shared" si="27"/>
        <v>0.15</v>
      </c>
      <c r="Q120" s="1130"/>
      <c r="R120" s="1131"/>
      <c r="S120" s="1130"/>
      <c r="U120" s="1008">
        <f t="shared" si="20"/>
        <v>0.85</v>
      </c>
      <c r="W120" s="1131">
        <f t="shared" si="21"/>
        <v>-0.85</v>
      </c>
    </row>
    <row r="121" spans="1:23" s="1008" customFormat="1" ht="13.2" x14ac:dyDescent="0.25">
      <c r="A121" s="1512"/>
      <c r="B121" s="1133"/>
      <c r="C121" s="1521"/>
      <c r="D121" s="1522"/>
      <c r="E121" s="1507"/>
      <c r="F121" s="1523"/>
      <c r="G121" s="1524"/>
      <c r="H121" s="1525"/>
      <c r="I121" s="1134"/>
      <c r="J121" s="1135"/>
      <c r="K121" s="1524"/>
      <c r="L121" s="1538"/>
      <c r="M121" s="1539"/>
      <c r="N121" s="1540"/>
      <c r="O121" s="1520"/>
      <c r="P121" s="1541"/>
      <c r="Q121" s="1130"/>
      <c r="R121" s="1130"/>
      <c r="S121" s="1130"/>
      <c r="U121" s="1008" t="e">
        <f t="shared" si="20"/>
        <v>#DIV/0!</v>
      </c>
    </row>
    <row r="122" spans="1:23" s="1008" customFormat="1" ht="6.9" customHeight="1" x14ac:dyDescent="0.25">
      <c r="A122" s="1526"/>
      <c r="B122" s="1136"/>
      <c r="C122" s="1527"/>
      <c r="D122" s="1528"/>
      <c r="E122" s="1529"/>
      <c r="F122" s="1530"/>
      <c r="G122" s="1528"/>
      <c r="H122" s="1530"/>
      <c r="I122" s="1137"/>
      <c r="J122" s="1138"/>
      <c r="K122" s="1528"/>
      <c r="L122" s="1529"/>
      <c r="M122" s="1530"/>
      <c r="N122" s="1528"/>
      <c r="O122" s="1529"/>
      <c r="P122" s="1542"/>
      <c r="Q122" s="1130"/>
      <c r="R122" s="1130"/>
      <c r="S122" s="1130"/>
      <c r="U122" s="1008" t="e">
        <f t="shared" si="20"/>
        <v>#DIV/0!</v>
      </c>
    </row>
    <row r="123" spans="1:23" s="1113" customFormat="1" ht="15" customHeight="1" x14ac:dyDescent="0.25">
      <c r="A123" s="1139"/>
      <c r="B123" s="1140" t="s">
        <v>1361</v>
      </c>
      <c r="C123" s="1141"/>
      <c r="D123" s="1142">
        <v>395367538.26999998</v>
      </c>
      <c r="E123" s="1143" t="s">
        <v>105</v>
      </c>
      <c r="F123" s="1144">
        <f>SUM(F17:F122)</f>
        <v>13612207.299999999</v>
      </c>
      <c r="G123" s="1145"/>
      <c r="H123" s="1295">
        <f>ROUND(SUM(H17:H122),2)-0.01</f>
        <v>5226184.75</v>
      </c>
      <c r="I123" s="1146"/>
      <c r="J123" s="1147">
        <f>ROUND(SUM(J17:J122),2)</f>
        <v>190736.29</v>
      </c>
      <c r="K123" s="1145"/>
      <c r="L123" s="1145">
        <f>ROUND(H123+J123,2)</f>
        <v>5416921.04</v>
      </c>
      <c r="M123" s="1144"/>
      <c r="N123" s="1145"/>
      <c r="O123" s="1145">
        <f>ROUND(F123-L123,2)</f>
        <v>8195286.2599999998</v>
      </c>
      <c r="P123" s="1148"/>
      <c r="Q123" s="1149">
        <f>+L123+O123</f>
        <v>13612207.300000001</v>
      </c>
      <c r="R123" s="1149"/>
      <c r="S123" s="1149"/>
      <c r="U123" s="1008" t="e">
        <f t="shared" si="20"/>
        <v>#VALUE!</v>
      </c>
    </row>
    <row r="124" spans="1:23" s="419" customFormat="1" ht="15" customHeight="1" x14ac:dyDescent="0.25">
      <c r="A124" s="1150"/>
      <c r="B124" s="1133" t="s">
        <v>1362</v>
      </c>
      <c r="C124" s="1151">
        <v>0.1</v>
      </c>
      <c r="D124" s="1152">
        <v>5063757.78</v>
      </c>
      <c r="E124" s="1153" t="s">
        <v>105</v>
      </c>
      <c r="F124" s="1154">
        <v>1361220.73</v>
      </c>
      <c r="G124" s="1155"/>
      <c r="H124" s="1296">
        <f>ROUND(H123*$C124,2)+0.01</f>
        <v>522618.49</v>
      </c>
      <c r="I124" s="1156"/>
      <c r="J124" s="1157">
        <f>ROUND(J123*$C124,2)</f>
        <v>19073.63</v>
      </c>
      <c r="K124" s="1155"/>
      <c r="L124" s="1155">
        <f>ROUND(H124+J124,2)</f>
        <v>541692.12</v>
      </c>
      <c r="M124" s="1154"/>
      <c r="N124" s="1155"/>
      <c r="O124" s="1155">
        <f t="shared" ref="O124:O129" si="28">ROUND(F124-L124,2)</f>
        <v>819528.61</v>
      </c>
      <c r="P124" s="1158"/>
      <c r="Q124" s="1149">
        <f t="shared" ref="Q124:Q131" si="29">+L124+O124</f>
        <v>1361220.73</v>
      </c>
      <c r="R124" s="1130"/>
      <c r="S124" s="1130"/>
      <c r="U124" s="1008" t="e">
        <f t="shared" si="20"/>
        <v>#VALUE!</v>
      </c>
    </row>
    <row r="125" spans="1:23" s="419" customFormat="1" ht="15" customHeight="1" x14ac:dyDescent="0.25">
      <c r="A125" s="1150"/>
      <c r="B125" s="1133" t="s">
        <v>1363</v>
      </c>
      <c r="C125" s="1151">
        <f>F125/F123</f>
        <v>0</v>
      </c>
      <c r="D125" s="1152">
        <v>39536753.82</v>
      </c>
      <c r="E125" s="1153" t="s">
        <v>105</v>
      </c>
      <c r="F125" s="1154">
        <v>0</v>
      </c>
      <c r="G125" s="1155"/>
      <c r="H125" s="1296">
        <f>ROUND(H123*$C125,2)</f>
        <v>0</v>
      </c>
      <c r="I125" s="1156"/>
      <c r="J125" s="1157">
        <f>ROUND(J123*$C125,2)</f>
        <v>0</v>
      </c>
      <c r="K125" s="1155"/>
      <c r="L125" s="1155">
        <f t="shared" ref="L125:L126" si="30">ROUND(H125+J125,2)</f>
        <v>0</v>
      </c>
      <c r="M125" s="1154"/>
      <c r="N125" s="1155"/>
      <c r="O125" s="1155">
        <f t="shared" si="28"/>
        <v>0</v>
      </c>
      <c r="P125" s="1158"/>
      <c r="Q125" s="1149">
        <f t="shared" si="29"/>
        <v>0</v>
      </c>
      <c r="R125" s="1130"/>
      <c r="S125" s="1130"/>
      <c r="U125" s="1008" t="e">
        <f t="shared" si="20"/>
        <v>#VALUE!</v>
      </c>
    </row>
    <row r="126" spans="1:23" s="419" customFormat="1" ht="15" customHeight="1" x14ac:dyDescent="0.25">
      <c r="A126" s="1150"/>
      <c r="B126" s="1133" t="s">
        <v>1364</v>
      </c>
      <c r="C126" s="1151">
        <f>+F126/F123</f>
        <v>1.3050787876261627E-2</v>
      </c>
      <c r="D126" s="1152"/>
      <c r="E126" s="1153" t="s">
        <v>105</v>
      </c>
      <c r="F126" s="1154">
        <v>177650.03</v>
      </c>
      <c r="G126" s="1155"/>
      <c r="H126" s="1296">
        <f>21752.07+6090.9</f>
        <v>27842.97</v>
      </c>
      <c r="I126" s="1156"/>
      <c r="J126" s="1157">
        <v>3782.88</v>
      </c>
      <c r="K126" s="1155"/>
      <c r="L126" s="1155">
        <f t="shared" si="30"/>
        <v>31625.85</v>
      </c>
      <c r="M126" s="1154"/>
      <c r="N126" s="1155"/>
      <c r="O126" s="1155">
        <f t="shared" si="28"/>
        <v>146024.18</v>
      </c>
      <c r="P126" s="1158"/>
      <c r="Q126" s="1149"/>
      <c r="R126" s="1130"/>
      <c r="S126" s="1130"/>
      <c r="U126" s="1008" t="e">
        <f t="shared" si="20"/>
        <v>#VALUE!</v>
      </c>
    </row>
    <row r="127" spans="1:23" s="1113" customFormat="1" ht="15" customHeight="1" x14ac:dyDescent="0.25">
      <c r="A127" s="1159"/>
      <c r="B127" s="1160" t="s">
        <v>1365</v>
      </c>
      <c r="C127" s="1161"/>
      <c r="D127" s="1161"/>
      <c r="E127" s="1162" t="s">
        <v>105</v>
      </c>
      <c r="F127" s="1163">
        <f>SUM(F123:F126)</f>
        <v>15151078.059999999</v>
      </c>
      <c r="G127" s="1164"/>
      <c r="H127" s="1297">
        <f>ROUND(SUM(H123:H126),2)</f>
        <v>5776646.21</v>
      </c>
      <c r="I127" s="1165"/>
      <c r="J127" s="1166">
        <f>ROUND(SUM(J123:J126),2)</f>
        <v>213592.8</v>
      </c>
      <c r="K127" s="1164"/>
      <c r="L127" s="1164">
        <f>ROUND(L123+L124+L125+L126,2)</f>
        <v>5990239.0099999998</v>
      </c>
      <c r="M127" s="1163"/>
      <c r="N127" s="1164"/>
      <c r="O127" s="1164">
        <f t="shared" si="28"/>
        <v>9160839.0500000007</v>
      </c>
      <c r="P127" s="1167"/>
      <c r="Q127" s="1149">
        <f t="shared" si="29"/>
        <v>15151078.060000001</v>
      </c>
      <c r="R127" s="1149"/>
      <c r="S127" s="1149"/>
      <c r="U127" s="1008" t="e">
        <f t="shared" si="20"/>
        <v>#VALUE!</v>
      </c>
    </row>
    <row r="128" spans="1:23" s="419" customFormat="1" ht="15" customHeight="1" x14ac:dyDescent="0.25">
      <c r="A128" s="1150"/>
      <c r="B128" s="1133" t="s">
        <v>1366</v>
      </c>
      <c r="C128" s="1168">
        <v>0.18</v>
      </c>
      <c r="D128" s="1168"/>
      <c r="E128" s="1153" t="s">
        <v>105</v>
      </c>
      <c r="F128" s="1154">
        <f>ROUND(F127*$C128,2)</f>
        <v>2727194.05</v>
      </c>
      <c r="G128" s="1155"/>
      <c r="H128" s="1296">
        <f>ROUND(H127*$C128,2)-0.01</f>
        <v>1039796.3099999999</v>
      </c>
      <c r="I128" s="1156"/>
      <c r="J128" s="1157">
        <f>ROUND(J127*$C128,2)</f>
        <v>38446.699999999997</v>
      </c>
      <c r="K128" s="1155"/>
      <c r="L128" s="1155">
        <f>ROUND(H128+J128,2)</f>
        <v>1078243.01</v>
      </c>
      <c r="M128" s="1154"/>
      <c r="N128" s="1155"/>
      <c r="O128" s="1155">
        <f t="shared" si="28"/>
        <v>1648951.04</v>
      </c>
      <c r="P128" s="1158"/>
      <c r="Q128" s="1149">
        <f t="shared" si="29"/>
        <v>2727194.05</v>
      </c>
      <c r="R128" s="1130"/>
      <c r="S128" s="1130"/>
      <c r="U128" s="1008" t="e">
        <f t="shared" si="20"/>
        <v>#VALUE!</v>
      </c>
    </row>
    <row r="129" spans="1:21" s="419" customFormat="1" ht="15" customHeight="1" x14ac:dyDescent="0.25">
      <c r="A129" s="1169"/>
      <c r="B129" s="1136" t="s">
        <v>1365</v>
      </c>
      <c r="C129" s="1170"/>
      <c r="D129" s="1170"/>
      <c r="E129" s="1171" t="s">
        <v>105</v>
      </c>
      <c r="F129" s="1172">
        <f>SUM(F127:F128)</f>
        <v>17878272.109999999</v>
      </c>
      <c r="G129" s="1173"/>
      <c r="H129" s="1298">
        <f>ROUND(SUM(H127:H128),2)</f>
        <v>6816442.5199999996</v>
      </c>
      <c r="I129" s="1174"/>
      <c r="J129" s="1175">
        <f>ROUND(SUM(J127:J128),2)</f>
        <v>252039.5</v>
      </c>
      <c r="K129" s="1173"/>
      <c r="L129" s="1173">
        <f>L127+L128</f>
        <v>7068482.0199999996</v>
      </c>
      <c r="M129" s="1172"/>
      <c r="N129" s="1173"/>
      <c r="O129" s="1173">
        <f t="shared" si="28"/>
        <v>10809790.09</v>
      </c>
      <c r="P129" s="1176"/>
      <c r="Q129" s="1149">
        <f t="shared" si="29"/>
        <v>17878272.109999999</v>
      </c>
      <c r="R129" s="1130"/>
      <c r="S129" s="1130"/>
      <c r="U129" s="1008" t="e">
        <f t="shared" si="20"/>
        <v>#VALUE!</v>
      </c>
    </row>
    <row r="130" spans="1:21" s="419" customFormat="1" ht="6.9" customHeight="1" x14ac:dyDescent="0.25">
      <c r="A130" s="1177"/>
      <c r="B130" s="1177"/>
      <c r="C130" s="1177"/>
      <c r="D130" s="1177"/>
      <c r="E130" s="1178"/>
      <c r="F130" s="1179"/>
      <c r="G130" s="1179"/>
      <c r="H130" s="1179"/>
      <c r="I130" s="1179"/>
      <c r="J130" s="1179"/>
      <c r="K130" s="1179"/>
      <c r="L130" s="1179"/>
      <c r="M130" s="1179"/>
      <c r="N130" s="1179"/>
      <c r="O130" s="1179"/>
      <c r="P130" s="1180"/>
      <c r="Q130" s="1130"/>
      <c r="R130" s="1130"/>
      <c r="S130" s="1130"/>
      <c r="U130" s="1008" t="e">
        <f t="shared" si="20"/>
        <v>#DIV/0!</v>
      </c>
    </row>
    <row r="131" spans="1:21" s="1008" customFormat="1" ht="13.2" x14ac:dyDescent="0.25">
      <c r="A131" s="1181"/>
      <c r="B131" s="1182" t="s">
        <v>1367</v>
      </c>
      <c r="C131" s="1181"/>
      <c r="D131" s="1181"/>
      <c r="E131" s="1183"/>
      <c r="F131" s="1184">
        <f>F129/F129</f>
        <v>1</v>
      </c>
      <c r="G131" s="1185"/>
      <c r="H131" s="1184">
        <f>+H127/F127</f>
        <v>0.38126964874207775</v>
      </c>
      <c r="I131" s="1697"/>
      <c r="J131" s="1186">
        <f>ROUND(J127/$F127,4)</f>
        <v>1.41E-2</v>
      </c>
      <c r="K131" s="1187"/>
      <c r="L131" s="1184">
        <f>+L127/F127</f>
        <v>0.39536718022822992</v>
      </c>
      <c r="M131" s="1188"/>
      <c r="N131" s="1183"/>
      <c r="O131" s="1184">
        <f>F131-L131</f>
        <v>0.60463281977177008</v>
      </c>
      <c r="P131" s="1189"/>
      <c r="Q131" s="1149">
        <f t="shared" si="29"/>
        <v>1</v>
      </c>
      <c r="R131" s="1130"/>
      <c r="U131" s="1008" t="e">
        <f t="shared" si="20"/>
        <v>#DIV/0!</v>
      </c>
    </row>
    <row r="134" spans="1:21" x14ac:dyDescent="0.2">
      <c r="J134" s="1299">
        <f>+J123/F123</f>
        <v>1.4012149961894867E-2</v>
      </c>
    </row>
    <row r="139" spans="1:21" x14ac:dyDescent="0.2">
      <c r="G139" s="202"/>
      <c r="H139" s="202">
        <v>2299274.63</v>
      </c>
      <c r="I139" s="202"/>
      <c r="J139" s="486">
        <v>1513735.91</v>
      </c>
      <c r="L139" s="202">
        <v>3813010.54</v>
      </c>
    </row>
  </sheetData>
  <autoFilter ref="A14:O14"/>
  <mergeCells count="15">
    <mergeCell ref="N12:P13"/>
    <mergeCell ref="G13:H13"/>
    <mergeCell ref="D6:O6"/>
    <mergeCell ref="A1:B1"/>
    <mergeCell ref="C1:J1"/>
    <mergeCell ref="A2:B2"/>
    <mergeCell ref="A4:O4"/>
    <mergeCell ref="I13:J13"/>
    <mergeCell ref="K13:M13"/>
    <mergeCell ref="A12:A14"/>
    <mergeCell ref="B12:B14"/>
    <mergeCell ref="C12:C14"/>
    <mergeCell ref="D12:F12"/>
    <mergeCell ref="G12:M12"/>
    <mergeCell ref="A3:P3"/>
  </mergeCells>
  <conditionalFormatting sqref="O132:O1048576 O1:O2 O4:O11">
    <cfRule type="cellIs" dxfId="7" priority="26" operator="greaterThan">
      <formula>0</formula>
    </cfRule>
  </conditionalFormatting>
  <conditionalFormatting sqref="P17:P131">
    <cfRule type="cellIs" dxfId="6" priority="1" stopIfTrue="1" operator="lessThan">
      <formula>0</formula>
    </cfRule>
  </conditionalFormatting>
  <printOptions horizontalCentered="1" verticalCentered="1"/>
  <pageMargins left="0.19685039370078741" right="0" top="0.39370078740157483" bottom="0.55118110236220474" header="0.31496062992125984" footer="0.31496062992125984"/>
  <pageSetup paperSize="9" scale="52" orientation="landscape" horizontalDpi="4294967294" r:id="rId1"/>
  <rowBreaks count="1" manualBreakCount="1">
    <brk id="72" max="15"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IS52"/>
  <sheetViews>
    <sheetView view="pageBreakPreview" topLeftCell="A12" zoomScale="85" zoomScaleNormal="90" zoomScaleSheetLayoutView="85" workbookViewId="0">
      <pane ySplit="876" activePane="bottomLeft"/>
      <selection activeCell="I1" sqref="I1:I1048576"/>
      <selection pane="bottomLeft" activeCell="F29" sqref="F29"/>
    </sheetView>
  </sheetViews>
  <sheetFormatPr baseColWidth="10" defaultColWidth="10.5546875" defaultRowHeight="10.199999999999999" x14ac:dyDescent="0.2"/>
  <cols>
    <col min="1" max="1" width="7.33203125" style="205" customWidth="1"/>
    <col min="2" max="2" width="61.6640625" style="197" customWidth="1"/>
    <col min="3" max="3" width="6.88671875" style="198" customWidth="1"/>
    <col min="4" max="4" width="11" style="392" customWidth="1"/>
    <col min="5" max="5" width="11" style="198" customWidth="1"/>
    <col min="6" max="6" width="14.33203125" style="402" customWidth="1"/>
    <col min="7" max="7" width="11.5546875" style="198" customWidth="1"/>
    <col min="8" max="8" width="12.44140625" style="198" customWidth="1"/>
    <col min="9" max="9" width="11" style="704" customWidth="1"/>
    <col min="10" max="10" width="15" style="198" customWidth="1"/>
    <col min="11" max="11" width="11" style="198" customWidth="1"/>
    <col min="12" max="12" width="16" style="198" customWidth="1"/>
    <col min="13" max="13" width="7.44140625" style="198" customWidth="1"/>
    <col min="14" max="14" width="11" style="198" customWidth="1"/>
    <col min="15" max="15" width="17.33203125" style="198" customWidth="1"/>
    <col min="16" max="16" width="7.33203125" style="197" customWidth="1"/>
    <col min="17" max="17" width="10.5546875" style="197" customWidth="1"/>
    <col min="18" max="18" width="14.44140625" style="387" customWidth="1"/>
    <col min="19" max="19" width="18.6640625" style="387" customWidth="1"/>
    <col min="20" max="16384" width="10.5546875" style="197"/>
  </cols>
  <sheetData>
    <row r="1" spans="1:253" x14ac:dyDescent="0.2">
      <c r="A1" s="2172" t="str">
        <f>RESUM_VAL_!A1</f>
        <v>GOBIERNO REGIONAL AYACUCHO</v>
      </c>
      <c r="B1" s="2172"/>
      <c r="C1" s="2191"/>
      <c r="D1" s="2191"/>
      <c r="E1" s="2191"/>
      <c r="F1" s="2191"/>
      <c r="G1" s="2191"/>
      <c r="H1" s="2191"/>
      <c r="I1" s="2191"/>
      <c r="J1" s="2191"/>
      <c r="K1" s="139"/>
      <c r="L1" s="139"/>
      <c r="M1" s="139"/>
      <c r="N1" s="139"/>
      <c r="O1" s="139"/>
      <c r="P1" s="125"/>
      <c r="Q1" s="125"/>
      <c r="T1" s="125"/>
      <c r="U1" s="125"/>
      <c r="V1" s="125"/>
      <c r="W1" s="125"/>
      <c r="X1" s="125"/>
      <c r="Y1" s="125"/>
      <c r="Z1" s="125"/>
      <c r="AA1" s="125"/>
      <c r="AB1" s="125"/>
      <c r="AC1" s="125"/>
      <c r="AD1" s="125"/>
      <c r="AE1" s="125"/>
      <c r="AF1" s="125"/>
      <c r="AG1" s="125"/>
      <c r="AH1" s="125"/>
      <c r="AI1" s="125"/>
      <c r="AJ1" s="125"/>
      <c r="AK1" s="125"/>
      <c r="AL1" s="125"/>
      <c r="AM1" s="125"/>
      <c r="AN1" s="125"/>
      <c r="AO1" s="125"/>
      <c r="AP1" s="125"/>
      <c r="AQ1" s="125"/>
      <c r="AR1" s="125"/>
      <c r="AS1" s="125"/>
      <c r="AT1" s="125"/>
      <c r="AU1" s="125"/>
      <c r="AV1" s="125"/>
      <c r="AW1" s="125"/>
      <c r="AX1" s="125"/>
      <c r="AY1" s="125"/>
      <c r="AZ1" s="125"/>
      <c r="BA1" s="125"/>
      <c r="BB1" s="125"/>
      <c r="BC1" s="125"/>
      <c r="BD1" s="125"/>
      <c r="BE1" s="125"/>
      <c r="BF1" s="125"/>
      <c r="BG1" s="125"/>
      <c r="BH1" s="125"/>
      <c r="BI1" s="125"/>
      <c r="BJ1" s="125"/>
      <c r="BK1" s="125"/>
      <c r="BL1" s="125"/>
      <c r="BM1" s="125"/>
      <c r="BN1" s="125"/>
      <c r="BO1" s="125"/>
      <c r="BP1" s="125"/>
      <c r="BQ1" s="125"/>
      <c r="BR1" s="125"/>
      <c r="BS1" s="125"/>
      <c r="BT1" s="125"/>
      <c r="BU1" s="125"/>
      <c r="BV1" s="125"/>
      <c r="BW1" s="125"/>
      <c r="BX1" s="125"/>
      <c r="BY1" s="125"/>
      <c r="BZ1" s="125"/>
      <c r="CA1" s="125"/>
      <c r="CB1" s="125"/>
      <c r="CC1" s="125"/>
      <c r="CD1" s="125"/>
      <c r="CE1" s="125"/>
      <c r="CF1" s="125"/>
      <c r="CG1" s="125"/>
      <c r="CH1" s="125"/>
      <c r="CI1" s="125"/>
      <c r="CJ1" s="125"/>
      <c r="CK1" s="125"/>
      <c r="CL1" s="125"/>
      <c r="CM1" s="125"/>
      <c r="CN1" s="125"/>
      <c r="CO1" s="125"/>
      <c r="CP1" s="125"/>
      <c r="CQ1" s="125"/>
      <c r="CR1" s="125"/>
      <c r="CS1" s="125"/>
      <c r="CT1" s="125"/>
      <c r="CU1" s="125"/>
      <c r="CV1" s="125"/>
      <c r="CW1" s="125"/>
      <c r="CX1" s="125"/>
      <c r="CY1" s="125"/>
      <c r="CZ1" s="125"/>
      <c r="DA1" s="125"/>
      <c r="DB1" s="125"/>
      <c r="DC1" s="125"/>
      <c r="DD1" s="125"/>
      <c r="DE1" s="125"/>
      <c r="DF1" s="125"/>
      <c r="DG1" s="125"/>
      <c r="DH1" s="125"/>
      <c r="DI1" s="125"/>
      <c r="DJ1" s="125"/>
      <c r="DK1" s="125"/>
      <c r="DL1" s="125"/>
      <c r="DM1" s="125"/>
      <c r="DN1" s="125"/>
      <c r="DO1" s="125"/>
      <c r="DP1" s="125"/>
      <c r="DQ1" s="125"/>
      <c r="DR1" s="125"/>
      <c r="DS1" s="125"/>
      <c r="DT1" s="125"/>
      <c r="DU1" s="125"/>
      <c r="DV1" s="125"/>
      <c r="DW1" s="125"/>
      <c r="DX1" s="125"/>
      <c r="DY1" s="125"/>
      <c r="DZ1" s="125"/>
      <c r="EA1" s="125"/>
      <c r="EB1" s="125"/>
      <c r="EC1" s="125"/>
      <c r="ED1" s="125"/>
      <c r="EE1" s="125"/>
      <c r="EF1" s="125"/>
      <c r="EG1" s="125"/>
      <c r="EH1" s="125"/>
      <c r="EI1" s="125"/>
      <c r="EJ1" s="125"/>
      <c r="EK1" s="125"/>
      <c r="EL1" s="125"/>
      <c r="EM1" s="125"/>
      <c r="EN1" s="125"/>
      <c r="EO1" s="125"/>
      <c r="EP1" s="125"/>
      <c r="EQ1" s="125"/>
      <c r="ER1" s="125"/>
      <c r="ES1" s="125"/>
      <c r="ET1" s="125"/>
      <c r="EU1" s="125"/>
      <c r="EV1" s="125"/>
      <c r="EW1" s="125"/>
      <c r="EX1" s="125"/>
      <c r="EY1" s="125"/>
      <c r="EZ1" s="125"/>
      <c r="FA1" s="125"/>
      <c r="FB1" s="125"/>
      <c r="FC1" s="125"/>
      <c r="FD1" s="125"/>
      <c r="FE1" s="125"/>
      <c r="FF1" s="125"/>
      <c r="FG1" s="125"/>
      <c r="FH1" s="125"/>
      <c r="FI1" s="125"/>
      <c r="FJ1" s="125"/>
      <c r="FK1" s="125"/>
      <c r="FL1" s="125"/>
      <c r="FM1" s="125"/>
      <c r="FN1" s="125"/>
      <c r="FO1" s="125"/>
      <c r="FP1" s="125"/>
      <c r="FQ1" s="125"/>
      <c r="FR1" s="125"/>
      <c r="FS1" s="125"/>
      <c r="FT1" s="125"/>
      <c r="FU1" s="125"/>
      <c r="FV1" s="125"/>
      <c r="FW1" s="125"/>
      <c r="FX1" s="125"/>
      <c r="FY1" s="125"/>
      <c r="FZ1" s="125"/>
      <c r="GA1" s="125"/>
      <c r="GB1" s="125"/>
      <c r="GC1" s="125"/>
      <c r="GD1" s="125"/>
      <c r="GE1" s="125"/>
      <c r="GF1" s="125"/>
      <c r="GG1" s="125"/>
      <c r="GH1" s="125"/>
      <c r="GI1" s="125"/>
      <c r="GJ1" s="125"/>
      <c r="GK1" s="125"/>
      <c r="GL1" s="125"/>
      <c r="GM1" s="125"/>
      <c r="GN1" s="125"/>
      <c r="GO1" s="125"/>
      <c r="GP1" s="125"/>
      <c r="GQ1" s="125"/>
      <c r="GR1" s="125"/>
      <c r="GS1" s="125"/>
      <c r="GT1" s="125"/>
      <c r="GU1" s="125"/>
      <c r="GV1" s="125"/>
      <c r="GW1" s="125"/>
      <c r="GX1" s="125"/>
      <c r="GY1" s="125"/>
      <c r="GZ1" s="125"/>
      <c r="HA1" s="125"/>
      <c r="HB1" s="125"/>
      <c r="HC1" s="125"/>
      <c r="HD1" s="125"/>
      <c r="HE1" s="125"/>
      <c r="HF1" s="125"/>
      <c r="HG1" s="125"/>
      <c r="HH1" s="125"/>
      <c r="HI1" s="125"/>
      <c r="HJ1" s="125"/>
      <c r="HK1" s="125"/>
      <c r="HL1" s="125"/>
      <c r="HM1" s="125"/>
      <c r="HN1" s="125"/>
      <c r="HO1" s="125"/>
      <c r="HP1" s="125"/>
      <c r="HQ1" s="125"/>
      <c r="HR1" s="125"/>
      <c r="HS1" s="125"/>
      <c r="HT1" s="125"/>
      <c r="HU1" s="125"/>
      <c r="HV1" s="125"/>
      <c r="HW1" s="125"/>
      <c r="HX1" s="125"/>
      <c r="HY1" s="125"/>
      <c r="HZ1" s="125"/>
      <c r="IA1" s="125"/>
      <c r="IB1" s="125"/>
      <c r="IC1" s="125"/>
      <c r="ID1" s="125"/>
      <c r="IE1" s="125"/>
      <c r="IF1" s="125"/>
      <c r="IG1" s="125"/>
      <c r="IH1" s="125"/>
      <c r="II1" s="125"/>
      <c r="IJ1" s="125"/>
      <c r="IK1" s="125"/>
      <c r="IL1" s="125"/>
      <c r="IM1" s="125"/>
      <c r="IN1" s="125"/>
      <c r="IO1" s="125"/>
      <c r="IP1" s="125"/>
      <c r="IQ1" s="125"/>
      <c r="IR1" s="125"/>
      <c r="IS1" s="125"/>
    </row>
    <row r="2" spans="1:253" x14ac:dyDescent="0.2">
      <c r="A2" s="2172" t="str">
        <f>RESUM_VAL_!A2</f>
        <v>SUBGERENCIA DE SUPERVISION Y LIQUIDACION</v>
      </c>
      <c r="B2" s="2172"/>
      <c r="F2" s="400"/>
      <c r="G2" s="139"/>
      <c r="H2" s="139"/>
      <c r="J2" s="139"/>
      <c r="K2" s="139"/>
      <c r="L2" s="139"/>
      <c r="M2" s="139"/>
      <c r="N2" s="139"/>
      <c r="O2" s="139"/>
      <c r="P2" s="125"/>
      <c r="Q2" s="125"/>
      <c r="T2" s="125"/>
      <c r="U2" s="125"/>
      <c r="V2" s="125"/>
      <c r="W2" s="125"/>
      <c r="X2" s="125"/>
      <c r="Y2" s="125"/>
      <c r="Z2" s="125"/>
      <c r="AA2" s="125"/>
      <c r="AB2" s="125"/>
      <c r="AC2" s="125"/>
      <c r="AD2" s="125"/>
      <c r="AE2" s="125"/>
      <c r="AF2" s="125"/>
      <c r="AG2" s="125"/>
      <c r="AH2" s="125"/>
      <c r="AI2" s="125"/>
      <c r="AJ2" s="125"/>
      <c r="AK2" s="125"/>
      <c r="AL2" s="125"/>
      <c r="AM2" s="125"/>
      <c r="AN2" s="125"/>
      <c r="AO2" s="125"/>
      <c r="AP2" s="125"/>
      <c r="AQ2" s="125"/>
      <c r="AR2" s="125"/>
      <c r="AS2" s="125"/>
      <c r="AT2" s="125"/>
      <c r="AU2" s="125"/>
      <c r="AV2" s="125"/>
      <c r="AW2" s="125"/>
      <c r="AX2" s="125"/>
      <c r="AY2" s="125"/>
      <c r="AZ2" s="125"/>
      <c r="BA2" s="125"/>
      <c r="BB2" s="125"/>
      <c r="BC2" s="125"/>
      <c r="BD2" s="125"/>
      <c r="BE2" s="125"/>
      <c r="BF2" s="125"/>
      <c r="BG2" s="125"/>
      <c r="BH2" s="125"/>
      <c r="BI2" s="125"/>
      <c r="BJ2" s="125"/>
      <c r="BK2" s="125"/>
      <c r="BL2" s="125"/>
      <c r="BM2" s="125"/>
      <c r="BN2" s="125"/>
      <c r="BO2" s="125"/>
      <c r="BP2" s="125"/>
      <c r="BQ2" s="125"/>
      <c r="BR2" s="125"/>
      <c r="BS2" s="125"/>
      <c r="BT2" s="125"/>
      <c r="BU2" s="125"/>
      <c r="BV2" s="125"/>
      <c r="BW2" s="125"/>
      <c r="BX2" s="125"/>
      <c r="BY2" s="125"/>
      <c r="BZ2" s="125"/>
      <c r="CA2" s="125"/>
      <c r="CB2" s="125"/>
      <c r="CC2" s="125"/>
      <c r="CD2" s="125"/>
      <c r="CE2" s="125"/>
      <c r="CF2" s="125"/>
      <c r="CG2" s="125"/>
      <c r="CH2" s="125"/>
      <c r="CI2" s="125"/>
      <c r="CJ2" s="125"/>
      <c r="CK2" s="125"/>
      <c r="CL2" s="125"/>
      <c r="CM2" s="125"/>
      <c r="CN2" s="125"/>
      <c r="CO2" s="125"/>
      <c r="CP2" s="125"/>
      <c r="CQ2" s="125"/>
      <c r="CR2" s="125"/>
      <c r="CS2" s="125"/>
      <c r="CT2" s="125"/>
      <c r="CU2" s="125"/>
      <c r="CV2" s="125"/>
      <c r="CW2" s="125"/>
      <c r="CX2" s="125"/>
      <c r="CY2" s="125"/>
      <c r="CZ2" s="125"/>
      <c r="DA2" s="125"/>
      <c r="DB2" s="125"/>
      <c r="DC2" s="125"/>
      <c r="DD2" s="125"/>
      <c r="DE2" s="125"/>
      <c r="DF2" s="125"/>
      <c r="DG2" s="125"/>
      <c r="DH2" s="125"/>
      <c r="DI2" s="125"/>
      <c r="DJ2" s="125"/>
      <c r="DK2" s="125"/>
      <c r="DL2" s="125"/>
      <c r="DM2" s="125"/>
      <c r="DN2" s="125"/>
      <c r="DO2" s="125"/>
      <c r="DP2" s="125"/>
      <c r="DQ2" s="125"/>
      <c r="DR2" s="125"/>
      <c r="DS2" s="125"/>
      <c r="DT2" s="125"/>
      <c r="DU2" s="125"/>
      <c r="DV2" s="125"/>
      <c r="DW2" s="125"/>
      <c r="DX2" s="125"/>
      <c r="DY2" s="125"/>
      <c r="DZ2" s="125"/>
      <c r="EA2" s="125"/>
      <c r="EB2" s="125"/>
      <c r="EC2" s="125"/>
      <c r="ED2" s="125"/>
      <c r="EE2" s="125"/>
      <c r="EF2" s="125"/>
      <c r="EG2" s="125"/>
      <c r="EH2" s="125"/>
      <c r="EI2" s="125"/>
      <c r="EJ2" s="125"/>
      <c r="EK2" s="125"/>
      <c r="EL2" s="125"/>
      <c r="EM2" s="125"/>
      <c r="EN2" s="125"/>
      <c r="EO2" s="125"/>
      <c r="EP2" s="125"/>
      <c r="EQ2" s="125"/>
      <c r="ER2" s="125"/>
      <c r="ES2" s="125"/>
      <c r="ET2" s="125"/>
      <c r="EU2" s="125"/>
      <c r="EV2" s="125"/>
      <c r="EW2" s="125"/>
      <c r="EX2" s="125"/>
      <c r="EY2" s="125"/>
      <c r="EZ2" s="125"/>
      <c r="FA2" s="125"/>
      <c r="FB2" s="125"/>
      <c r="FC2" s="125"/>
      <c r="FD2" s="125"/>
      <c r="FE2" s="125"/>
      <c r="FF2" s="125"/>
      <c r="FG2" s="125"/>
      <c r="FH2" s="125"/>
      <c r="FI2" s="125"/>
      <c r="FJ2" s="125"/>
      <c r="FK2" s="125"/>
      <c r="FL2" s="125"/>
      <c r="FM2" s="125"/>
      <c r="FN2" s="125"/>
      <c r="FO2" s="125"/>
      <c r="FP2" s="125"/>
      <c r="FQ2" s="125"/>
      <c r="FR2" s="125"/>
      <c r="FS2" s="125"/>
      <c r="FT2" s="125"/>
      <c r="FU2" s="125"/>
      <c r="FV2" s="125"/>
      <c r="FW2" s="125"/>
      <c r="FX2" s="125"/>
      <c r="FY2" s="125"/>
      <c r="FZ2" s="125"/>
      <c r="GA2" s="125"/>
      <c r="GB2" s="125"/>
      <c r="GC2" s="125"/>
      <c r="GD2" s="125"/>
      <c r="GE2" s="125"/>
      <c r="GF2" s="125"/>
      <c r="GG2" s="125"/>
      <c r="GH2" s="125"/>
      <c r="GI2" s="125"/>
      <c r="GJ2" s="125"/>
      <c r="GK2" s="125"/>
      <c r="GL2" s="125"/>
      <c r="GM2" s="125"/>
      <c r="GN2" s="125"/>
      <c r="GO2" s="125"/>
      <c r="GP2" s="125"/>
      <c r="GQ2" s="125"/>
      <c r="GR2" s="125"/>
      <c r="GS2" s="125"/>
      <c r="GT2" s="125"/>
      <c r="GU2" s="125"/>
      <c r="GV2" s="125"/>
      <c r="GW2" s="125"/>
      <c r="GX2" s="125"/>
      <c r="GY2" s="125"/>
      <c r="GZ2" s="125"/>
      <c r="HA2" s="125"/>
      <c r="HB2" s="125"/>
      <c r="HC2" s="125"/>
      <c r="HD2" s="125"/>
      <c r="HE2" s="125"/>
      <c r="HF2" s="125"/>
      <c r="HG2" s="125"/>
      <c r="HH2" s="125"/>
      <c r="HI2" s="125"/>
      <c r="HJ2" s="125"/>
      <c r="HK2" s="125"/>
      <c r="HL2" s="125"/>
      <c r="HM2" s="125"/>
      <c r="HN2" s="125"/>
      <c r="HO2" s="125"/>
      <c r="HP2" s="125"/>
      <c r="HQ2" s="125"/>
      <c r="HR2" s="125"/>
      <c r="HS2" s="125"/>
      <c r="HT2" s="125"/>
      <c r="HU2" s="125"/>
      <c r="HV2" s="125"/>
      <c r="HW2" s="125"/>
      <c r="HX2" s="125"/>
      <c r="HY2" s="125"/>
      <c r="HZ2" s="125"/>
      <c r="IA2" s="125"/>
      <c r="IB2" s="125"/>
      <c r="IC2" s="125"/>
      <c r="ID2" s="125"/>
      <c r="IE2" s="125"/>
      <c r="IF2" s="125"/>
      <c r="IG2" s="125"/>
      <c r="IH2" s="125"/>
      <c r="II2" s="125"/>
      <c r="IJ2" s="125"/>
      <c r="IK2" s="125"/>
      <c r="IL2" s="125"/>
      <c r="IM2" s="125"/>
      <c r="IN2" s="125"/>
      <c r="IO2" s="125"/>
      <c r="IP2" s="125"/>
      <c r="IQ2" s="125"/>
      <c r="IR2" s="125"/>
      <c r="IS2" s="125"/>
    </row>
    <row r="3" spans="1:253" ht="18" x14ac:dyDescent="0.35">
      <c r="A3" s="2174" t="str">
        <f>CARAT_!A45</f>
        <v>INFORME DE SUPERVISIÓN N° 09 - DICIEMBRE - 2022</v>
      </c>
      <c r="B3" s="2174"/>
      <c r="C3" s="2174"/>
      <c r="D3" s="2174"/>
      <c r="E3" s="2174"/>
      <c r="F3" s="2174"/>
      <c r="G3" s="2174"/>
      <c r="H3" s="2174"/>
      <c r="I3" s="2174"/>
      <c r="J3" s="2174"/>
      <c r="K3" s="2174"/>
      <c r="L3" s="2174"/>
      <c r="M3" s="2174"/>
      <c r="N3" s="2174"/>
      <c r="O3" s="2174"/>
      <c r="P3" s="125"/>
      <c r="Q3" s="125"/>
      <c r="T3" s="125"/>
      <c r="U3" s="125"/>
      <c r="V3" s="125"/>
      <c r="W3" s="125"/>
      <c r="X3" s="125"/>
      <c r="Y3" s="125"/>
      <c r="Z3" s="125"/>
      <c r="AA3" s="125"/>
      <c r="AB3" s="125"/>
      <c r="AC3" s="125"/>
      <c r="AD3" s="125"/>
      <c r="AE3" s="125"/>
      <c r="AF3" s="125"/>
      <c r="AG3" s="125"/>
      <c r="AH3" s="125"/>
      <c r="AI3" s="125"/>
      <c r="AJ3" s="125"/>
      <c r="AK3" s="125"/>
      <c r="AL3" s="125"/>
      <c r="AM3" s="125"/>
      <c r="AN3" s="125"/>
      <c r="AO3" s="125"/>
      <c r="AP3" s="125"/>
      <c r="AQ3" s="125"/>
      <c r="AR3" s="125"/>
      <c r="AS3" s="125"/>
      <c r="AT3" s="125"/>
      <c r="AU3" s="125"/>
      <c r="AV3" s="125"/>
      <c r="AW3" s="125"/>
      <c r="AX3" s="125"/>
      <c r="AY3" s="125"/>
      <c r="AZ3" s="125"/>
      <c r="BA3" s="125"/>
      <c r="BB3" s="125"/>
      <c r="BC3" s="125"/>
      <c r="BD3" s="125"/>
      <c r="BE3" s="125"/>
      <c r="BF3" s="125"/>
      <c r="BG3" s="125"/>
      <c r="BH3" s="125"/>
      <c r="BI3" s="125"/>
      <c r="BJ3" s="125"/>
      <c r="BK3" s="125"/>
      <c r="BL3" s="125"/>
      <c r="BM3" s="125"/>
      <c r="BN3" s="125"/>
      <c r="BO3" s="125"/>
      <c r="BP3" s="125"/>
      <c r="BQ3" s="125"/>
      <c r="BR3" s="125"/>
      <c r="BS3" s="125"/>
      <c r="BT3" s="125"/>
      <c r="BU3" s="125"/>
      <c r="BV3" s="125"/>
      <c r="BW3" s="125"/>
      <c r="BX3" s="125"/>
      <c r="BY3" s="125"/>
      <c r="BZ3" s="125"/>
      <c r="CA3" s="125"/>
      <c r="CB3" s="125"/>
      <c r="CC3" s="125"/>
      <c r="CD3" s="125"/>
      <c r="CE3" s="125"/>
      <c r="CF3" s="125"/>
      <c r="CG3" s="125"/>
      <c r="CH3" s="125"/>
      <c r="CI3" s="125"/>
      <c r="CJ3" s="125"/>
      <c r="CK3" s="125"/>
      <c r="CL3" s="125"/>
      <c r="CM3" s="125"/>
      <c r="CN3" s="125"/>
      <c r="CO3" s="125"/>
      <c r="CP3" s="125"/>
      <c r="CQ3" s="125"/>
      <c r="CR3" s="125"/>
      <c r="CS3" s="125"/>
      <c r="CT3" s="125"/>
      <c r="CU3" s="125"/>
      <c r="CV3" s="125"/>
      <c r="CW3" s="125"/>
      <c r="CX3" s="125"/>
      <c r="CY3" s="125"/>
      <c r="CZ3" s="125"/>
      <c r="DA3" s="125"/>
      <c r="DB3" s="125"/>
      <c r="DC3" s="125"/>
      <c r="DD3" s="125"/>
      <c r="DE3" s="125"/>
      <c r="DF3" s="125"/>
      <c r="DG3" s="125"/>
      <c r="DH3" s="125"/>
      <c r="DI3" s="125"/>
      <c r="DJ3" s="125"/>
      <c r="DK3" s="125"/>
      <c r="DL3" s="125"/>
      <c r="DM3" s="125"/>
      <c r="DN3" s="125"/>
      <c r="DO3" s="125"/>
      <c r="DP3" s="125"/>
      <c r="DQ3" s="125"/>
      <c r="DR3" s="125"/>
      <c r="DS3" s="125"/>
      <c r="DT3" s="125"/>
      <c r="DU3" s="125"/>
      <c r="DV3" s="125"/>
      <c r="DW3" s="125"/>
      <c r="DX3" s="125"/>
      <c r="DY3" s="125"/>
      <c r="DZ3" s="125"/>
      <c r="EA3" s="125"/>
      <c r="EB3" s="125"/>
      <c r="EC3" s="125"/>
      <c r="ED3" s="125"/>
      <c r="EE3" s="125"/>
      <c r="EF3" s="125"/>
      <c r="EG3" s="125"/>
      <c r="EH3" s="125"/>
      <c r="EI3" s="125"/>
      <c r="EJ3" s="125"/>
      <c r="EK3" s="125"/>
      <c r="EL3" s="125"/>
      <c r="EM3" s="125"/>
      <c r="EN3" s="125"/>
      <c r="EO3" s="125"/>
      <c r="EP3" s="125"/>
      <c r="EQ3" s="125"/>
      <c r="ER3" s="125"/>
      <c r="ES3" s="125"/>
      <c r="ET3" s="125"/>
      <c r="EU3" s="125"/>
      <c r="EV3" s="125"/>
      <c r="EW3" s="125"/>
      <c r="EX3" s="125"/>
      <c r="EY3" s="125"/>
      <c r="EZ3" s="125"/>
      <c r="FA3" s="125"/>
      <c r="FB3" s="125"/>
      <c r="FC3" s="125"/>
      <c r="FD3" s="125"/>
      <c r="FE3" s="125"/>
      <c r="FF3" s="125"/>
      <c r="FG3" s="125"/>
      <c r="FH3" s="125"/>
      <c r="FI3" s="125"/>
      <c r="FJ3" s="125"/>
      <c r="FK3" s="125"/>
      <c r="FL3" s="125"/>
      <c r="FM3" s="125"/>
      <c r="FN3" s="125"/>
      <c r="FO3" s="125"/>
      <c r="FP3" s="125"/>
      <c r="FQ3" s="125"/>
      <c r="FR3" s="125"/>
      <c r="FS3" s="125"/>
      <c r="FT3" s="125"/>
      <c r="FU3" s="125"/>
      <c r="FV3" s="125"/>
      <c r="FW3" s="125"/>
      <c r="FX3" s="125"/>
      <c r="FY3" s="125"/>
      <c r="FZ3" s="125"/>
      <c r="GA3" s="125"/>
      <c r="GB3" s="125"/>
      <c r="GC3" s="125"/>
      <c r="GD3" s="125"/>
      <c r="GE3" s="125"/>
      <c r="GF3" s="125"/>
      <c r="GG3" s="125"/>
      <c r="GH3" s="125"/>
      <c r="GI3" s="125"/>
      <c r="GJ3" s="125"/>
      <c r="GK3" s="125"/>
      <c r="GL3" s="125"/>
      <c r="GM3" s="125"/>
      <c r="GN3" s="125"/>
      <c r="GO3" s="125"/>
      <c r="GP3" s="125"/>
      <c r="GQ3" s="125"/>
      <c r="GR3" s="125"/>
      <c r="GS3" s="125"/>
      <c r="GT3" s="125"/>
      <c r="GU3" s="125"/>
      <c r="GV3" s="125"/>
      <c r="GW3" s="125"/>
      <c r="GX3" s="125"/>
      <c r="GY3" s="125"/>
      <c r="GZ3" s="125"/>
      <c r="HA3" s="125"/>
      <c r="HB3" s="125"/>
      <c r="HC3" s="125"/>
      <c r="HD3" s="125"/>
      <c r="HE3" s="125"/>
      <c r="HF3" s="125"/>
      <c r="HG3" s="125"/>
      <c r="HH3" s="125"/>
      <c r="HI3" s="125"/>
      <c r="HJ3" s="125"/>
      <c r="HK3" s="125"/>
      <c r="HL3" s="125"/>
      <c r="HM3" s="125"/>
      <c r="HN3" s="125"/>
      <c r="HO3" s="125"/>
      <c r="HP3" s="125"/>
      <c r="HQ3" s="125"/>
      <c r="HR3" s="125"/>
      <c r="HS3" s="125"/>
      <c r="HT3" s="125"/>
      <c r="HU3" s="125"/>
      <c r="HV3" s="125"/>
      <c r="HW3" s="125"/>
      <c r="HX3" s="125"/>
      <c r="HY3" s="125"/>
      <c r="HZ3" s="125"/>
      <c r="IA3" s="125"/>
      <c r="IB3" s="125"/>
      <c r="IC3" s="125"/>
      <c r="ID3" s="125"/>
      <c r="IE3" s="125"/>
      <c r="IF3" s="125"/>
      <c r="IG3" s="125"/>
      <c r="IH3" s="125"/>
      <c r="II3" s="125"/>
      <c r="IJ3" s="125"/>
      <c r="IK3" s="125"/>
      <c r="IL3" s="125"/>
      <c r="IM3" s="125"/>
      <c r="IN3" s="125"/>
      <c r="IO3" s="125"/>
      <c r="IP3" s="125"/>
      <c r="IQ3" s="125"/>
      <c r="IR3" s="125"/>
      <c r="IS3" s="125"/>
    </row>
    <row r="4" spans="1:253" x14ac:dyDescent="0.2">
      <c r="A4" s="2193"/>
      <c r="B4" s="2193"/>
      <c r="C4" s="2193"/>
      <c r="D4" s="2193"/>
      <c r="E4" s="2193"/>
      <c r="F4" s="2193"/>
      <c r="G4" s="2193"/>
      <c r="H4" s="2193"/>
      <c r="I4" s="2193"/>
      <c r="J4" s="2193"/>
      <c r="K4" s="2193"/>
      <c r="L4" s="2193"/>
      <c r="M4" s="2193"/>
      <c r="N4" s="2193"/>
      <c r="O4" s="2193"/>
      <c r="P4" s="125"/>
      <c r="Q4" s="125"/>
      <c r="T4" s="125"/>
      <c r="U4" s="125"/>
      <c r="V4" s="125"/>
      <c r="W4" s="125"/>
      <c r="X4" s="125"/>
      <c r="Y4" s="125"/>
      <c r="Z4" s="125"/>
      <c r="AA4" s="125"/>
      <c r="AB4" s="125"/>
      <c r="AC4" s="125"/>
      <c r="AD4" s="125"/>
      <c r="AE4" s="125"/>
      <c r="AF4" s="125"/>
      <c r="AG4" s="125"/>
      <c r="AH4" s="125"/>
      <c r="AI4" s="125"/>
      <c r="AJ4" s="125"/>
      <c r="AK4" s="125"/>
      <c r="AL4" s="125"/>
      <c r="AM4" s="125"/>
      <c r="AN4" s="125"/>
      <c r="AO4" s="125"/>
      <c r="AP4" s="125"/>
      <c r="AQ4" s="125"/>
      <c r="AR4" s="125"/>
      <c r="AS4" s="125"/>
      <c r="AT4" s="125"/>
      <c r="AU4" s="125"/>
      <c r="AV4" s="125"/>
      <c r="AW4" s="125"/>
      <c r="AX4" s="125"/>
      <c r="AY4" s="125"/>
      <c r="AZ4" s="125"/>
      <c r="BA4" s="125"/>
      <c r="BB4" s="125"/>
      <c r="BC4" s="125"/>
      <c r="BD4" s="125"/>
      <c r="BE4" s="125"/>
      <c r="BF4" s="125"/>
      <c r="BG4" s="125"/>
      <c r="BH4" s="125"/>
      <c r="BI4" s="125"/>
      <c r="BJ4" s="125"/>
      <c r="BK4" s="125"/>
      <c r="BL4" s="125"/>
      <c r="BM4" s="125"/>
      <c r="BN4" s="125"/>
      <c r="BO4" s="125"/>
      <c r="BP4" s="125"/>
      <c r="BQ4" s="125"/>
      <c r="BR4" s="125"/>
      <c r="BS4" s="125"/>
      <c r="BT4" s="125"/>
      <c r="BU4" s="125"/>
      <c r="BV4" s="125"/>
      <c r="BW4" s="125"/>
      <c r="BX4" s="125"/>
      <c r="BY4" s="125"/>
      <c r="BZ4" s="125"/>
      <c r="CA4" s="125"/>
      <c r="CB4" s="125"/>
      <c r="CC4" s="125"/>
      <c r="CD4" s="125"/>
      <c r="CE4" s="125"/>
      <c r="CF4" s="125"/>
      <c r="CG4" s="125"/>
      <c r="CH4" s="125"/>
      <c r="CI4" s="125"/>
      <c r="CJ4" s="125"/>
      <c r="CK4" s="125"/>
      <c r="CL4" s="125"/>
      <c r="CM4" s="125"/>
      <c r="CN4" s="125"/>
      <c r="CO4" s="125"/>
      <c r="CP4" s="125"/>
      <c r="CQ4" s="125"/>
      <c r="CR4" s="125"/>
      <c r="CS4" s="125"/>
      <c r="CT4" s="125"/>
      <c r="CU4" s="125"/>
      <c r="CV4" s="125"/>
      <c r="CW4" s="125"/>
      <c r="CX4" s="125"/>
      <c r="CY4" s="125"/>
      <c r="CZ4" s="125"/>
      <c r="DA4" s="125"/>
      <c r="DB4" s="125"/>
      <c r="DC4" s="125"/>
      <c r="DD4" s="125"/>
      <c r="DE4" s="125"/>
      <c r="DF4" s="125"/>
      <c r="DG4" s="125"/>
      <c r="DH4" s="125"/>
      <c r="DI4" s="125"/>
      <c r="DJ4" s="125"/>
      <c r="DK4" s="125"/>
      <c r="DL4" s="125"/>
      <c r="DM4" s="125"/>
      <c r="DN4" s="125"/>
      <c r="DO4" s="125"/>
      <c r="DP4" s="125"/>
      <c r="DQ4" s="125"/>
      <c r="DR4" s="125"/>
      <c r="DS4" s="125"/>
      <c r="DT4" s="125"/>
      <c r="DU4" s="125"/>
      <c r="DV4" s="125"/>
      <c r="DW4" s="125"/>
      <c r="DX4" s="125"/>
      <c r="DY4" s="125"/>
      <c r="DZ4" s="125"/>
      <c r="EA4" s="125"/>
      <c r="EB4" s="125"/>
      <c r="EC4" s="125"/>
      <c r="ED4" s="125"/>
      <c r="EE4" s="125"/>
      <c r="EF4" s="125"/>
      <c r="EG4" s="125"/>
      <c r="EH4" s="125"/>
      <c r="EI4" s="125"/>
      <c r="EJ4" s="125"/>
      <c r="EK4" s="125"/>
      <c r="EL4" s="125"/>
      <c r="EM4" s="125"/>
      <c r="EN4" s="125"/>
      <c r="EO4" s="125"/>
      <c r="EP4" s="125"/>
      <c r="EQ4" s="125"/>
      <c r="ER4" s="125"/>
      <c r="ES4" s="125"/>
      <c r="ET4" s="125"/>
      <c r="EU4" s="125"/>
      <c r="EV4" s="125"/>
      <c r="EW4" s="125"/>
      <c r="EX4" s="125"/>
      <c r="EY4" s="125"/>
      <c r="EZ4" s="125"/>
      <c r="FA4" s="125"/>
      <c r="FB4" s="125"/>
      <c r="FC4" s="125"/>
      <c r="FD4" s="125"/>
      <c r="FE4" s="125"/>
      <c r="FF4" s="125"/>
      <c r="FG4" s="125"/>
      <c r="FH4" s="125"/>
      <c r="FI4" s="125"/>
      <c r="FJ4" s="125"/>
      <c r="FK4" s="125"/>
      <c r="FL4" s="125"/>
      <c r="FM4" s="125"/>
      <c r="FN4" s="125"/>
      <c r="FO4" s="125"/>
      <c r="FP4" s="125"/>
      <c r="FQ4" s="125"/>
      <c r="FR4" s="125"/>
      <c r="FS4" s="125"/>
      <c r="FT4" s="125"/>
      <c r="FU4" s="125"/>
      <c r="FV4" s="125"/>
      <c r="FW4" s="125"/>
      <c r="FX4" s="125"/>
      <c r="FY4" s="125"/>
      <c r="FZ4" s="125"/>
      <c r="GA4" s="125"/>
      <c r="GB4" s="125"/>
      <c r="GC4" s="125"/>
      <c r="GD4" s="125"/>
      <c r="GE4" s="125"/>
      <c r="GF4" s="125"/>
      <c r="GG4" s="125"/>
      <c r="GH4" s="125"/>
      <c r="GI4" s="125"/>
      <c r="GJ4" s="125"/>
      <c r="GK4" s="125"/>
      <c r="GL4" s="125"/>
      <c r="GM4" s="125"/>
      <c r="GN4" s="125"/>
      <c r="GO4" s="125"/>
      <c r="GP4" s="125"/>
      <c r="GQ4" s="125"/>
      <c r="GR4" s="125"/>
      <c r="GS4" s="125"/>
      <c r="GT4" s="125"/>
      <c r="GU4" s="125"/>
      <c r="GV4" s="125"/>
      <c r="GW4" s="125"/>
      <c r="GX4" s="125"/>
      <c r="GY4" s="125"/>
      <c r="GZ4" s="125"/>
      <c r="HA4" s="125"/>
      <c r="HB4" s="125"/>
      <c r="HC4" s="125"/>
      <c r="HD4" s="125"/>
      <c r="HE4" s="125"/>
      <c r="HF4" s="125"/>
      <c r="HG4" s="125"/>
      <c r="HH4" s="125"/>
      <c r="HI4" s="125"/>
      <c r="HJ4" s="125"/>
      <c r="HK4" s="125"/>
      <c r="HL4" s="125"/>
      <c r="HM4" s="125"/>
      <c r="HN4" s="125"/>
      <c r="HO4" s="125"/>
      <c r="HP4" s="125"/>
      <c r="HQ4" s="125"/>
      <c r="HR4" s="125"/>
      <c r="HS4" s="125"/>
      <c r="HT4" s="125"/>
      <c r="HU4" s="125"/>
      <c r="HV4" s="125"/>
      <c r="HW4" s="125"/>
      <c r="HX4" s="125"/>
      <c r="HY4" s="125"/>
      <c r="HZ4" s="125"/>
      <c r="IA4" s="125"/>
      <c r="IB4" s="125"/>
      <c r="IC4" s="125"/>
      <c r="ID4" s="125"/>
      <c r="IE4" s="125"/>
      <c r="IF4" s="125"/>
      <c r="IG4" s="125"/>
      <c r="IH4" s="125"/>
      <c r="II4" s="125"/>
      <c r="IJ4" s="125"/>
      <c r="IK4" s="125"/>
      <c r="IL4" s="125"/>
      <c r="IM4" s="125"/>
      <c r="IN4" s="125"/>
      <c r="IO4" s="125"/>
      <c r="IP4" s="125"/>
      <c r="IQ4" s="125"/>
      <c r="IR4" s="125"/>
      <c r="IS4" s="125"/>
    </row>
    <row r="5" spans="1:253" x14ac:dyDescent="0.2">
      <c r="A5" s="200" t="s">
        <v>164</v>
      </c>
      <c r="B5" s="199"/>
      <c r="C5" s="198" t="s">
        <v>7</v>
      </c>
      <c r="D5" s="393" t="str">
        <f>CARAT_!$F$47</f>
        <v>ESPECIFICO Nº SP-2022-012</v>
      </c>
      <c r="F5" s="400"/>
      <c r="G5" s="139"/>
      <c r="H5" s="139"/>
      <c r="J5" s="139"/>
      <c r="K5" s="139"/>
      <c r="L5" s="139"/>
      <c r="M5" s="139"/>
      <c r="N5" s="139"/>
      <c r="O5" s="139"/>
      <c r="P5" s="125"/>
      <c r="Q5" s="125"/>
      <c r="T5" s="125"/>
      <c r="U5" s="125"/>
      <c r="V5" s="125"/>
      <c r="W5" s="125"/>
      <c r="X5" s="125"/>
      <c r="Y5" s="125"/>
      <c r="Z5" s="125"/>
      <c r="AA5" s="125"/>
      <c r="AB5" s="125"/>
      <c r="AC5" s="125"/>
      <c r="AD5" s="125"/>
      <c r="AE5" s="125"/>
      <c r="AF5" s="125"/>
      <c r="AG5" s="125"/>
      <c r="AH5" s="125"/>
      <c r="AI5" s="125"/>
      <c r="AJ5" s="125"/>
      <c r="AK5" s="125"/>
      <c r="AL5" s="125"/>
      <c r="AM5" s="125"/>
      <c r="AN5" s="125"/>
      <c r="AO5" s="125"/>
      <c r="AP5" s="125"/>
      <c r="AQ5" s="125"/>
      <c r="AR5" s="125"/>
      <c r="AS5" s="125"/>
      <c r="AT5" s="125"/>
      <c r="AU5" s="125"/>
      <c r="AV5" s="125"/>
      <c r="AW5" s="125"/>
      <c r="AX5" s="125"/>
      <c r="AY5" s="125"/>
      <c r="AZ5" s="125"/>
      <c r="BA5" s="125"/>
      <c r="BB5" s="125"/>
      <c r="BC5" s="125"/>
      <c r="BD5" s="125"/>
      <c r="BE5" s="125"/>
      <c r="BF5" s="125"/>
      <c r="BG5" s="125"/>
      <c r="BH5" s="125"/>
      <c r="BI5" s="125"/>
      <c r="BJ5" s="125"/>
      <c r="BK5" s="125"/>
      <c r="BL5" s="125"/>
      <c r="BM5" s="125"/>
      <c r="BN5" s="125"/>
      <c r="BO5" s="125"/>
      <c r="BP5" s="125"/>
      <c r="BQ5" s="125"/>
      <c r="BR5" s="125"/>
      <c r="BS5" s="125"/>
      <c r="BT5" s="125"/>
      <c r="BU5" s="125"/>
      <c r="BV5" s="125"/>
      <c r="BW5" s="125"/>
      <c r="BX5" s="125"/>
      <c r="BY5" s="125"/>
      <c r="BZ5" s="125"/>
      <c r="CA5" s="125"/>
      <c r="CB5" s="125"/>
      <c r="CC5" s="125"/>
      <c r="CD5" s="125"/>
      <c r="CE5" s="125"/>
      <c r="CF5" s="125"/>
      <c r="CG5" s="125"/>
      <c r="CH5" s="125"/>
      <c r="CI5" s="125"/>
      <c r="CJ5" s="125"/>
      <c r="CK5" s="125"/>
      <c r="CL5" s="125"/>
      <c r="CM5" s="125"/>
      <c r="CN5" s="125"/>
      <c r="CO5" s="125"/>
      <c r="CP5" s="125"/>
      <c r="CQ5" s="125"/>
      <c r="CR5" s="125"/>
      <c r="CS5" s="125"/>
      <c r="CT5" s="125"/>
      <c r="CU5" s="125"/>
      <c r="CV5" s="125"/>
      <c r="CW5" s="125"/>
      <c r="CX5" s="125"/>
      <c r="CY5" s="125"/>
      <c r="CZ5" s="125"/>
      <c r="DA5" s="125"/>
      <c r="DB5" s="125"/>
      <c r="DC5" s="125"/>
      <c r="DD5" s="125"/>
      <c r="DE5" s="125"/>
      <c r="DF5" s="125"/>
      <c r="DG5" s="125"/>
      <c r="DH5" s="125"/>
      <c r="DI5" s="125"/>
      <c r="DJ5" s="125"/>
      <c r="DK5" s="125"/>
      <c r="DL5" s="125"/>
      <c r="DM5" s="125"/>
      <c r="DN5" s="125"/>
      <c r="DO5" s="125"/>
      <c r="DP5" s="125"/>
      <c r="DQ5" s="125"/>
      <c r="DR5" s="125"/>
      <c r="DS5" s="125"/>
      <c r="DT5" s="125"/>
      <c r="DU5" s="125"/>
      <c r="DV5" s="125"/>
      <c r="DW5" s="125"/>
      <c r="DX5" s="125"/>
      <c r="DY5" s="125"/>
      <c r="DZ5" s="125"/>
      <c r="EA5" s="125"/>
      <c r="EB5" s="125"/>
      <c r="EC5" s="125"/>
      <c r="ED5" s="125"/>
      <c r="EE5" s="125"/>
      <c r="EF5" s="125"/>
      <c r="EG5" s="125"/>
      <c r="EH5" s="125"/>
      <c r="EI5" s="125"/>
      <c r="EJ5" s="125"/>
      <c r="EK5" s="125"/>
      <c r="EL5" s="125"/>
      <c r="EM5" s="125"/>
      <c r="EN5" s="125"/>
      <c r="EO5" s="125"/>
      <c r="EP5" s="125"/>
      <c r="EQ5" s="125"/>
      <c r="ER5" s="125"/>
      <c r="ES5" s="125"/>
      <c r="ET5" s="125"/>
      <c r="EU5" s="125"/>
      <c r="EV5" s="125"/>
      <c r="EW5" s="125"/>
      <c r="EX5" s="125"/>
      <c r="EY5" s="125"/>
      <c r="EZ5" s="125"/>
      <c r="FA5" s="125"/>
      <c r="FB5" s="125"/>
      <c r="FC5" s="125"/>
      <c r="FD5" s="125"/>
      <c r="FE5" s="125"/>
      <c r="FF5" s="125"/>
      <c r="FG5" s="125"/>
      <c r="FH5" s="125"/>
      <c r="FI5" s="125"/>
      <c r="FJ5" s="125"/>
      <c r="FK5" s="125"/>
      <c r="FL5" s="125"/>
      <c r="FM5" s="125"/>
      <c r="FN5" s="125"/>
      <c r="FO5" s="125"/>
      <c r="FP5" s="125"/>
      <c r="FQ5" s="125"/>
      <c r="FR5" s="125"/>
      <c r="FS5" s="125"/>
      <c r="FT5" s="125"/>
      <c r="FU5" s="125"/>
      <c r="FV5" s="125"/>
      <c r="FW5" s="125"/>
      <c r="FX5" s="125"/>
      <c r="FY5" s="125"/>
      <c r="FZ5" s="125"/>
      <c r="GA5" s="125"/>
      <c r="GB5" s="125"/>
      <c r="GC5" s="125"/>
      <c r="GD5" s="125"/>
      <c r="GE5" s="125"/>
      <c r="GF5" s="125"/>
      <c r="GG5" s="125"/>
      <c r="GH5" s="125"/>
      <c r="GI5" s="125"/>
      <c r="GJ5" s="125"/>
      <c r="GK5" s="125"/>
      <c r="GL5" s="125"/>
      <c r="GM5" s="125"/>
      <c r="GN5" s="125"/>
      <c r="GO5" s="125"/>
      <c r="GP5" s="125"/>
      <c r="GQ5" s="125"/>
      <c r="GR5" s="125"/>
      <c r="GS5" s="125"/>
      <c r="GT5" s="125"/>
      <c r="GU5" s="125"/>
      <c r="GV5" s="125"/>
      <c r="GW5" s="125"/>
      <c r="GX5" s="125"/>
      <c r="GY5" s="125"/>
      <c r="GZ5" s="125"/>
      <c r="HA5" s="125"/>
      <c r="HB5" s="125"/>
      <c r="HC5" s="125"/>
      <c r="HD5" s="125"/>
      <c r="HE5" s="125"/>
      <c r="HF5" s="125"/>
      <c r="HG5" s="125"/>
      <c r="HH5" s="125"/>
      <c r="HI5" s="125"/>
      <c r="HJ5" s="125"/>
      <c r="HK5" s="125"/>
      <c r="HL5" s="125"/>
      <c r="HM5" s="125"/>
      <c r="HN5" s="125"/>
      <c r="HO5" s="125"/>
      <c r="HP5" s="125"/>
      <c r="HQ5" s="125"/>
      <c r="HR5" s="125"/>
      <c r="HS5" s="125"/>
      <c r="HT5" s="125"/>
      <c r="HU5" s="125"/>
      <c r="HV5" s="125"/>
      <c r="HW5" s="125"/>
      <c r="HX5" s="125"/>
      <c r="HY5" s="125"/>
      <c r="HZ5" s="125"/>
      <c r="IA5" s="125"/>
      <c r="IB5" s="125"/>
      <c r="IC5" s="125"/>
      <c r="ID5" s="125"/>
      <c r="IE5" s="125"/>
      <c r="IF5" s="125"/>
      <c r="IG5" s="125"/>
      <c r="IH5" s="125"/>
      <c r="II5" s="125"/>
      <c r="IJ5" s="125"/>
      <c r="IK5" s="125"/>
      <c r="IL5" s="125"/>
      <c r="IM5" s="125"/>
      <c r="IN5" s="125"/>
      <c r="IO5" s="125"/>
      <c r="IP5" s="125"/>
      <c r="IQ5" s="125"/>
      <c r="IR5" s="125"/>
      <c r="IS5" s="125"/>
    </row>
    <row r="6" spans="1:253" x14ac:dyDescent="0.2">
      <c r="A6" s="385" t="s">
        <v>18</v>
      </c>
      <c r="B6" s="199"/>
      <c r="C6" s="198" t="s">
        <v>7</v>
      </c>
      <c r="D6" s="2189" t="str">
        <f>CARAT_!F48</f>
        <v>“CREACION DEL PUENTE VEHICULAR CCANCHIS SOBRE EL RIO PAMPAS, DISTRITO DE CHUNGUI - PROVINCIA LA MAR - DEPARTAMENTO AYACUCHO”.</v>
      </c>
      <c r="E6" s="2189"/>
      <c r="F6" s="2189"/>
      <c r="G6" s="2189"/>
      <c r="H6" s="2189"/>
      <c r="I6" s="2189"/>
      <c r="J6" s="2189"/>
      <c r="K6" s="2189"/>
      <c r="L6" s="2189"/>
      <c r="M6" s="2189"/>
      <c r="N6" s="2189"/>
      <c r="O6" s="2189"/>
      <c r="P6" s="125"/>
      <c r="Q6" s="125"/>
      <c r="T6" s="125"/>
      <c r="U6" s="125"/>
      <c r="V6" s="125"/>
      <c r="W6" s="125"/>
      <c r="X6" s="125"/>
      <c r="Y6" s="125"/>
      <c r="Z6" s="125"/>
      <c r="AA6" s="125"/>
      <c r="AB6" s="125"/>
      <c r="AC6" s="125"/>
      <c r="AD6" s="125"/>
      <c r="AE6" s="125"/>
      <c r="AF6" s="125"/>
      <c r="AG6" s="125"/>
      <c r="AH6" s="125"/>
      <c r="AI6" s="125"/>
      <c r="AJ6" s="125"/>
      <c r="AK6" s="125"/>
      <c r="AL6" s="125"/>
      <c r="AM6" s="125"/>
      <c r="AN6" s="125"/>
      <c r="AO6" s="125"/>
      <c r="AP6" s="125"/>
      <c r="AQ6" s="125"/>
      <c r="AR6" s="125"/>
      <c r="AS6" s="125"/>
      <c r="AT6" s="125"/>
      <c r="AU6" s="125"/>
      <c r="AV6" s="125"/>
      <c r="AW6" s="125"/>
      <c r="AX6" s="125"/>
      <c r="AY6" s="125"/>
      <c r="AZ6" s="125"/>
      <c r="BA6" s="125"/>
      <c r="BB6" s="125"/>
      <c r="BC6" s="125"/>
      <c r="BD6" s="125"/>
      <c r="BE6" s="125"/>
      <c r="BF6" s="125"/>
      <c r="BG6" s="125"/>
      <c r="BH6" s="125"/>
      <c r="BI6" s="125"/>
      <c r="BJ6" s="125"/>
      <c r="BK6" s="125"/>
      <c r="BL6" s="125"/>
      <c r="BM6" s="125"/>
      <c r="BN6" s="125"/>
      <c r="BO6" s="125"/>
      <c r="BP6" s="125"/>
      <c r="BQ6" s="125"/>
      <c r="BR6" s="125"/>
      <c r="BS6" s="125"/>
      <c r="BT6" s="125"/>
      <c r="BU6" s="125"/>
      <c r="BV6" s="125"/>
      <c r="BW6" s="125"/>
      <c r="BX6" s="125"/>
      <c r="BY6" s="125"/>
      <c r="BZ6" s="125"/>
      <c r="CA6" s="125"/>
      <c r="CB6" s="125"/>
      <c r="CC6" s="125"/>
      <c r="CD6" s="125"/>
      <c r="CE6" s="125"/>
      <c r="CF6" s="125"/>
      <c r="CG6" s="125"/>
      <c r="CH6" s="125"/>
      <c r="CI6" s="125"/>
      <c r="CJ6" s="125"/>
      <c r="CK6" s="125"/>
      <c r="CL6" s="125"/>
      <c r="CM6" s="125"/>
      <c r="CN6" s="125"/>
      <c r="CO6" s="125"/>
      <c r="CP6" s="125"/>
      <c r="CQ6" s="125"/>
      <c r="CR6" s="125"/>
      <c r="CS6" s="125"/>
      <c r="CT6" s="125"/>
      <c r="CU6" s="125"/>
      <c r="CV6" s="125"/>
      <c r="CW6" s="125"/>
      <c r="CX6" s="125"/>
      <c r="CY6" s="125"/>
      <c r="CZ6" s="125"/>
      <c r="DA6" s="125"/>
      <c r="DB6" s="125"/>
      <c r="DC6" s="125"/>
      <c r="DD6" s="125"/>
      <c r="DE6" s="125"/>
      <c r="DF6" s="125"/>
      <c r="DG6" s="125"/>
      <c r="DH6" s="125"/>
      <c r="DI6" s="125"/>
      <c r="DJ6" s="125"/>
      <c r="DK6" s="125"/>
      <c r="DL6" s="125"/>
      <c r="DM6" s="125"/>
      <c r="DN6" s="125"/>
      <c r="DO6" s="125"/>
      <c r="DP6" s="125"/>
      <c r="DQ6" s="125"/>
      <c r="DR6" s="125"/>
      <c r="DS6" s="125"/>
      <c r="DT6" s="125"/>
      <c r="DU6" s="125"/>
      <c r="DV6" s="125"/>
      <c r="DW6" s="125"/>
      <c r="DX6" s="125"/>
      <c r="DY6" s="125"/>
      <c r="DZ6" s="125"/>
      <c r="EA6" s="125"/>
      <c r="EB6" s="125"/>
      <c r="EC6" s="125"/>
      <c r="ED6" s="125"/>
      <c r="EE6" s="125"/>
      <c r="EF6" s="125"/>
      <c r="EG6" s="125"/>
      <c r="EH6" s="125"/>
      <c r="EI6" s="125"/>
      <c r="EJ6" s="125"/>
      <c r="EK6" s="125"/>
      <c r="EL6" s="125"/>
      <c r="EM6" s="125"/>
      <c r="EN6" s="125"/>
      <c r="EO6" s="125"/>
      <c r="EP6" s="125"/>
      <c r="EQ6" s="125"/>
      <c r="ER6" s="125"/>
      <c r="ES6" s="125"/>
      <c r="ET6" s="125"/>
      <c r="EU6" s="125"/>
      <c r="EV6" s="125"/>
      <c r="EW6" s="125"/>
      <c r="EX6" s="125"/>
      <c r="EY6" s="125"/>
      <c r="EZ6" s="125"/>
      <c r="FA6" s="125"/>
      <c r="FB6" s="125"/>
      <c r="FC6" s="125"/>
      <c r="FD6" s="125"/>
      <c r="FE6" s="125"/>
      <c r="FF6" s="125"/>
      <c r="FG6" s="125"/>
      <c r="FH6" s="125"/>
      <c r="FI6" s="125"/>
      <c r="FJ6" s="125"/>
      <c r="FK6" s="125"/>
      <c r="FL6" s="125"/>
      <c r="FM6" s="125"/>
      <c r="FN6" s="125"/>
      <c r="FO6" s="125"/>
      <c r="FP6" s="125"/>
      <c r="FQ6" s="125"/>
      <c r="FR6" s="125"/>
      <c r="FS6" s="125"/>
      <c r="FT6" s="125"/>
      <c r="FU6" s="125"/>
      <c r="FV6" s="125"/>
      <c r="FW6" s="125"/>
      <c r="FX6" s="125"/>
      <c r="FY6" s="125"/>
      <c r="FZ6" s="125"/>
      <c r="GA6" s="125"/>
      <c r="GB6" s="125"/>
      <c r="GC6" s="125"/>
      <c r="GD6" s="125"/>
      <c r="GE6" s="125"/>
      <c r="GF6" s="125"/>
      <c r="GG6" s="125"/>
      <c r="GH6" s="125"/>
      <c r="GI6" s="125"/>
      <c r="GJ6" s="125"/>
      <c r="GK6" s="125"/>
      <c r="GL6" s="125"/>
      <c r="GM6" s="125"/>
      <c r="GN6" s="125"/>
      <c r="GO6" s="125"/>
      <c r="GP6" s="125"/>
      <c r="GQ6" s="125"/>
      <c r="GR6" s="125"/>
      <c r="GS6" s="125"/>
      <c r="GT6" s="125"/>
      <c r="GU6" s="125"/>
      <c r="GV6" s="125"/>
      <c r="GW6" s="125"/>
      <c r="GX6" s="125"/>
      <c r="GY6" s="125"/>
      <c r="GZ6" s="125"/>
      <c r="HA6" s="125"/>
      <c r="HB6" s="125"/>
      <c r="HC6" s="125"/>
      <c r="HD6" s="125"/>
      <c r="HE6" s="125"/>
      <c r="HF6" s="125"/>
      <c r="HG6" s="125"/>
      <c r="HH6" s="125"/>
      <c r="HI6" s="125"/>
      <c r="HJ6" s="125"/>
      <c r="HK6" s="125"/>
      <c r="HL6" s="125"/>
      <c r="HM6" s="125"/>
      <c r="HN6" s="125"/>
      <c r="HO6" s="125"/>
      <c r="HP6" s="125"/>
      <c r="HQ6" s="125"/>
      <c r="HR6" s="125"/>
      <c r="HS6" s="125"/>
      <c r="HT6" s="125"/>
      <c r="HU6" s="125"/>
      <c r="HV6" s="125"/>
      <c r="HW6" s="125"/>
      <c r="HX6" s="125"/>
      <c r="HY6" s="125"/>
      <c r="HZ6" s="125"/>
      <c r="IA6" s="125"/>
      <c r="IB6" s="125"/>
      <c r="IC6" s="125"/>
      <c r="ID6" s="125"/>
      <c r="IE6" s="125"/>
      <c r="IF6" s="125"/>
      <c r="IG6" s="125"/>
      <c r="IH6" s="125"/>
      <c r="II6" s="125"/>
      <c r="IJ6" s="125"/>
      <c r="IK6" s="125"/>
      <c r="IL6" s="125"/>
      <c r="IM6" s="125"/>
      <c r="IN6" s="125"/>
      <c r="IO6" s="125"/>
      <c r="IP6" s="125"/>
      <c r="IQ6" s="125"/>
      <c r="IR6" s="125"/>
      <c r="IS6" s="125"/>
    </row>
    <row r="7" spans="1:253" x14ac:dyDescent="0.2">
      <c r="A7" s="385" t="s">
        <v>1</v>
      </c>
      <c r="B7" s="199"/>
      <c r="C7" s="198" t="s">
        <v>7</v>
      </c>
      <c r="D7" s="393" t="str">
        <f>CARAT_!$F$52</f>
        <v>SIMA PERU S.A.</v>
      </c>
      <c r="F7" s="400"/>
      <c r="G7" s="139"/>
      <c r="H7" s="139"/>
      <c r="J7" s="139"/>
      <c r="K7" s="139"/>
      <c r="L7" s="139"/>
      <c r="M7" s="139"/>
      <c r="N7" s="139"/>
      <c r="O7" s="139"/>
      <c r="P7" s="125"/>
      <c r="Q7" s="125"/>
      <c r="T7" s="125"/>
      <c r="U7" s="125"/>
      <c r="V7" s="125"/>
      <c r="W7" s="125"/>
      <c r="X7" s="125"/>
      <c r="Y7" s="125"/>
      <c r="Z7" s="125"/>
      <c r="AA7" s="125"/>
      <c r="AB7" s="125"/>
      <c r="AC7" s="125"/>
      <c r="AD7" s="125"/>
      <c r="AE7" s="125"/>
      <c r="AF7" s="125"/>
      <c r="AG7" s="125"/>
      <c r="AH7" s="125"/>
      <c r="AI7" s="125"/>
      <c r="AJ7" s="125"/>
      <c r="AK7" s="125"/>
      <c r="AL7" s="125"/>
      <c r="AM7" s="125"/>
      <c r="AN7" s="125"/>
      <c r="AO7" s="125"/>
      <c r="AP7" s="125"/>
      <c r="AQ7" s="125"/>
      <c r="AR7" s="125"/>
      <c r="AS7" s="125"/>
      <c r="AT7" s="125"/>
      <c r="AU7" s="125"/>
      <c r="AV7" s="125"/>
      <c r="AW7" s="125"/>
      <c r="AX7" s="125"/>
      <c r="AY7" s="125"/>
      <c r="AZ7" s="125"/>
      <c r="BA7" s="125"/>
      <c r="BB7" s="125"/>
      <c r="BC7" s="125"/>
      <c r="BD7" s="125"/>
      <c r="BE7" s="125"/>
      <c r="BF7" s="125"/>
      <c r="BG7" s="125"/>
      <c r="BH7" s="125"/>
      <c r="BI7" s="125"/>
      <c r="BJ7" s="125"/>
      <c r="BK7" s="125"/>
      <c r="BL7" s="125"/>
      <c r="BM7" s="125"/>
      <c r="BN7" s="125"/>
      <c r="BO7" s="125"/>
      <c r="BP7" s="125"/>
      <c r="BQ7" s="125"/>
      <c r="BR7" s="125"/>
      <c r="BS7" s="125"/>
      <c r="BT7" s="125"/>
      <c r="BU7" s="125"/>
      <c r="BV7" s="125"/>
      <c r="BW7" s="125"/>
      <c r="BX7" s="125"/>
      <c r="BY7" s="125"/>
      <c r="BZ7" s="125"/>
      <c r="CA7" s="125"/>
      <c r="CB7" s="125"/>
      <c r="CC7" s="125"/>
      <c r="CD7" s="125"/>
      <c r="CE7" s="125"/>
      <c r="CF7" s="125"/>
      <c r="CG7" s="125"/>
      <c r="CH7" s="125"/>
      <c r="CI7" s="125"/>
      <c r="CJ7" s="125"/>
      <c r="CK7" s="125"/>
      <c r="CL7" s="125"/>
      <c r="CM7" s="125"/>
      <c r="CN7" s="125"/>
      <c r="CO7" s="125"/>
      <c r="CP7" s="125"/>
      <c r="CQ7" s="125"/>
      <c r="CR7" s="125"/>
      <c r="CS7" s="125"/>
      <c r="CT7" s="125"/>
      <c r="CU7" s="125"/>
      <c r="CV7" s="125"/>
      <c r="CW7" s="125"/>
      <c r="CX7" s="125"/>
      <c r="CY7" s="125"/>
      <c r="CZ7" s="125"/>
      <c r="DA7" s="125"/>
      <c r="DB7" s="125"/>
      <c r="DC7" s="125"/>
      <c r="DD7" s="125"/>
      <c r="DE7" s="125"/>
      <c r="DF7" s="125"/>
      <c r="DG7" s="125"/>
      <c r="DH7" s="125"/>
      <c r="DI7" s="125"/>
      <c r="DJ7" s="125"/>
      <c r="DK7" s="125"/>
      <c r="DL7" s="125"/>
      <c r="DM7" s="125"/>
      <c r="DN7" s="125"/>
      <c r="DO7" s="125"/>
      <c r="DP7" s="125"/>
      <c r="DQ7" s="125"/>
      <c r="DR7" s="125"/>
      <c r="DS7" s="125"/>
      <c r="DT7" s="125"/>
      <c r="DU7" s="125"/>
      <c r="DV7" s="125"/>
      <c r="DW7" s="125"/>
      <c r="DX7" s="125"/>
      <c r="DY7" s="125"/>
      <c r="DZ7" s="125"/>
      <c r="EA7" s="125"/>
      <c r="EB7" s="125"/>
      <c r="EC7" s="125"/>
      <c r="ED7" s="125"/>
      <c r="EE7" s="125"/>
      <c r="EF7" s="125"/>
      <c r="EG7" s="125"/>
      <c r="EH7" s="125"/>
      <c r="EI7" s="125"/>
      <c r="EJ7" s="125"/>
      <c r="EK7" s="125"/>
      <c r="EL7" s="125"/>
      <c r="EM7" s="125"/>
      <c r="EN7" s="125"/>
      <c r="EO7" s="125"/>
      <c r="EP7" s="125"/>
      <c r="EQ7" s="125"/>
      <c r="ER7" s="125"/>
      <c r="ES7" s="125"/>
      <c r="ET7" s="125"/>
      <c r="EU7" s="125"/>
      <c r="EV7" s="125"/>
      <c r="EW7" s="125"/>
      <c r="EX7" s="125"/>
      <c r="EY7" s="125"/>
      <c r="EZ7" s="125"/>
      <c r="FA7" s="125"/>
      <c r="FB7" s="125"/>
      <c r="FC7" s="125"/>
      <c r="FD7" s="125"/>
      <c r="FE7" s="125"/>
      <c r="FF7" s="125"/>
      <c r="FG7" s="125"/>
      <c r="FH7" s="125"/>
      <c r="FI7" s="125"/>
      <c r="FJ7" s="125"/>
      <c r="FK7" s="125"/>
      <c r="FL7" s="125"/>
      <c r="FM7" s="125"/>
      <c r="FN7" s="125"/>
      <c r="FO7" s="125"/>
      <c r="FP7" s="125"/>
      <c r="FQ7" s="125"/>
      <c r="FR7" s="125"/>
      <c r="FS7" s="125"/>
      <c r="FT7" s="125"/>
      <c r="FU7" s="125"/>
      <c r="FV7" s="125"/>
      <c r="FW7" s="125"/>
      <c r="FX7" s="125"/>
      <c r="FY7" s="125"/>
      <c r="FZ7" s="125"/>
      <c r="GA7" s="125"/>
      <c r="GB7" s="125"/>
      <c r="GC7" s="125"/>
      <c r="GD7" s="125"/>
      <c r="GE7" s="125"/>
      <c r="GF7" s="125"/>
      <c r="GG7" s="125"/>
      <c r="GH7" s="125"/>
      <c r="GI7" s="125"/>
      <c r="GJ7" s="125"/>
      <c r="GK7" s="125"/>
      <c r="GL7" s="125"/>
      <c r="GM7" s="125"/>
      <c r="GN7" s="125"/>
      <c r="GO7" s="125"/>
      <c r="GP7" s="125"/>
      <c r="GQ7" s="125"/>
      <c r="GR7" s="125"/>
      <c r="GS7" s="125"/>
      <c r="GT7" s="125"/>
      <c r="GU7" s="125"/>
      <c r="GV7" s="125"/>
      <c r="GW7" s="125"/>
      <c r="GX7" s="125"/>
      <c r="GY7" s="125"/>
      <c r="GZ7" s="125"/>
      <c r="HA7" s="125"/>
      <c r="HB7" s="125"/>
      <c r="HC7" s="125"/>
      <c r="HD7" s="125"/>
      <c r="HE7" s="125"/>
      <c r="HF7" s="125"/>
      <c r="HG7" s="125"/>
      <c r="HH7" s="125"/>
      <c r="HI7" s="125"/>
      <c r="HJ7" s="125"/>
      <c r="HK7" s="125"/>
      <c r="HL7" s="125"/>
      <c r="HM7" s="125"/>
      <c r="HN7" s="125"/>
      <c r="HO7" s="125"/>
      <c r="HP7" s="125"/>
      <c r="HQ7" s="125"/>
      <c r="HR7" s="125"/>
      <c r="HS7" s="125"/>
      <c r="HT7" s="125"/>
      <c r="HU7" s="125"/>
      <c r="HV7" s="125"/>
      <c r="HW7" s="125"/>
      <c r="HX7" s="125"/>
      <c r="HY7" s="125"/>
      <c r="HZ7" s="125"/>
      <c r="IA7" s="125"/>
      <c r="IB7" s="125"/>
      <c r="IC7" s="125"/>
      <c r="ID7" s="125"/>
      <c r="IE7" s="125"/>
      <c r="IF7" s="125"/>
      <c r="IG7" s="125"/>
      <c r="IH7" s="125"/>
      <c r="II7" s="125"/>
      <c r="IJ7" s="125"/>
      <c r="IK7" s="125"/>
      <c r="IL7" s="125"/>
      <c r="IM7" s="125"/>
      <c r="IN7" s="125"/>
      <c r="IO7" s="125"/>
      <c r="IP7" s="125"/>
      <c r="IQ7" s="125"/>
      <c r="IR7" s="125"/>
      <c r="IS7" s="125"/>
    </row>
    <row r="8" spans="1:253" x14ac:dyDescent="0.2">
      <c r="A8" s="385" t="s">
        <v>2</v>
      </c>
      <c r="B8" s="199"/>
      <c r="C8" s="198" t="s">
        <v>7</v>
      </c>
      <c r="D8" s="393" t="str">
        <f>CARAT_!$F$53</f>
        <v>SUB GERENCIA DE SUPERVISION Y LIQUIDACION</v>
      </c>
      <c r="F8" s="400"/>
      <c r="G8" s="139"/>
      <c r="H8" s="139"/>
      <c r="J8" s="139"/>
      <c r="K8" s="139"/>
      <c r="L8" s="139"/>
      <c r="M8" s="139"/>
      <c r="N8" s="139"/>
      <c r="O8" s="139"/>
      <c r="P8" s="125"/>
      <c r="Q8" s="125"/>
      <c r="T8" s="125"/>
      <c r="U8" s="125"/>
      <c r="V8" s="125"/>
      <c r="W8" s="125"/>
      <c r="X8" s="125"/>
      <c r="Y8" s="125"/>
      <c r="Z8" s="125"/>
      <c r="AA8" s="125"/>
      <c r="AB8" s="125"/>
      <c r="AC8" s="125"/>
      <c r="AD8" s="125"/>
      <c r="AE8" s="125"/>
      <c r="AF8" s="125"/>
      <c r="AG8" s="125"/>
      <c r="AH8" s="125"/>
      <c r="AI8" s="125"/>
      <c r="AJ8" s="125"/>
      <c r="AK8" s="125"/>
      <c r="AL8" s="125"/>
      <c r="AM8" s="125"/>
      <c r="AN8" s="125"/>
      <c r="AO8" s="125"/>
      <c r="AP8" s="125"/>
      <c r="AQ8" s="125"/>
      <c r="AR8" s="125"/>
      <c r="AS8" s="125"/>
      <c r="AT8" s="125"/>
      <c r="AU8" s="125"/>
      <c r="AV8" s="125"/>
      <c r="AW8" s="125"/>
      <c r="AX8" s="125"/>
      <c r="AY8" s="125"/>
      <c r="AZ8" s="125"/>
      <c r="BA8" s="125"/>
      <c r="BB8" s="125"/>
      <c r="BC8" s="125"/>
      <c r="BD8" s="125"/>
      <c r="BE8" s="125"/>
      <c r="BF8" s="125"/>
      <c r="BG8" s="125"/>
      <c r="BH8" s="125"/>
      <c r="BI8" s="125"/>
      <c r="BJ8" s="125"/>
      <c r="BK8" s="125"/>
      <c r="BL8" s="125"/>
      <c r="BM8" s="125"/>
      <c r="BN8" s="125"/>
      <c r="BO8" s="125"/>
      <c r="BP8" s="125"/>
      <c r="BQ8" s="125"/>
      <c r="BR8" s="125"/>
      <c r="BS8" s="125"/>
      <c r="BT8" s="125"/>
      <c r="BU8" s="125"/>
      <c r="BV8" s="125"/>
      <c r="BW8" s="125"/>
      <c r="BX8" s="125"/>
      <c r="BY8" s="125"/>
      <c r="BZ8" s="125"/>
      <c r="CA8" s="125"/>
      <c r="CB8" s="125"/>
      <c r="CC8" s="125"/>
      <c r="CD8" s="125"/>
      <c r="CE8" s="125"/>
      <c r="CF8" s="125"/>
      <c r="CG8" s="125"/>
      <c r="CH8" s="125"/>
      <c r="CI8" s="125"/>
      <c r="CJ8" s="125"/>
      <c r="CK8" s="125"/>
      <c r="CL8" s="125"/>
      <c r="CM8" s="125"/>
      <c r="CN8" s="125"/>
      <c r="CO8" s="125"/>
      <c r="CP8" s="125"/>
      <c r="CQ8" s="125"/>
      <c r="CR8" s="125"/>
      <c r="CS8" s="125"/>
      <c r="CT8" s="125"/>
      <c r="CU8" s="125"/>
      <c r="CV8" s="125"/>
      <c r="CW8" s="125"/>
      <c r="CX8" s="125"/>
      <c r="CY8" s="125"/>
      <c r="CZ8" s="125"/>
      <c r="DA8" s="125"/>
      <c r="DB8" s="125"/>
      <c r="DC8" s="125"/>
      <c r="DD8" s="125"/>
      <c r="DE8" s="125"/>
      <c r="DF8" s="125"/>
      <c r="DG8" s="125"/>
      <c r="DH8" s="125"/>
      <c r="DI8" s="125"/>
      <c r="DJ8" s="125"/>
      <c r="DK8" s="125"/>
      <c r="DL8" s="125"/>
      <c r="DM8" s="125"/>
      <c r="DN8" s="125"/>
      <c r="DO8" s="125"/>
      <c r="DP8" s="125"/>
      <c r="DQ8" s="125"/>
      <c r="DR8" s="125"/>
      <c r="DS8" s="125"/>
      <c r="DT8" s="125"/>
      <c r="DU8" s="125"/>
      <c r="DV8" s="125"/>
      <c r="DW8" s="125"/>
      <c r="DX8" s="125"/>
      <c r="DY8" s="125"/>
      <c r="DZ8" s="125"/>
      <c r="EA8" s="125"/>
      <c r="EB8" s="125"/>
      <c r="EC8" s="125"/>
      <c r="ED8" s="125"/>
      <c r="EE8" s="125"/>
      <c r="EF8" s="125"/>
      <c r="EG8" s="125"/>
      <c r="EH8" s="125"/>
      <c r="EI8" s="125"/>
      <c r="EJ8" s="125"/>
      <c r="EK8" s="125"/>
      <c r="EL8" s="125"/>
      <c r="EM8" s="125"/>
      <c r="EN8" s="125"/>
      <c r="EO8" s="125"/>
      <c r="EP8" s="125"/>
      <c r="EQ8" s="125"/>
      <c r="ER8" s="125"/>
      <c r="ES8" s="125"/>
      <c r="ET8" s="125"/>
      <c r="EU8" s="125"/>
      <c r="EV8" s="125"/>
      <c r="EW8" s="125"/>
      <c r="EX8" s="125"/>
      <c r="EY8" s="125"/>
      <c r="EZ8" s="125"/>
      <c r="FA8" s="125"/>
      <c r="FB8" s="125"/>
      <c r="FC8" s="125"/>
      <c r="FD8" s="125"/>
      <c r="FE8" s="125"/>
      <c r="FF8" s="125"/>
      <c r="FG8" s="125"/>
      <c r="FH8" s="125"/>
      <c r="FI8" s="125"/>
      <c r="FJ8" s="125"/>
      <c r="FK8" s="125"/>
      <c r="FL8" s="125"/>
      <c r="FM8" s="125"/>
      <c r="FN8" s="125"/>
      <c r="FO8" s="125"/>
      <c r="FP8" s="125"/>
      <c r="FQ8" s="125"/>
      <c r="FR8" s="125"/>
      <c r="FS8" s="125"/>
      <c r="FT8" s="125"/>
      <c r="FU8" s="125"/>
      <c r="FV8" s="125"/>
      <c r="FW8" s="125"/>
      <c r="FX8" s="125"/>
      <c r="FY8" s="125"/>
      <c r="FZ8" s="125"/>
      <c r="GA8" s="125"/>
      <c r="GB8" s="125"/>
      <c r="GC8" s="125"/>
      <c r="GD8" s="125"/>
      <c r="GE8" s="125"/>
      <c r="GF8" s="125"/>
      <c r="GG8" s="125"/>
      <c r="GH8" s="125"/>
      <c r="GI8" s="125"/>
      <c r="GJ8" s="125"/>
      <c r="GK8" s="125"/>
      <c r="GL8" s="125"/>
      <c r="GM8" s="125"/>
      <c r="GN8" s="125"/>
      <c r="GO8" s="125"/>
      <c r="GP8" s="125"/>
      <c r="GQ8" s="125"/>
      <c r="GR8" s="125"/>
      <c r="GS8" s="125"/>
      <c r="GT8" s="125"/>
      <c r="GU8" s="125"/>
      <c r="GV8" s="125"/>
      <c r="GW8" s="125"/>
      <c r="GX8" s="125"/>
      <c r="GY8" s="125"/>
      <c r="GZ8" s="125"/>
      <c r="HA8" s="125"/>
      <c r="HB8" s="125"/>
      <c r="HC8" s="125"/>
      <c r="HD8" s="125"/>
      <c r="HE8" s="125"/>
      <c r="HF8" s="125"/>
      <c r="HG8" s="125"/>
      <c r="HH8" s="125"/>
      <c r="HI8" s="125"/>
      <c r="HJ8" s="125"/>
      <c r="HK8" s="125"/>
      <c r="HL8" s="125"/>
      <c r="HM8" s="125"/>
      <c r="HN8" s="125"/>
      <c r="HO8" s="125"/>
      <c r="HP8" s="125"/>
      <c r="HQ8" s="125"/>
      <c r="HR8" s="125"/>
      <c r="HS8" s="125"/>
      <c r="HT8" s="125"/>
      <c r="HU8" s="125"/>
      <c r="HV8" s="125"/>
      <c r="HW8" s="125"/>
      <c r="HX8" s="125"/>
      <c r="HY8" s="125"/>
      <c r="HZ8" s="125"/>
      <c r="IA8" s="125"/>
      <c r="IB8" s="125"/>
      <c r="IC8" s="125"/>
      <c r="ID8" s="125"/>
      <c r="IE8" s="125"/>
      <c r="IF8" s="125"/>
      <c r="IG8" s="125"/>
      <c r="IH8" s="125"/>
      <c r="II8" s="125"/>
      <c r="IJ8" s="125"/>
      <c r="IK8" s="125"/>
      <c r="IL8" s="125"/>
      <c r="IM8" s="125"/>
      <c r="IN8" s="125"/>
      <c r="IO8" s="125"/>
      <c r="IP8" s="125"/>
      <c r="IQ8" s="125"/>
      <c r="IR8" s="125"/>
      <c r="IS8" s="125"/>
    </row>
    <row r="9" spans="1:253" x14ac:dyDescent="0.2">
      <c r="A9" s="385" t="s">
        <v>3</v>
      </c>
      <c r="B9" s="199"/>
      <c r="C9" s="198" t="s">
        <v>7</v>
      </c>
      <c r="D9" s="393" t="str">
        <f>CARAT_!$F$54</f>
        <v>MES DE DICIEMBRE DE 2022</v>
      </c>
      <c r="E9" s="202"/>
      <c r="F9" s="400"/>
      <c r="G9" s="122"/>
      <c r="H9" s="122"/>
      <c r="I9" s="705"/>
      <c r="J9" s="122"/>
      <c r="K9" s="139"/>
      <c r="L9" s="139"/>
      <c r="M9" s="139"/>
      <c r="N9" s="139"/>
      <c r="O9" s="139"/>
      <c r="P9" s="125"/>
      <c r="Q9" s="125"/>
      <c r="T9" s="125"/>
      <c r="U9" s="125"/>
      <c r="V9" s="125"/>
      <c r="W9" s="125"/>
      <c r="X9" s="125"/>
      <c r="Y9" s="125"/>
      <c r="Z9" s="125"/>
      <c r="AA9" s="125"/>
      <c r="AB9" s="125"/>
      <c r="AC9" s="125"/>
      <c r="AD9" s="125"/>
      <c r="AE9" s="125"/>
      <c r="AF9" s="125"/>
      <c r="AG9" s="125"/>
      <c r="AH9" s="125"/>
      <c r="AI9" s="125"/>
      <c r="AJ9" s="125"/>
      <c r="AK9" s="125"/>
      <c r="AL9" s="125"/>
      <c r="AM9" s="125"/>
      <c r="AN9" s="125"/>
      <c r="AO9" s="125"/>
      <c r="AP9" s="125"/>
      <c r="AQ9" s="125"/>
      <c r="AR9" s="125"/>
      <c r="AS9" s="125"/>
      <c r="AT9" s="125"/>
      <c r="AU9" s="125"/>
      <c r="AV9" s="125"/>
      <c r="AW9" s="125"/>
      <c r="AX9" s="125"/>
      <c r="AY9" s="125"/>
      <c r="AZ9" s="125"/>
      <c r="BA9" s="125"/>
      <c r="BB9" s="125"/>
      <c r="BC9" s="125"/>
      <c r="BD9" s="125"/>
      <c r="BE9" s="125"/>
      <c r="BF9" s="125"/>
      <c r="BG9" s="125"/>
      <c r="BH9" s="125"/>
      <c r="BI9" s="125"/>
      <c r="BJ9" s="125"/>
      <c r="BK9" s="125"/>
      <c r="BL9" s="125"/>
      <c r="BM9" s="125"/>
      <c r="BN9" s="125"/>
      <c r="BO9" s="125"/>
      <c r="BP9" s="125"/>
      <c r="BQ9" s="125"/>
      <c r="BR9" s="125"/>
      <c r="BS9" s="125"/>
      <c r="BT9" s="125"/>
      <c r="BU9" s="125"/>
      <c r="BV9" s="125"/>
      <c r="BW9" s="125"/>
      <c r="BX9" s="125"/>
      <c r="BY9" s="125"/>
      <c r="BZ9" s="125"/>
      <c r="CA9" s="125"/>
      <c r="CB9" s="125"/>
      <c r="CC9" s="125"/>
      <c r="CD9" s="125"/>
      <c r="CE9" s="125"/>
      <c r="CF9" s="125"/>
      <c r="CG9" s="125"/>
      <c r="CH9" s="125"/>
      <c r="CI9" s="125"/>
      <c r="CJ9" s="125"/>
      <c r="CK9" s="125"/>
      <c r="CL9" s="125"/>
      <c r="CM9" s="125"/>
      <c r="CN9" s="125"/>
      <c r="CO9" s="125"/>
      <c r="CP9" s="125"/>
      <c r="CQ9" s="125"/>
      <c r="CR9" s="125"/>
      <c r="CS9" s="125"/>
      <c r="CT9" s="125"/>
      <c r="CU9" s="125"/>
      <c r="CV9" s="125"/>
      <c r="CW9" s="125"/>
      <c r="CX9" s="125"/>
      <c r="CY9" s="125"/>
      <c r="CZ9" s="125"/>
      <c r="DA9" s="125"/>
      <c r="DB9" s="125"/>
      <c r="DC9" s="125"/>
      <c r="DD9" s="125"/>
      <c r="DE9" s="125"/>
      <c r="DF9" s="125"/>
      <c r="DG9" s="125"/>
      <c r="DH9" s="125"/>
      <c r="DI9" s="125"/>
      <c r="DJ9" s="125"/>
      <c r="DK9" s="125"/>
      <c r="DL9" s="125"/>
      <c r="DM9" s="125"/>
      <c r="DN9" s="125"/>
      <c r="DO9" s="125"/>
      <c r="DP9" s="125"/>
      <c r="DQ9" s="125"/>
      <c r="DR9" s="125"/>
      <c r="DS9" s="125"/>
      <c r="DT9" s="125"/>
      <c r="DU9" s="125"/>
      <c r="DV9" s="125"/>
      <c r="DW9" s="125"/>
      <c r="DX9" s="125"/>
      <c r="DY9" s="125"/>
      <c r="DZ9" s="125"/>
      <c r="EA9" s="125"/>
      <c r="EB9" s="125"/>
      <c r="EC9" s="125"/>
      <c r="ED9" s="125"/>
      <c r="EE9" s="125"/>
      <c r="EF9" s="125"/>
      <c r="EG9" s="125"/>
      <c r="EH9" s="125"/>
      <c r="EI9" s="125"/>
      <c r="EJ9" s="125"/>
      <c r="EK9" s="125"/>
      <c r="EL9" s="125"/>
      <c r="EM9" s="125"/>
      <c r="EN9" s="125"/>
      <c r="EO9" s="125"/>
      <c r="EP9" s="125"/>
      <c r="EQ9" s="125"/>
      <c r="ER9" s="125"/>
      <c r="ES9" s="125"/>
      <c r="ET9" s="125"/>
      <c r="EU9" s="125"/>
      <c r="EV9" s="125"/>
      <c r="EW9" s="125"/>
      <c r="EX9" s="125"/>
      <c r="EY9" s="125"/>
      <c r="EZ9" s="125"/>
      <c r="FA9" s="125"/>
      <c r="FB9" s="125"/>
      <c r="FC9" s="125"/>
      <c r="FD9" s="125"/>
      <c r="FE9" s="125"/>
      <c r="FF9" s="125"/>
      <c r="FG9" s="125"/>
      <c r="FH9" s="125"/>
      <c r="FI9" s="125"/>
      <c r="FJ9" s="125"/>
      <c r="FK9" s="125"/>
      <c r="FL9" s="125"/>
      <c r="FM9" s="125"/>
      <c r="FN9" s="125"/>
      <c r="FO9" s="125"/>
      <c r="FP9" s="125"/>
      <c r="FQ9" s="125"/>
      <c r="FR9" s="125"/>
      <c r="FS9" s="125"/>
      <c r="FT9" s="125"/>
      <c r="FU9" s="125"/>
      <c r="FV9" s="125"/>
      <c r="FW9" s="125"/>
      <c r="FX9" s="125"/>
      <c r="FY9" s="125"/>
      <c r="FZ9" s="125"/>
      <c r="GA9" s="125"/>
      <c r="GB9" s="125"/>
      <c r="GC9" s="125"/>
      <c r="GD9" s="125"/>
      <c r="GE9" s="125"/>
      <c r="GF9" s="125"/>
      <c r="GG9" s="125"/>
      <c r="GH9" s="125"/>
      <c r="GI9" s="125"/>
      <c r="GJ9" s="125"/>
      <c r="GK9" s="125"/>
      <c r="GL9" s="125"/>
      <c r="GM9" s="125"/>
      <c r="GN9" s="125"/>
      <c r="GO9" s="125"/>
      <c r="GP9" s="125"/>
      <c r="GQ9" s="125"/>
      <c r="GR9" s="125"/>
      <c r="GS9" s="125"/>
      <c r="GT9" s="125"/>
      <c r="GU9" s="125"/>
      <c r="GV9" s="125"/>
      <c r="GW9" s="125"/>
      <c r="GX9" s="125"/>
      <c r="GY9" s="125"/>
      <c r="GZ9" s="125"/>
      <c r="HA9" s="125"/>
      <c r="HB9" s="125"/>
      <c r="HC9" s="125"/>
      <c r="HD9" s="125"/>
      <c r="HE9" s="125"/>
      <c r="HF9" s="125"/>
      <c r="HG9" s="125"/>
      <c r="HH9" s="125"/>
      <c r="HI9" s="125"/>
      <c r="HJ9" s="125"/>
      <c r="HK9" s="125"/>
      <c r="HL9" s="125"/>
      <c r="HM9" s="125"/>
      <c r="HN9" s="125"/>
      <c r="HO9" s="125"/>
      <c r="HP9" s="125"/>
      <c r="HQ9" s="125"/>
      <c r="HR9" s="125"/>
      <c r="HS9" s="125"/>
      <c r="HT9" s="125"/>
      <c r="HU9" s="125"/>
      <c r="HV9" s="125"/>
      <c r="HW9" s="125"/>
      <c r="HX9" s="125"/>
      <c r="HY9" s="125"/>
      <c r="HZ9" s="125"/>
      <c r="IA9" s="125"/>
      <c r="IB9" s="125"/>
      <c r="IC9" s="125"/>
      <c r="ID9" s="125"/>
      <c r="IE9" s="125"/>
      <c r="IF9" s="125"/>
      <c r="IG9" s="125"/>
      <c r="IH9" s="125"/>
      <c r="II9" s="125"/>
      <c r="IJ9" s="125"/>
      <c r="IK9" s="125"/>
      <c r="IL9" s="125"/>
      <c r="IM9" s="125"/>
      <c r="IN9" s="125"/>
      <c r="IO9" s="125"/>
      <c r="IP9" s="125"/>
      <c r="IQ9" s="125"/>
      <c r="IR9" s="125"/>
      <c r="IS9" s="125"/>
    </row>
    <row r="10" spans="1:253" x14ac:dyDescent="0.2">
      <c r="A10" s="385" t="s">
        <v>4</v>
      </c>
      <c r="B10" s="199"/>
      <c r="C10" s="198" t="s">
        <v>7</v>
      </c>
      <c r="D10" s="394">
        <f>VAL_RES.!O15</f>
        <v>0</v>
      </c>
      <c r="E10" s="202"/>
      <c r="F10" s="400"/>
      <c r="G10" s="122"/>
      <c r="H10" s="122"/>
      <c r="I10" s="705"/>
      <c r="J10" s="122"/>
      <c r="K10" s="139"/>
      <c r="L10" s="139"/>
      <c r="M10" s="139"/>
      <c r="N10" s="139"/>
      <c r="O10" s="139"/>
      <c r="P10" s="125"/>
      <c r="Q10" s="125"/>
      <c r="T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5"/>
      <c r="AS10" s="125"/>
      <c r="AT10" s="125"/>
      <c r="AU10" s="125"/>
      <c r="AV10" s="125"/>
      <c r="AW10" s="125"/>
      <c r="AX10" s="125"/>
      <c r="AY10" s="125"/>
      <c r="AZ10" s="125"/>
      <c r="BA10" s="125"/>
      <c r="BB10" s="125"/>
      <c r="BC10" s="125"/>
      <c r="BD10" s="125"/>
      <c r="BE10" s="125"/>
      <c r="BF10" s="125"/>
      <c r="BG10" s="125"/>
      <c r="BH10" s="125"/>
      <c r="BI10" s="125"/>
      <c r="BJ10" s="125"/>
      <c r="BK10" s="125"/>
      <c r="BL10" s="125"/>
      <c r="BM10" s="125"/>
      <c r="BN10" s="125"/>
      <c r="BO10" s="125"/>
      <c r="BP10" s="125"/>
      <c r="BQ10" s="125"/>
      <c r="BR10" s="125"/>
      <c r="BS10" s="125"/>
      <c r="BT10" s="125"/>
      <c r="BU10" s="125"/>
      <c r="BV10" s="125"/>
      <c r="BW10" s="125"/>
      <c r="BX10" s="125"/>
      <c r="BY10" s="125"/>
      <c r="BZ10" s="125"/>
      <c r="CA10" s="125"/>
      <c r="CB10" s="125"/>
      <c r="CC10" s="125"/>
      <c r="CD10" s="125"/>
      <c r="CE10" s="125"/>
      <c r="CF10" s="125"/>
      <c r="CG10" s="125"/>
      <c r="CH10" s="125"/>
      <c r="CI10" s="125"/>
      <c r="CJ10" s="125"/>
      <c r="CK10" s="125"/>
      <c r="CL10" s="125"/>
      <c r="CM10" s="125"/>
      <c r="CN10" s="125"/>
      <c r="CO10" s="125"/>
      <c r="CP10" s="125"/>
      <c r="CQ10" s="125"/>
      <c r="CR10" s="125"/>
      <c r="CS10" s="125"/>
      <c r="CT10" s="125"/>
      <c r="CU10" s="125"/>
      <c r="CV10" s="125"/>
      <c r="CW10" s="125"/>
      <c r="CX10" s="125"/>
      <c r="CY10" s="125"/>
      <c r="CZ10" s="125"/>
      <c r="DA10" s="125"/>
      <c r="DB10" s="125"/>
      <c r="DC10" s="125"/>
      <c r="DD10" s="125"/>
      <c r="DE10" s="125"/>
      <c r="DF10" s="125"/>
      <c r="DG10" s="125"/>
      <c r="DH10" s="125"/>
      <c r="DI10" s="125"/>
      <c r="DJ10" s="125"/>
      <c r="DK10" s="125"/>
      <c r="DL10" s="125"/>
      <c r="DM10" s="125"/>
      <c r="DN10" s="125"/>
      <c r="DO10" s="125"/>
      <c r="DP10" s="125"/>
      <c r="DQ10" s="125"/>
      <c r="DR10" s="125"/>
      <c r="DS10" s="125"/>
      <c r="DT10" s="125"/>
      <c r="DU10" s="125"/>
      <c r="DV10" s="125"/>
      <c r="DW10" s="125"/>
      <c r="DX10" s="125"/>
      <c r="DY10" s="125"/>
      <c r="DZ10" s="125"/>
      <c r="EA10" s="125"/>
      <c r="EB10" s="125"/>
      <c r="EC10" s="125"/>
      <c r="ED10" s="125"/>
      <c r="EE10" s="125"/>
      <c r="EF10" s="125"/>
      <c r="EG10" s="125"/>
      <c r="EH10" s="125"/>
      <c r="EI10" s="125"/>
      <c r="EJ10" s="125"/>
      <c r="EK10" s="125"/>
      <c r="EL10" s="125"/>
      <c r="EM10" s="125"/>
      <c r="EN10" s="125"/>
      <c r="EO10" s="125"/>
      <c r="EP10" s="125"/>
      <c r="EQ10" s="125"/>
      <c r="ER10" s="125"/>
      <c r="ES10" s="125"/>
      <c r="ET10" s="125"/>
      <c r="EU10" s="125"/>
      <c r="EV10" s="125"/>
      <c r="EW10" s="125"/>
      <c r="EX10" s="125"/>
      <c r="EY10" s="125"/>
      <c r="EZ10" s="125"/>
      <c r="FA10" s="125"/>
      <c r="FB10" s="125"/>
      <c r="FC10" s="125"/>
      <c r="FD10" s="125"/>
      <c r="FE10" s="125"/>
      <c r="FF10" s="125"/>
      <c r="FG10" s="125"/>
      <c r="FH10" s="125"/>
      <c r="FI10" s="125"/>
      <c r="FJ10" s="125"/>
      <c r="FK10" s="125"/>
      <c r="FL10" s="125"/>
      <c r="FM10" s="125"/>
      <c r="FN10" s="125"/>
      <c r="FO10" s="125"/>
      <c r="FP10" s="125"/>
      <c r="FQ10" s="125"/>
      <c r="FR10" s="125"/>
      <c r="FS10" s="125"/>
      <c r="FT10" s="125"/>
      <c r="FU10" s="125"/>
      <c r="FV10" s="125"/>
      <c r="FW10" s="125"/>
      <c r="FX10" s="125"/>
      <c r="FY10" s="125"/>
      <c r="FZ10" s="125"/>
      <c r="GA10" s="125"/>
      <c r="GB10" s="125"/>
      <c r="GC10" s="125"/>
      <c r="GD10" s="125"/>
      <c r="GE10" s="125"/>
      <c r="GF10" s="125"/>
      <c r="GG10" s="125"/>
      <c r="GH10" s="125"/>
      <c r="GI10" s="125"/>
      <c r="GJ10" s="125"/>
      <c r="GK10" s="125"/>
      <c r="GL10" s="125"/>
      <c r="GM10" s="125"/>
      <c r="GN10" s="125"/>
      <c r="GO10" s="125"/>
      <c r="GP10" s="125"/>
      <c r="GQ10" s="125"/>
      <c r="GR10" s="125"/>
      <c r="GS10" s="125"/>
      <c r="GT10" s="125"/>
      <c r="GU10" s="125"/>
      <c r="GV10" s="125"/>
      <c r="GW10" s="125"/>
      <c r="GX10" s="125"/>
      <c r="GY10" s="125"/>
      <c r="GZ10" s="125"/>
      <c r="HA10" s="125"/>
      <c r="HB10" s="125"/>
      <c r="HC10" s="125"/>
      <c r="HD10" s="125"/>
      <c r="HE10" s="125"/>
      <c r="HF10" s="125"/>
      <c r="HG10" s="125"/>
      <c r="HH10" s="125"/>
      <c r="HI10" s="125"/>
      <c r="HJ10" s="125"/>
      <c r="HK10" s="125"/>
      <c r="HL10" s="125"/>
      <c r="HM10" s="125"/>
      <c r="HN10" s="125"/>
      <c r="HO10" s="125"/>
      <c r="HP10" s="125"/>
      <c r="HQ10" s="125"/>
      <c r="HR10" s="125"/>
      <c r="HS10" s="125"/>
      <c r="HT10" s="125"/>
      <c r="HU10" s="125"/>
      <c r="HV10" s="125"/>
      <c r="HW10" s="125"/>
      <c r="HX10" s="125"/>
      <c r="HY10" s="125"/>
      <c r="HZ10" s="125"/>
      <c r="IA10" s="125"/>
      <c r="IB10" s="125"/>
      <c r="IC10" s="125"/>
      <c r="ID10" s="125"/>
      <c r="IE10" s="125"/>
      <c r="IF10" s="125"/>
      <c r="IG10" s="125"/>
      <c r="IH10" s="125"/>
      <c r="II10" s="125"/>
      <c r="IJ10" s="125"/>
      <c r="IK10" s="125"/>
      <c r="IL10" s="125"/>
      <c r="IM10" s="125"/>
      <c r="IN10" s="125"/>
      <c r="IO10" s="125"/>
      <c r="IP10" s="125"/>
      <c r="IQ10" s="125"/>
      <c r="IR10" s="125"/>
      <c r="IS10" s="125"/>
    </row>
    <row r="11" spans="1:253" ht="10.8" thickBot="1" x14ac:dyDescent="0.25">
      <c r="A11" s="203"/>
      <c r="B11" s="125"/>
      <c r="E11" s="202"/>
      <c r="F11" s="400"/>
      <c r="G11" s="122"/>
      <c r="H11" s="122"/>
      <c r="I11" s="705"/>
      <c r="J11" s="122"/>
      <c r="K11" s="139"/>
      <c r="L11" s="139"/>
      <c r="M11" s="139"/>
      <c r="N11" s="139"/>
      <c r="O11" s="139"/>
      <c r="P11" s="125"/>
      <c r="Q11" s="125"/>
      <c r="T11" s="125"/>
      <c r="U11" s="125"/>
      <c r="V11" s="125"/>
      <c r="W11" s="125"/>
      <c r="X11" s="125"/>
      <c r="Y11" s="125"/>
      <c r="Z11" s="125"/>
      <c r="AA11" s="125"/>
      <c r="AB11" s="125"/>
      <c r="AC11" s="125"/>
      <c r="AD11" s="125"/>
      <c r="AE11" s="125"/>
      <c r="AF11" s="125"/>
      <c r="AG11" s="125"/>
      <c r="AH11" s="125"/>
      <c r="AI11" s="125"/>
      <c r="AJ11" s="125"/>
      <c r="AK11" s="125"/>
      <c r="AL11" s="125"/>
      <c r="AM11" s="125"/>
      <c r="AN11" s="125"/>
      <c r="AO11" s="125"/>
      <c r="AP11" s="125"/>
      <c r="AQ11" s="125"/>
      <c r="AR11" s="125"/>
      <c r="AS11" s="125"/>
      <c r="AT11" s="125"/>
      <c r="AU11" s="125"/>
      <c r="AV11" s="125"/>
      <c r="AW11" s="125"/>
      <c r="AX11" s="125"/>
      <c r="AY11" s="125"/>
      <c r="AZ11" s="125"/>
      <c r="BA11" s="125"/>
      <c r="BB11" s="125"/>
      <c r="BC11" s="125"/>
      <c r="BD11" s="125"/>
      <c r="BE11" s="125"/>
      <c r="BF11" s="125"/>
      <c r="BG11" s="125"/>
      <c r="BH11" s="125"/>
      <c r="BI11" s="125"/>
      <c r="BJ11" s="125"/>
      <c r="BK11" s="125"/>
      <c r="BL11" s="125"/>
      <c r="BM11" s="125"/>
      <c r="BN11" s="125"/>
      <c r="BO11" s="125"/>
      <c r="BP11" s="125"/>
      <c r="BQ11" s="125"/>
      <c r="BR11" s="125"/>
      <c r="BS11" s="125"/>
      <c r="BT11" s="125"/>
      <c r="BU11" s="125"/>
      <c r="BV11" s="125"/>
      <c r="BW11" s="125"/>
      <c r="BX11" s="125"/>
      <c r="BY11" s="125"/>
      <c r="BZ11" s="125"/>
      <c r="CA11" s="125"/>
      <c r="CB11" s="125"/>
      <c r="CC11" s="125"/>
      <c r="CD11" s="125"/>
      <c r="CE11" s="125"/>
      <c r="CF11" s="125"/>
      <c r="CG11" s="125"/>
      <c r="CH11" s="125"/>
      <c r="CI11" s="125"/>
      <c r="CJ11" s="125"/>
      <c r="CK11" s="125"/>
      <c r="CL11" s="125"/>
      <c r="CM11" s="125"/>
      <c r="CN11" s="125"/>
      <c r="CO11" s="125"/>
      <c r="CP11" s="125"/>
      <c r="CQ11" s="125"/>
      <c r="CR11" s="125"/>
      <c r="CS11" s="125"/>
      <c r="CT11" s="125"/>
      <c r="CU11" s="125"/>
      <c r="CV11" s="125"/>
      <c r="CW11" s="125"/>
      <c r="CX11" s="125"/>
      <c r="CY11" s="125"/>
      <c r="CZ11" s="125"/>
      <c r="DA11" s="125"/>
      <c r="DB11" s="125"/>
      <c r="DC11" s="125"/>
      <c r="DD11" s="125"/>
      <c r="DE11" s="125"/>
      <c r="DF11" s="125"/>
      <c r="DG11" s="125"/>
      <c r="DH11" s="125"/>
      <c r="DI11" s="125"/>
      <c r="DJ11" s="125"/>
      <c r="DK11" s="125"/>
      <c r="DL11" s="125"/>
      <c r="DM11" s="125"/>
      <c r="DN11" s="125"/>
      <c r="DO11" s="125"/>
      <c r="DP11" s="125"/>
      <c r="DQ11" s="125"/>
      <c r="DR11" s="125"/>
      <c r="DS11" s="125"/>
      <c r="DT11" s="125"/>
      <c r="DU11" s="125"/>
      <c r="DV11" s="125"/>
      <c r="DW11" s="125"/>
      <c r="DX11" s="125"/>
      <c r="DY11" s="125"/>
      <c r="DZ11" s="125"/>
      <c r="EA11" s="125"/>
      <c r="EB11" s="125"/>
      <c r="EC11" s="125"/>
      <c r="ED11" s="125"/>
      <c r="EE11" s="125"/>
      <c r="EF11" s="125"/>
      <c r="EG11" s="125"/>
      <c r="EH11" s="125"/>
      <c r="EI11" s="125"/>
      <c r="EJ11" s="125"/>
      <c r="EK11" s="125"/>
      <c r="EL11" s="125"/>
      <c r="EM11" s="125"/>
      <c r="EN11" s="125"/>
      <c r="EO11" s="125"/>
      <c r="EP11" s="125"/>
      <c r="EQ11" s="125"/>
      <c r="ER11" s="125"/>
      <c r="ES11" s="125"/>
      <c r="ET11" s="125"/>
      <c r="EU11" s="125"/>
      <c r="EV11" s="125"/>
      <c r="EW11" s="125"/>
      <c r="EX11" s="125"/>
      <c r="EY11" s="125"/>
      <c r="EZ11" s="125"/>
      <c r="FA11" s="125"/>
      <c r="FB11" s="125"/>
      <c r="FC11" s="125"/>
      <c r="FD11" s="125"/>
      <c r="FE11" s="125"/>
      <c r="FF11" s="125"/>
      <c r="FG11" s="125"/>
      <c r="FH11" s="125"/>
      <c r="FI11" s="125"/>
      <c r="FJ11" s="125"/>
      <c r="FK11" s="125"/>
      <c r="FL11" s="125"/>
      <c r="FM11" s="125"/>
      <c r="FN11" s="125"/>
      <c r="FO11" s="125"/>
      <c r="FP11" s="125"/>
      <c r="FQ11" s="125"/>
      <c r="FR11" s="125"/>
      <c r="FS11" s="125"/>
      <c r="FT11" s="125"/>
      <c r="FU11" s="125"/>
      <c r="FV11" s="125"/>
      <c r="FW11" s="125"/>
      <c r="FX11" s="125"/>
      <c r="FY11" s="125"/>
      <c r="FZ11" s="125"/>
      <c r="GA11" s="125"/>
      <c r="GB11" s="125"/>
      <c r="GC11" s="125"/>
      <c r="GD11" s="125"/>
      <c r="GE11" s="125"/>
      <c r="GF11" s="125"/>
      <c r="GG11" s="125"/>
      <c r="GH11" s="125"/>
      <c r="GI11" s="125"/>
      <c r="GJ11" s="125"/>
      <c r="GK11" s="125"/>
      <c r="GL11" s="125"/>
      <c r="GM11" s="125"/>
      <c r="GN11" s="125"/>
      <c r="GO11" s="125"/>
      <c r="GP11" s="125"/>
      <c r="GQ11" s="125"/>
      <c r="GR11" s="125"/>
      <c r="GS11" s="125"/>
      <c r="GT11" s="125"/>
      <c r="GU11" s="125"/>
      <c r="GV11" s="125"/>
      <c r="GW11" s="125"/>
      <c r="GX11" s="125"/>
      <c r="GY11" s="125"/>
      <c r="GZ11" s="125"/>
      <c r="HA11" s="125"/>
      <c r="HB11" s="125"/>
      <c r="HC11" s="125"/>
      <c r="HD11" s="125"/>
      <c r="HE11" s="125"/>
      <c r="HF11" s="125"/>
      <c r="HG11" s="125"/>
      <c r="HH11" s="125"/>
      <c r="HI11" s="125"/>
      <c r="HJ11" s="125"/>
      <c r="HK11" s="125"/>
      <c r="HL11" s="125"/>
      <c r="HM11" s="125"/>
      <c r="HN11" s="125"/>
      <c r="HO11" s="125"/>
      <c r="HP11" s="125"/>
      <c r="HQ11" s="125"/>
      <c r="HR11" s="125"/>
      <c r="HS11" s="125"/>
      <c r="HT11" s="125"/>
      <c r="HU11" s="125"/>
      <c r="HV11" s="125"/>
      <c r="HW11" s="125"/>
      <c r="HX11" s="125"/>
      <c r="HY11" s="125"/>
      <c r="HZ11" s="125"/>
      <c r="IA11" s="125"/>
      <c r="IB11" s="125"/>
      <c r="IC11" s="125"/>
      <c r="ID11" s="125"/>
      <c r="IE11" s="125"/>
      <c r="IF11" s="125"/>
      <c r="IG11" s="125"/>
      <c r="IH11" s="125"/>
      <c r="II11" s="125"/>
      <c r="IJ11" s="125"/>
      <c r="IK11" s="125"/>
      <c r="IL11" s="125"/>
      <c r="IM11" s="125"/>
      <c r="IN11" s="125"/>
      <c r="IO11" s="125"/>
      <c r="IP11" s="125"/>
      <c r="IQ11" s="125"/>
      <c r="IR11" s="125"/>
      <c r="IS11" s="125"/>
    </row>
    <row r="12" spans="1:253" x14ac:dyDescent="0.2">
      <c r="A12" s="2210" t="s">
        <v>8</v>
      </c>
      <c r="B12" s="187" t="s">
        <v>9</v>
      </c>
      <c r="C12" s="2212" t="s">
        <v>283</v>
      </c>
      <c r="D12" s="2213"/>
      <c r="E12" s="2214"/>
      <c r="F12" s="2215"/>
      <c r="G12" s="2216" t="s">
        <v>300</v>
      </c>
      <c r="H12" s="2217"/>
      <c r="I12" s="2206" t="s">
        <v>10</v>
      </c>
      <c r="J12" s="2208"/>
      <c r="K12" s="2206" t="s">
        <v>11</v>
      </c>
      <c r="L12" s="2207"/>
      <c r="M12" s="2208"/>
      <c r="N12" s="2206" t="s">
        <v>12</v>
      </c>
      <c r="O12" s="2208"/>
      <c r="P12" s="125"/>
      <c r="Q12" s="125"/>
      <c r="T12" s="125"/>
      <c r="U12" s="125"/>
      <c r="V12" s="125"/>
      <c r="W12" s="125"/>
      <c r="X12" s="125"/>
      <c r="Y12" s="125"/>
      <c r="Z12" s="125"/>
      <c r="AA12" s="125"/>
      <c r="AB12" s="125"/>
      <c r="AC12" s="125"/>
      <c r="AD12" s="125"/>
      <c r="AE12" s="125"/>
      <c r="AF12" s="125"/>
      <c r="AG12" s="125"/>
      <c r="AH12" s="125"/>
      <c r="AI12" s="125"/>
      <c r="AJ12" s="125"/>
      <c r="AK12" s="125"/>
      <c r="AL12" s="125"/>
      <c r="AM12" s="125"/>
      <c r="AN12" s="125"/>
      <c r="AO12" s="125"/>
      <c r="AP12" s="125"/>
      <c r="AQ12" s="125"/>
      <c r="AR12" s="125"/>
      <c r="AS12" s="125"/>
      <c r="AT12" s="125"/>
      <c r="AU12" s="125"/>
      <c r="AV12" s="125"/>
      <c r="AW12" s="125"/>
      <c r="AX12" s="125"/>
      <c r="AY12" s="125"/>
      <c r="AZ12" s="125"/>
      <c r="BA12" s="125"/>
      <c r="BB12" s="125"/>
      <c r="BC12" s="125"/>
      <c r="BD12" s="125"/>
      <c r="BE12" s="125"/>
      <c r="BF12" s="125"/>
      <c r="BG12" s="125"/>
      <c r="BH12" s="125"/>
      <c r="BI12" s="125"/>
      <c r="BJ12" s="125"/>
      <c r="BK12" s="125"/>
      <c r="BL12" s="125"/>
      <c r="BM12" s="125"/>
      <c r="BN12" s="125"/>
      <c r="BO12" s="125"/>
      <c r="BP12" s="125"/>
      <c r="BQ12" s="125"/>
      <c r="BR12" s="125"/>
      <c r="BS12" s="125"/>
      <c r="BT12" s="125"/>
      <c r="BU12" s="125"/>
      <c r="BV12" s="125"/>
      <c r="BW12" s="125"/>
      <c r="BX12" s="125"/>
      <c r="BY12" s="125"/>
      <c r="BZ12" s="125"/>
      <c r="CA12" s="125"/>
      <c r="CB12" s="125"/>
      <c r="CC12" s="125"/>
      <c r="CD12" s="125"/>
      <c r="CE12" s="125"/>
      <c r="CF12" s="125"/>
      <c r="CG12" s="125"/>
      <c r="CH12" s="125"/>
      <c r="CI12" s="125"/>
      <c r="CJ12" s="125"/>
      <c r="CK12" s="125"/>
      <c r="CL12" s="125"/>
      <c r="CM12" s="125"/>
      <c r="CN12" s="125"/>
      <c r="CO12" s="125"/>
      <c r="CP12" s="125"/>
      <c r="CQ12" s="125"/>
      <c r="CR12" s="125"/>
      <c r="CS12" s="125"/>
      <c r="CT12" s="125"/>
      <c r="CU12" s="125"/>
      <c r="CV12" s="125"/>
      <c r="CW12" s="125"/>
      <c r="CX12" s="125"/>
      <c r="CY12" s="125"/>
      <c r="CZ12" s="125"/>
      <c r="DA12" s="125"/>
      <c r="DB12" s="125"/>
      <c r="DC12" s="125"/>
      <c r="DD12" s="125"/>
      <c r="DE12" s="125"/>
      <c r="DF12" s="125"/>
      <c r="DG12" s="125"/>
      <c r="DH12" s="125"/>
      <c r="DI12" s="125"/>
      <c r="DJ12" s="125"/>
      <c r="DK12" s="125"/>
      <c r="DL12" s="125"/>
      <c r="DM12" s="125"/>
      <c r="DN12" s="125"/>
      <c r="DO12" s="125"/>
      <c r="DP12" s="125"/>
      <c r="DQ12" s="125"/>
      <c r="DR12" s="125"/>
      <c r="DS12" s="125"/>
      <c r="DT12" s="125"/>
      <c r="DU12" s="125"/>
      <c r="DV12" s="125"/>
      <c r="DW12" s="125"/>
      <c r="DX12" s="125"/>
      <c r="DY12" s="125"/>
      <c r="DZ12" s="125"/>
      <c r="EA12" s="125"/>
      <c r="EB12" s="125"/>
      <c r="EC12" s="125"/>
      <c r="ED12" s="125"/>
      <c r="EE12" s="125"/>
      <c r="EF12" s="125"/>
      <c r="EG12" s="125"/>
      <c r="EH12" s="125"/>
      <c r="EI12" s="125"/>
      <c r="EJ12" s="125"/>
      <c r="EK12" s="125"/>
      <c r="EL12" s="125"/>
      <c r="EM12" s="125"/>
      <c r="EN12" s="125"/>
      <c r="EO12" s="125"/>
      <c r="EP12" s="125"/>
      <c r="EQ12" s="125"/>
      <c r="ER12" s="125"/>
      <c r="ES12" s="125"/>
      <c r="ET12" s="125"/>
      <c r="EU12" s="125"/>
      <c r="EV12" s="125"/>
      <c r="EW12" s="125"/>
      <c r="EX12" s="125"/>
      <c r="EY12" s="125"/>
      <c r="EZ12" s="125"/>
      <c r="FA12" s="125"/>
      <c r="FB12" s="125"/>
      <c r="FC12" s="125"/>
      <c r="FD12" s="125"/>
      <c r="FE12" s="125"/>
      <c r="FF12" s="125"/>
      <c r="FG12" s="125"/>
      <c r="FH12" s="125"/>
      <c r="FI12" s="125"/>
      <c r="FJ12" s="125"/>
      <c r="FK12" s="125"/>
      <c r="FL12" s="125"/>
      <c r="FM12" s="125"/>
      <c r="FN12" s="125"/>
      <c r="FO12" s="125"/>
      <c r="FP12" s="125"/>
      <c r="FQ12" s="125"/>
      <c r="FR12" s="125"/>
      <c r="FS12" s="125"/>
      <c r="FT12" s="125"/>
      <c r="FU12" s="125"/>
      <c r="FV12" s="125"/>
      <c r="FW12" s="125"/>
      <c r="FX12" s="125"/>
      <c r="FY12" s="125"/>
      <c r="FZ12" s="125"/>
      <c r="GA12" s="125"/>
      <c r="GB12" s="125"/>
      <c r="GC12" s="125"/>
      <c r="GD12" s="125"/>
      <c r="GE12" s="125"/>
      <c r="GF12" s="125"/>
      <c r="GG12" s="125"/>
      <c r="GH12" s="125"/>
      <c r="GI12" s="125"/>
      <c r="GJ12" s="125"/>
      <c r="GK12" s="125"/>
      <c r="GL12" s="125"/>
      <c r="GM12" s="125"/>
      <c r="GN12" s="125"/>
      <c r="GO12" s="125"/>
      <c r="GP12" s="125"/>
      <c r="GQ12" s="125"/>
      <c r="GR12" s="125"/>
      <c r="GS12" s="125"/>
      <c r="GT12" s="125"/>
      <c r="GU12" s="125"/>
      <c r="GV12" s="125"/>
      <c r="GW12" s="125"/>
      <c r="GX12" s="125"/>
      <c r="GY12" s="125"/>
      <c r="GZ12" s="125"/>
      <c r="HA12" s="125"/>
      <c r="HB12" s="125"/>
      <c r="HC12" s="125"/>
      <c r="HD12" s="125"/>
      <c r="HE12" s="125"/>
      <c r="HF12" s="125"/>
      <c r="HG12" s="125"/>
      <c r="HH12" s="125"/>
      <c r="HI12" s="125"/>
      <c r="HJ12" s="125"/>
      <c r="HK12" s="125"/>
      <c r="HL12" s="125"/>
      <c r="HM12" s="125"/>
      <c r="HN12" s="125"/>
      <c r="HO12" s="125"/>
      <c r="HP12" s="125"/>
      <c r="HQ12" s="125"/>
      <c r="HR12" s="125"/>
      <c r="HS12" s="125"/>
      <c r="HT12" s="125"/>
      <c r="HU12" s="125"/>
      <c r="HV12" s="125"/>
      <c r="HW12" s="125"/>
      <c r="HX12" s="125"/>
      <c r="HY12" s="125"/>
      <c r="HZ12" s="125"/>
      <c r="IA12" s="125"/>
      <c r="IB12" s="125"/>
      <c r="IC12" s="125"/>
      <c r="ID12" s="125"/>
      <c r="IE12" s="125"/>
      <c r="IF12" s="125"/>
      <c r="IG12" s="125"/>
      <c r="IH12" s="125"/>
      <c r="II12" s="125"/>
      <c r="IJ12" s="125"/>
      <c r="IK12" s="125"/>
      <c r="IL12" s="125"/>
      <c r="IM12" s="125"/>
      <c r="IN12" s="125"/>
      <c r="IO12" s="125"/>
      <c r="IP12" s="125"/>
      <c r="IQ12" s="125"/>
      <c r="IR12" s="125"/>
      <c r="IS12" s="125"/>
    </row>
    <row r="13" spans="1:253" ht="10.8" thickBot="1" x14ac:dyDescent="0.25">
      <c r="A13" s="2211"/>
      <c r="B13" s="373"/>
      <c r="C13" s="372" t="s">
        <v>13</v>
      </c>
      <c r="D13" s="395" t="s">
        <v>14</v>
      </c>
      <c r="E13" s="165" t="s">
        <v>15</v>
      </c>
      <c r="F13" s="458" t="s">
        <v>16</v>
      </c>
      <c r="G13" s="160" t="s">
        <v>14</v>
      </c>
      <c r="H13" s="161" t="s">
        <v>16</v>
      </c>
      <c r="I13" s="487" t="s">
        <v>14</v>
      </c>
      <c r="J13" s="161" t="s">
        <v>16</v>
      </c>
      <c r="K13" s="160" t="s">
        <v>14</v>
      </c>
      <c r="L13" s="162" t="s">
        <v>16</v>
      </c>
      <c r="M13" s="161" t="s">
        <v>17</v>
      </c>
      <c r="N13" s="160" t="s">
        <v>14</v>
      </c>
      <c r="O13" s="374" t="s">
        <v>16</v>
      </c>
      <c r="P13" s="125"/>
      <c r="Q13" s="125"/>
      <c r="T13" s="125"/>
      <c r="U13" s="125"/>
      <c r="V13" s="125"/>
      <c r="W13" s="125"/>
      <c r="X13" s="125"/>
      <c r="Y13" s="125"/>
      <c r="Z13" s="125"/>
      <c r="AA13" s="125"/>
      <c r="AB13" s="125"/>
      <c r="AC13" s="125"/>
      <c r="AD13" s="125"/>
      <c r="AE13" s="125"/>
      <c r="AF13" s="125"/>
      <c r="AG13" s="125"/>
      <c r="AH13" s="125"/>
      <c r="AI13" s="125"/>
      <c r="AJ13" s="125"/>
      <c r="AK13" s="125"/>
      <c r="AL13" s="125"/>
      <c r="AM13" s="125"/>
      <c r="AN13" s="125"/>
      <c r="AO13" s="125"/>
      <c r="AP13" s="125"/>
      <c r="AQ13" s="125"/>
      <c r="AR13" s="125"/>
      <c r="AS13" s="125"/>
      <c r="AT13" s="125"/>
      <c r="AU13" s="125"/>
      <c r="AV13" s="125"/>
      <c r="AW13" s="125"/>
      <c r="AX13" s="125"/>
      <c r="AY13" s="125"/>
      <c r="AZ13" s="125"/>
      <c r="BA13" s="125"/>
      <c r="BB13" s="125"/>
      <c r="BC13" s="125"/>
      <c r="BD13" s="125"/>
      <c r="BE13" s="125"/>
      <c r="BF13" s="125"/>
      <c r="BG13" s="125"/>
      <c r="BH13" s="125"/>
      <c r="BI13" s="125"/>
      <c r="BJ13" s="125"/>
      <c r="BK13" s="125"/>
      <c r="BL13" s="125"/>
      <c r="BM13" s="125"/>
      <c r="BN13" s="125"/>
      <c r="BO13" s="125"/>
      <c r="BP13" s="125"/>
      <c r="BQ13" s="125"/>
      <c r="BR13" s="125"/>
      <c r="BS13" s="125"/>
      <c r="BT13" s="125"/>
      <c r="BU13" s="125"/>
      <c r="BV13" s="125"/>
      <c r="BW13" s="125"/>
      <c r="BX13" s="125"/>
      <c r="BY13" s="125"/>
      <c r="BZ13" s="125"/>
      <c r="CA13" s="125"/>
      <c r="CB13" s="125"/>
      <c r="CC13" s="125"/>
      <c r="CD13" s="125"/>
      <c r="CE13" s="125"/>
      <c r="CF13" s="125"/>
      <c r="CG13" s="125"/>
      <c r="CH13" s="125"/>
      <c r="CI13" s="125"/>
      <c r="CJ13" s="125"/>
      <c r="CK13" s="125"/>
      <c r="CL13" s="125"/>
      <c r="CM13" s="125"/>
      <c r="CN13" s="125"/>
      <c r="CO13" s="125"/>
      <c r="CP13" s="125"/>
      <c r="CQ13" s="125"/>
      <c r="CR13" s="125"/>
      <c r="CS13" s="125"/>
      <c r="CT13" s="125"/>
      <c r="CU13" s="125"/>
      <c r="CV13" s="125"/>
      <c r="CW13" s="125"/>
      <c r="CX13" s="125"/>
      <c r="CY13" s="125"/>
      <c r="CZ13" s="125"/>
      <c r="DA13" s="125"/>
      <c r="DB13" s="125"/>
      <c r="DC13" s="125"/>
      <c r="DD13" s="125"/>
      <c r="DE13" s="125"/>
      <c r="DF13" s="125"/>
      <c r="DG13" s="125"/>
      <c r="DH13" s="125"/>
      <c r="DI13" s="125"/>
      <c r="DJ13" s="125"/>
      <c r="DK13" s="125"/>
      <c r="DL13" s="125"/>
      <c r="DM13" s="125"/>
      <c r="DN13" s="125"/>
      <c r="DO13" s="125"/>
      <c r="DP13" s="125"/>
      <c r="DQ13" s="125"/>
      <c r="DR13" s="125"/>
      <c r="DS13" s="125"/>
      <c r="DT13" s="125"/>
      <c r="DU13" s="125"/>
      <c r="DV13" s="125"/>
      <c r="DW13" s="125"/>
      <c r="DX13" s="125"/>
      <c r="DY13" s="125"/>
      <c r="DZ13" s="125"/>
      <c r="EA13" s="125"/>
      <c r="EB13" s="125"/>
      <c r="EC13" s="125"/>
      <c r="ED13" s="125"/>
      <c r="EE13" s="125"/>
      <c r="EF13" s="125"/>
      <c r="EG13" s="125"/>
      <c r="EH13" s="125"/>
      <c r="EI13" s="125"/>
      <c r="EJ13" s="125"/>
      <c r="EK13" s="125"/>
      <c r="EL13" s="125"/>
      <c r="EM13" s="125"/>
      <c r="EN13" s="125"/>
      <c r="EO13" s="125"/>
      <c r="EP13" s="125"/>
      <c r="EQ13" s="125"/>
      <c r="ER13" s="125"/>
      <c r="ES13" s="125"/>
      <c r="ET13" s="125"/>
      <c r="EU13" s="125"/>
      <c r="EV13" s="125"/>
      <c r="EW13" s="125"/>
      <c r="EX13" s="125"/>
      <c r="EY13" s="125"/>
      <c r="EZ13" s="125"/>
      <c r="FA13" s="125"/>
      <c r="FB13" s="125"/>
      <c r="FC13" s="125"/>
      <c r="FD13" s="125"/>
      <c r="FE13" s="125"/>
      <c r="FF13" s="125"/>
      <c r="FG13" s="125"/>
      <c r="FH13" s="125"/>
      <c r="FI13" s="125"/>
      <c r="FJ13" s="125"/>
      <c r="FK13" s="125"/>
      <c r="FL13" s="125"/>
      <c r="FM13" s="125"/>
      <c r="FN13" s="125"/>
      <c r="FO13" s="125"/>
      <c r="FP13" s="125"/>
      <c r="FQ13" s="125"/>
      <c r="FR13" s="125"/>
      <c r="FS13" s="125"/>
      <c r="FT13" s="125"/>
      <c r="FU13" s="125"/>
      <c r="FV13" s="125"/>
      <c r="FW13" s="125"/>
      <c r="FX13" s="125"/>
      <c r="FY13" s="125"/>
      <c r="FZ13" s="125"/>
      <c r="GA13" s="125"/>
      <c r="GB13" s="125"/>
      <c r="GC13" s="125"/>
      <c r="GD13" s="125"/>
      <c r="GE13" s="125"/>
      <c r="GF13" s="125"/>
      <c r="GG13" s="125"/>
      <c r="GH13" s="125"/>
      <c r="GI13" s="125"/>
      <c r="GJ13" s="125"/>
      <c r="GK13" s="125"/>
      <c r="GL13" s="125"/>
      <c r="GM13" s="125"/>
      <c r="GN13" s="125"/>
      <c r="GO13" s="125"/>
      <c r="GP13" s="125"/>
      <c r="GQ13" s="125"/>
      <c r="GR13" s="125"/>
      <c r="GS13" s="125"/>
      <c r="GT13" s="125"/>
      <c r="GU13" s="125"/>
      <c r="GV13" s="125"/>
      <c r="GW13" s="125"/>
      <c r="GX13" s="125"/>
      <c r="GY13" s="125"/>
      <c r="GZ13" s="125"/>
      <c r="HA13" s="125"/>
      <c r="HB13" s="125"/>
      <c r="HC13" s="125"/>
      <c r="HD13" s="125"/>
      <c r="HE13" s="125"/>
      <c r="HF13" s="125"/>
      <c r="HG13" s="125"/>
      <c r="HH13" s="125"/>
      <c r="HI13" s="125"/>
      <c r="HJ13" s="125"/>
      <c r="HK13" s="125"/>
      <c r="HL13" s="125"/>
      <c r="HM13" s="125"/>
      <c r="HN13" s="125"/>
      <c r="HO13" s="125"/>
      <c r="HP13" s="125"/>
      <c r="HQ13" s="125"/>
      <c r="HR13" s="125"/>
      <c r="HS13" s="125"/>
      <c r="HT13" s="125"/>
      <c r="HU13" s="125"/>
      <c r="HV13" s="125"/>
      <c r="HW13" s="125"/>
      <c r="HX13" s="125"/>
      <c r="HY13" s="125"/>
      <c r="HZ13" s="125"/>
      <c r="IA13" s="125"/>
      <c r="IB13" s="125"/>
      <c r="IC13" s="125"/>
      <c r="ID13" s="125"/>
      <c r="IE13" s="125"/>
      <c r="IF13" s="125"/>
      <c r="IG13" s="125"/>
      <c r="IH13" s="125"/>
      <c r="II13" s="125"/>
      <c r="IJ13" s="125"/>
      <c r="IK13" s="125"/>
      <c r="IL13" s="125"/>
      <c r="IM13" s="125"/>
      <c r="IN13" s="125"/>
      <c r="IO13" s="125"/>
      <c r="IP13" s="125"/>
      <c r="IQ13" s="125"/>
      <c r="IR13" s="125"/>
      <c r="IS13" s="125"/>
    </row>
    <row r="14" spans="1:253" x14ac:dyDescent="0.2">
      <c r="A14" s="384"/>
      <c r="B14" s="362"/>
      <c r="C14" s="472"/>
      <c r="D14" s="396"/>
      <c r="E14" s="383"/>
      <c r="F14" s="473"/>
      <c r="G14" s="460"/>
      <c r="H14" s="461"/>
      <c r="I14" s="472"/>
      <c r="J14" s="461"/>
      <c r="K14" s="462"/>
      <c r="L14" s="463"/>
      <c r="M14" s="461"/>
      <c r="N14" s="462"/>
      <c r="O14" s="461"/>
      <c r="P14" s="125"/>
      <c r="Q14" s="125"/>
      <c r="T14" s="125"/>
      <c r="U14" s="125"/>
      <c r="V14" s="125"/>
      <c r="W14" s="125"/>
      <c r="X14" s="125"/>
      <c r="Y14" s="125"/>
      <c r="Z14" s="125"/>
      <c r="AA14" s="125"/>
      <c r="AB14" s="125"/>
      <c r="AC14" s="125"/>
      <c r="AD14" s="125"/>
      <c r="AE14" s="125"/>
      <c r="AF14" s="125"/>
      <c r="AG14" s="125"/>
      <c r="AH14" s="125"/>
      <c r="AI14" s="125"/>
      <c r="AJ14" s="125"/>
      <c r="AK14" s="125"/>
      <c r="AL14" s="125"/>
      <c r="AM14" s="125"/>
      <c r="AN14" s="125"/>
      <c r="AO14" s="125"/>
      <c r="AP14" s="125"/>
      <c r="AQ14" s="125"/>
      <c r="AR14" s="125"/>
      <c r="AS14" s="125"/>
      <c r="AT14" s="125"/>
      <c r="AU14" s="125"/>
      <c r="AV14" s="125"/>
      <c r="AW14" s="125"/>
      <c r="AX14" s="125"/>
      <c r="AY14" s="125"/>
      <c r="AZ14" s="125"/>
      <c r="BA14" s="125"/>
      <c r="BB14" s="125"/>
      <c r="BC14" s="125"/>
      <c r="BD14" s="125"/>
      <c r="BE14" s="125"/>
      <c r="BF14" s="125"/>
      <c r="BG14" s="125"/>
      <c r="BH14" s="125"/>
      <c r="BI14" s="125"/>
      <c r="BJ14" s="125"/>
      <c r="BK14" s="125"/>
      <c r="BL14" s="125"/>
      <c r="BM14" s="125"/>
      <c r="BN14" s="125"/>
      <c r="BO14" s="125"/>
      <c r="BP14" s="125"/>
      <c r="BQ14" s="125"/>
      <c r="BR14" s="125"/>
      <c r="BS14" s="125"/>
      <c r="BT14" s="125"/>
      <c r="BU14" s="125"/>
      <c r="BV14" s="125"/>
      <c r="BW14" s="125"/>
      <c r="BX14" s="125"/>
      <c r="BY14" s="125"/>
      <c r="BZ14" s="125"/>
      <c r="CA14" s="125"/>
      <c r="CB14" s="125"/>
      <c r="CC14" s="125"/>
      <c r="CD14" s="125"/>
      <c r="CE14" s="125"/>
      <c r="CF14" s="125"/>
      <c r="CG14" s="125"/>
      <c r="CH14" s="125"/>
      <c r="CI14" s="125"/>
      <c r="CJ14" s="125"/>
      <c r="CK14" s="125"/>
      <c r="CL14" s="125"/>
      <c r="CM14" s="125"/>
      <c r="CN14" s="125"/>
      <c r="CO14" s="125"/>
      <c r="CP14" s="125"/>
      <c r="CQ14" s="125"/>
      <c r="CR14" s="125"/>
      <c r="CS14" s="125"/>
      <c r="CT14" s="125"/>
      <c r="CU14" s="125"/>
      <c r="CV14" s="125"/>
      <c r="CW14" s="125"/>
      <c r="CX14" s="125"/>
      <c r="CY14" s="125"/>
      <c r="CZ14" s="125"/>
      <c r="DA14" s="125"/>
      <c r="DB14" s="125"/>
      <c r="DC14" s="125"/>
      <c r="DD14" s="125"/>
      <c r="DE14" s="125"/>
      <c r="DF14" s="125"/>
      <c r="DG14" s="125"/>
      <c r="DH14" s="125"/>
      <c r="DI14" s="125"/>
      <c r="DJ14" s="125"/>
      <c r="DK14" s="125"/>
      <c r="DL14" s="125"/>
      <c r="DM14" s="125"/>
      <c r="DN14" s="125"/>
      <c r="DO14" s="125"/>
      <c r="DP14" s="125"/>
      <c r="DQ14" s="125"/>
      <c r="DR14" s="125"/>
      <c r="DS14" s="125"/>
      <c r="DT14" s="125"/>
      <c r="DU14" s="125"/>
      <c r="DV14" s="125"/>
      <c r="DW14" s="125"/>
      <c r="DX14" s="125"/>
      <c r="DY14" s="125"/>
      <c r="DZ14" s="125"/>
      <c r="EA14" s="125"/>
      <c r="EB14" s="125"/>
      <c r="EC14" s="125"/>
      <c r="ED14" s="125"/>
      <c r="EE14" s="125"/>
      <c r="EF14" s="125"/>
      <c r="EG14" s="125"/>
      <c r="EH14" s="125"/>
      <c r="EI14" s="125"/>
      <c r="EJ14" s="125"/>
      <c r="EK14" s="125"/>
      <c r="EL14" s="125"/>
      <c r="EM14" s="125"/>
      <c r="EN14" s="125"/>
      <c r="EO14" s="125"/>
      <c r="EP14" s="125"/>
      <c r="EQ14" s="125"/>
      <c r="ER14" s="125"/>
      <c r="ES14" s="125"/>
      <c r="ET14" s="125"/>
      <c r="EU14" s="125"/>
      <c r="EV14" s="125"/>
      <c r="EW14" s="125"/>
      <c r="EX14" s="125"/>
      <c r="EY14" s="125"/>
      <c r="EZ14" s="125"/>
      <c r="FA14" s="125"/>
      <c r="FB14" s="125"/>
      <c r="FC14" s="125"/>
      <c r="FD14" s="125"/>
      <c r="FE14" s="125"/>
      <c r="FF14" s="125"/>
      <c r="FG14" s="125"/>
      <c r="FH14" s="125"/>
      <c r="FI14" s="125"/>
      <c r="FJ14" s="125"/>
      <c r="FK14" s="125"/>
      <c r="FL14" s="125"/>
      <c r="FM14" s="125"/>
      <c r="FN14" s="125"/>
      <c r="FO14" s="125"/>
      <c r="FP14" s="125"/>
      <c r="FQ14" s="125"/>
      <c r="FR14" s="125"/>
      <c r="FS14" s="125"/>
      <c r="FT14" s="125"/>
      <c r="FU14" s="125"/>
      <c r="FV14" s="125"/>
      <c r="FW14" s="125"/>
      <c r="FX14" s="125"/>
      <c r="FY14" s="125"/>
      <c r="FZ14" s="125"/>
      <c r="GA14" s="125"/>
      <c r="GB14" s="125"/>
      <c r="GC14" s="125"/>
      <c r="GD14" s="125"/>
      <c r="GE14" s="125"/>
      <c r="GF14" s="125"/>
      <c r="GG14" s="125"/>
      <c r="GH14" s="125"/>
      <c r="GI14" s="125"/>
      <c r="GJ14" s="125"/>
      <c r="GK14" s="125"/>
      <c r="GL14" s="125"/>
      <c r="GM14" s="125"/>
      <c r="GN14" s="125"/>
      <c r="GO14" s="125"/>
      <c r="GP14" s="125"/>
      <c r="GQ14" s="125"/>
      <c r="GR14" s="125"/>
      <c r="GS14" s="125"/>
      <c r="GT14" s="125"/>
      <c r="GU14" s="125"/>
      <c r="GV14" s="125"/>
      <c r="GW14" s="125"/>
      <c r="GX14" s="125"/>
      <c r="GY14" s="125"/>
      <c r="GZ14" s="125"/>
      <c r="HA14" s="125"/>
      <c r="HB14" s="125"/>
      <c r="HC14" s="125"/>
      <c r="HD14" s="125"/>
      <c r="HE14" s="125"/>
      <c r="HF14" s="125"/>
      <c r="HG14" s="125"/>
      <c r="HH14" s="125"/>
      <c r="HI14" s="125"/>
      <c r="HJ14" s="125"/>
      <c r="HK14" s="125"/>
      <c r="HL14" s="125"/>
      <c r="HM14" s="125"/>
      <c r="HN14" s="125"/>
      <c r="HO14" s="125"/>
      <c r="HP14" s="125"/>
      <c r="HQ14" s="125"/>
      <c r="HR14" s="125"/>
      <c r="HS14" s="125"/>
      <c r="HT14" s="125"/>
      <c r="HU14" s="125"/>
      <c r="HV14" s="125"/>
      <c r="HW14" s="125"/>
      <c r="HX14" s="125"/>
      <c r="HY14" s="125"/>
      <c r="HZ14" s="125"/>
      <c r="IA14" s="125"/>
      <c r="IB14" s="125"/>
      <c r="IC14" s="125"/>
      <c r="ID14" s="125"/>
      <c r="IE14" s="125"/>
      <c r="IF14" s="125"/>
      <c r="IG14" s="125"/>
      <c r="IH14" s="125"/>
      <c r="II14" s="125"/>
      <c r="IJ14" s="125"/>
      <c r="IK14" s="125"/>
      <c r="IL14" s="125"/>
      <c r="IM14" s="125"/>
      <c r="IN14" s="125"/>
      <c r="IO14" s="125"/>
      <c r="IP14" s="125"/>
      <c r="IQ14" s="125"/>
      <c r="IR14" s="125"/>
      <c r="IS14" s="125"/>
    </row>
    <row r="15" spans="1:253" x14ac:dyDescent="0.2">
      <c r="A15" s="915" t="s">
        <v>38</v>
      </c>
      <c r="B15" s="915" t="s">
        <v>335</v>
      </c>
      <c r="C15" s="916"/>
      <c r="D15" s="917"/>
      <c r="E15" s="917"/>
      <c r="F15" s="918"/>
      <c r="G15" s="449"/>
      <c r="H15" s="459"/>
      <c r="I15" s="470"/>
      <c r="J15" s="459"/>
      <c r="K15" s="470"/>
      <c r="L15" s="471"/>
      <c r="M15" s="459"/>
      <c r="N15" s="470"/>
      <c r="O15" s="459"/>
      <c r="P15" s="339"/>
      <c r="Q15" s="338"/>
      <c r="R15" s="388"/>
      <c r="S15" s="388"/>
      <c r="T15" s="339"/>
    </row>
    <row r="16" spans="1:253" x14ac:dyDescent="0.2">
      <c r="A16" s="454" t="s">
        <v>165</v>
      </c>
      <c r="B16" s="454" t="s">
        <v>643</v>
      </c>
      <c r="C16" s="676" t="s">
        <v>604</v>
      </c>
      <c r="D16" s="677">
        <v>1</v>
      </c>
      <c r="E16" s="677">
        <v>186440.68</v>
      </c>
      <c r="F16" s="678">
        <v>186440.68</v>
      </c>
      <c r="G16" s="449">
        <v>0</v>
      </c>
      <c r="H16" s="459">
        <f t="shared" ref="H16:H22" si="0">+G16*E16</f>
        <v>0</v>
      </c>
      <c r="I16" s="470">
        <v>0</v>
      </c>
      <c r="J16" s="459">
        <f t="shared" ref="J16:J22" si="1">+I16*E16</f>
        <v>0</v>
      </c>
      <c r="K16" s="470">
        <f t="shared" ref="K16:K22" si="2">+G16+I16</f>
        <v>0</v>
      </c>
      <c r="L16" s="471">
        <f t="shared" ref="L16:L22" si="3">+K16*E16</f>
        <v>0</v>
      </c>
      <c r="M16" s="459">
        <f t="shared" ref="M16:M22" si="4">+K16*100/D16</f>
        <v>0</v>
      </c>
      <c r="N16" s="470">
        <f t="shared" ref="N16:N22" si="5">+D16-K16</f>
        <v>1</v>
      </c>
      <c r="O16" s="459">
        <f t="shared" ref="O16:O22" si="6">+F16-L16</f>
        <v>186440.68</v>
      </c>
      <c r="P16" s="339"/>
      <c r="Q16" s="338"/>
      <c r="R16" s="388"/>
      <c r="S16" s="388"/>
      <c r="T16" s="339"/>
    </row>
    <row r="17" spans="1:20" x14ac:dyDescent="0.2">
      <c r="A17" s="454" t="s">
        <v>172</v>
      </c>
      <c r="B17" s="454" t="s">
        <v>644</v>
      </c>
      <c r="C17" s="676" t="s">
        <v>604</v>
      </c>
      <c r="D17" s="677">
        <v>1</v>
      </c>
      <c r="E17" s="677">
        <v>186440.68</v>
      </c>
      <c r="F17" s="678">
        <v>186440.68</v>
      </c>
      <c r="G17" s="449">
        <v>0</v>
      </c>
      <c r="H17" s="459">
        <f t="shared" si="0"/>
        <v>0</v>
      </c>
      <c r="I17" s="470">
        <v>0</v>
      </c>
      <c r="J17" s="459">
        <f t="shared" si="1"/>
        <v>0</v>
      </c>
      <c r="K17" s="470">
        <f t="shared" si="2"/>
        <v>0</v>
      </c>
      <c r="L17" s="471">
        <f t="shared" si="3"/>
        <v>0</v>
      </c>
      <c r="M17" s="459">
        <f t="shared" si="4"/>
        <v>0</v>
      </c>
      <c r="N17" s="470">
        <f t="shared" si="5"/>
        <v>1</v>
      </c>
      <c r="O17" s="459">
        <f t="shared" si="6"/>
        <v>186440.68</v>
      </c>
      <c r="P17" s="339"/>
      <c r="Q17" s="338"/>
      <c r="R17" s="388"/>
      <c r="S17" s="388"/>
      <c r="T17" s="339"/>
    </row>
    <row r="18" spans="1:20" x14ac:dyDescent="0.2">
      <c r="A18" s="454" t="s">
        <v>166</v>
      </c>
      <c r="B18" s="454" t="s">
        <v>645</v>
      </c>
      <c r="C18" s="676" t="s">
        <v>604</v>
      </c>
      <c r="D18" s="677">
        <v>1</v>
      </c>
      <c r="E18" s="677">
        <v>211864.41</v>
      </c>
      <c r="F18" s="678">
        <v>211864.41</v>
      </c>
      <c r="G18" s="449">
        <v>0</v>
      </c>
      <c r="H18" s="459">
        <f t="shared" si="0"/>
        <v>0</v>
      </c>
      <c r="I18" s="470">
        <v>0</v>
      </c>
      <c r="J18" s="459">
        <f t="shared" si="1"/>
        <v>0</v>
      </c>
      <c r="K18" s="470">
        <f t="shared" si="2"/>
        <v>0</v>
      </c>
      <c r="L18" s="471">
        <f t="shared" si="3"/>
        <v>0</v>
      </c>
      <c r="M18" s="459">
        <f t="shared" si="4"/>
        <v>0</v>
      </c>
      <c r="N18" s="470">
        <f t="shared" si="5"/>
        <v>1</v>
      </c>
      <c r="O18" s="459">
        <f t="shared" si="6"/>
        <v>211864.41</v>
      </c>
      <c r="P18" s="339"/>
      <c r="Q18" s="338"/>
      <c r="R18" s="388"/>
      <c r="S18" s="388"/>
      <c r="T18" s="339"/>
    </row>
    <row r="19" spans="1:20" x14ac:dyDescent="0.2">
      <c r="A19" s="454" t="s">
        <v>169</v>
      </c>
      <c r="B19" s="454" t="s">
        <v>646</v>
      </c>
      <c r="C19" s="676" t="s">
        <v>174</v>
      </c>
      <c r="D19" s="677">
        <v>27</v>
      </c>
      <c r="E19" s="677">
        <v>1016.95</v>
      </c>
      <c r="F19" s="678">
        <v>27457.65</v>
      </c>
      <c r="G19" s="449">
        <v>0</v>
      </c>
      <c r="H19" s="459">
        <f t="shared" si="0"/>
        <v>0</v>
      </c>
      <c r="I19" s="470">
        <v>0</v>
      </c>
      <c r="J19" s="459">
        <f t="shared" si="1"/>
        <v>0</v>
      </c>
      <c r="K19" s="470">
        <f t="shared" si="2"/>
        <v>0</v>
      </c>
      <c r="L19" s="471">
        <f t="shared" si="3"/>
        <v>0</v>
      </c>
      <c r="M19" s="459">
        <f t="shared" si="4"/>
        <v>0</v>
      </c>
      <c r="N19" s="470">
        <f t="shared" si="5"/>
        <v>27</v>
      </c>
      <c r="O19" s="459">
        <f t="shared" si="6"/>
        <v>27457.65</v>
      </c>
      <c r="P19" s="339"/>
      <c r="Q19" s="338"/>
      <c r="R19" s="388"/>
      <c r="S19" s="388"/>
      <c r="T19" s="339"/>
    </row>
    <row r="20" spans="1:20" x14ac:dyDescent="0.2">
      <c r="A20" s="454" t="s">
        <v>204</v>
      </c>
      <c r="B20" s="454" t="s">
        <v>647</v>
      </c>
      <c r="C20" s="676" t="s">
        <v>604</v>
      </c>
      <c r="D20" s="677">
        <v>1</v>
      </c>
      <c r="E20" s="677">
        <v>42372.88</v>
      </c>
      <c r="F20" s="678">
        <v>42372.88</v>
      </c>
      <c r="G20" s="449">
        <v>0</v>
      </c>
      <c r="H20" s="459">
        <f t="shared" si="0"/>
        <v>0</v>
      </c>
      <c r="I20" s="470">
        <v>0</v>
      </c>
      <c r="J20" s="459">
        <f t="shared" si="1"/>
        <v>0</v>
      </c>
      <c r="K20" s="470">
        <f t="shared" si="2"/>
        <v>0</v>
      </c>
      <c r="L20" s="471">
        <f t="shared" si="3"/>
        <v>0</v>
      </c>
      <c r="M20" s="459">
        <f t="shared" si="4"/>
        <v>0</v>
      </c>
      <c r="N20" s="470">
        <f t="shared" si="5"/>
        <v>1</v>
      </c>
      <c r="O20" s="459">
        <f t="shared" si="6"/>
        <v>42372.88</v>
      </c>
      <c r="P20" s="339"/>
      <c r="Q20" s="338"/>
      <c r="R20" s="388"/>
      <c r="S20" s="388"/>
      <c r="T20" s="339"/>
    </row>
    <row r="21" spans="1:20" x14ac:dyDescent="0.2">
      <c r="A21" s="454" t="s">
        <v>615</v>
      </c>
      <c r="B21" s="454" t="s">
        <v>648</v>
      </c>
      <c r="C21" s="676" t="s">
        <v>604</v>
      </c>
      <c r="D21" s="677">
        <v>2</v>
      </c>
      <c r="E21" s="677">
        <v>25423.72</v>
      </c>
      <c r="F21" s="678">
        <v>50847.44</v>
      </c>
      <c r="G21" s="449">
        <v>0</v>
      </c>
      <c r="H21" s="459">
        <f t="shared" si="0"/>
        <v>0</v>
      </c>
      <c r="I21" s="470">
        <v>0</v>
      </c>
      <c r="J21" s="459">
        <f t="shared" si="1"/>
        <v>0</v>
      </c>
      <c r="K21" s="470">
        <f t="shared" si="2"/>
        <v>0</v>
      </c>
      <c r="L21" s="471">
        <f t="shared" si="3"/>
        <v>0</v>
      </c>
      <c r="M21" s="459">
        <f t="shared" si="4"/>
        <v>0</v>
      </c>
      <c r="N21" s="470">
        <f t="shared" si="5"/>
        <v>2</v>
      </c>
      <c r="O21" s="459">
        <f t="shared" si="6"/>
        <v>50847.44</v>
      </c>
      <c r="P21" s="339"/>
      <c r="Q21" s="338"/>
      <c r="R21" s="388"/>
      <c r="S21" s="388"/>
      <c r="T21" s="339"/>
    </row>
    <row r="22" spans="1:20" ht="10.8" thickBot="1" x14ac:dyDescent="0.25">
      <c r="A22" s="454" t="s">
        <v>619</v>
      </c>
      <c r="B22" s="454" t="s">
        <v>649</v>
      </c>
      <c r="C22" s="676" t="s">
        <v>604</v>
      </c>
      <c r="D22" s="677">
        <v>11</v>
      </c>
      <c r="E22" s="677">
        <v>8474.58</v>
      </c>
      <c r="F22" s="678">
        <v>93220.38</v>
      </c>
      <c r="G22" s="449">
        <v>0</v>
      </c>
      <c r="H22" s="459">
        <f t="shared" si="0"/>
        <v>0</v>
      </c>
      <c r="I22" s="470">
        <v>0</v>
      </c>
      <c r="J22" s="459">
        <f t="shared" si="1"/>
        <v>0</v>
      </c>
      <c r="K22" s="470">
        <f t="shared" si="2"/>
        <v>0</v>
      </c>
      <c r="L22" s="471">
        <f t="shared" si="3"/>
        <v>0</v>
      </c>
      <c r="M22" s="459">
        <f t="shared" si="4"/>
        <v>0</v>
      </c>
      <c r="N22" s="470">
        <f t="shared" si="5"/>
        <v>11</v>
      </c>
      <c r="O22" s="459">
        <f t="shared" si="6"/>
        <v>93220.38</v>
      </c>
      <c r="P22" s="339"/>
      <c r="Q22" s="338"/>
      <c r="R22" s="388"/>
      <c r="S22" s="388"/>
      <c r="T22" s="339"/>
    </row>
    <row r="23" spans="1:20" x14ac:dyDescent="0.2">
      <c r="A23" s="424"/>
      <c r="B23" s="427"/>
      <c r="C23" s="364"/>
      <c r="D23" s="397"/>
      <c r="E23" s="363"/>
      <c r="F23" s="477"/>
      <c r="G23" s="364"/>
      <c r="H23" s="365"/>
      <c r="I23" s="364"/>
      <c r="J23" s="365"/>
      <c r="K23" s="364"/>
      <c r="L23" s="363"/>
      <c r="M23" s="365"/>
      <c r="N23" s="364"/>
      <c r="O23" s="365"/>
      <c r="P23" s="204"/>
      <c r="S23" s="388"/>
      <c r="T23" s="339"/>
    </row>
    <row r="24" spans="1:20" x14ac:dyDescent="0.2">
      <c r="A24" s="425"/>
      <c r="B24" s="422" t="s">
        <v>279</v>
      </c>
      <c r="C24" s="428"/>
      <c r="D24" s="398"/>
      <c r="E24" s="366"/>
      <c r="F24" s="429">
        <f>SUM(F16:F22)</f>
        <v>798644.12</v>
      </c>
      <c r="G24" s="367"/>
      <c r="H24" s="429">
        <f>SUM(H16:H22)</f>
        <v>0</v>
      </c>
      <c r="I24" s="367"/>
      <c r="J24" s="429">
        <f>SUM(J16:J22)</f>
        <v>0</v>
      </c>
      <c r="K24" s="367"/>
      <c r="L24" s="430">
        <f>SUM(L16:L22)</f>
        <v>0</v>
      </c>
      <c r="M24" s="368"/>
      <c r="N24" s="367"/>
      <c r="O24" s="429">
        <f>SUM(O16:O22)</f>
        <v>798644.12</v>
      </c>
      <c r="P24" s="204">
        <f t="shared" ref="P24:P31" si="7">+F24-L24-O24</f>
        <v>0</v>
      </c>
      <c r="S24" s="388"/>
      <c r="T24" s="339"/>
    </row>
    <row r="25" spans="1:20" x14ac:dyDescent="0.2">
      <c r="A25" s="425"/>
      <c r="B25" s="422" t="s">
        <v>278</v>
      </c>
      <c r="C25" s="428"/>
      <c r="D25" s="398"/>
      <c r="E25" s="366"/>
      <c r="F25" s="368">
        <f>0.1*F24</f>
        <v>79864.412000000011</v>
      </c>
      <c r="G25" s="367"/>
      <c r="H25" s="368">
        <f>0.1*H24</f>
        <v>0</v>
      </c>
      <c r="I25" s="367"/>
      <c r="J25" s="368">
        <f>0.1*J24</f>
        <v>0</v>
      </c>
      <c r="K25" s="367"/>
      <c r="L25" s="366">
        <f>0.1*L24</f>
        <v>0</v>
      </c>
      <c r="M25" s="368"/>
      <c r="N25" s="367"/>
      <c r="O25" s="368">
        <f>0.1*O24</f>
        <v>79864.412000000011</v>
      </c>
      <c r="P25" s="204">
        <f t="shared" si="7"/>
        <v>0</v>
      </c>
      <c r="S25" s="388"/>
      <c r="T25" s="339"/>
    </row>
    <row r="26" spans="1:20" x14ac:dyDescent="0.2">
      <c r="A26" s="425"/>
      <c r="B26" s="422" t="s">
        <v>308</v>
      </c>
      <c r="C26" s="428"/>
      <c r="D26" s="398"/>
      <c r="E26" s="366"/>
      <c r="F26" s="368">
        <f>0.1*F24</f>
        <v>79864.412000000011</v>
      </c>
      <c r="G26" s="367"/>
      <c r="H26" s="368">
        <f>0.1*H24</f>
        <v>0</v>
      </c>
      <c r="I26" s="367"/>
      <c r="J26" s="368">
        <f>0.1*J24</f>
        <v>0</v>
      </c>
      <c r="K26" s="367"/>
      <c r="L26" s="366">
        <f>0.1*L24</f>
        <v>0</v>
      </c>
      <c r="M26" s="368"/>
      <c r="N26" s="367"/>
      <c r="O26" s="368">
        <f>0.1*O24</f>
        <v>79864.412000000011</v>
      </c>
      <c r="P26" s="204">
        <f t="shared" si="7"/>
        <v>0</v>
      </c>
      <c r="S26" s="388"/>
      <c r="T26" s="339"/>
    </row>
    <row r="27" spans="1:20" x14ac:dyDescent="0.2">
      <c r="A27" s="425"/>
      <c r="B27" s="422" t="s">
        <v>280</v>
      </c>
      <c r="C27" s="428"/>
      <c r="D27" s="398"/>
      <c r="E27" s="366"/>
      <c r="F27" s="368">
        <f>SUM(F24:F26)</f>
        <v>958372.94400000002</v>
      </c>
      <c r="G27" s="367"/>
      <c r="H27" s="368">
        <f>SUM(H24:H26)</f>
        <v>0</v>
      </c>
      <c r="I27" s="367"/>
      <c r="J27" s="368">
        <f>SUM(J24:J26)</f>
        <v>0</v>
      </c>
      <c r="K27" s="367"/>
      <c r="L27" s="366">
        <f>SUM(L24:L26)</f>
        <v>0</v>
      </c>
      <c r="M27" s="368"/>
      <c r="N27" s="367"/>
      <c r="O27" s="368">
        <f>SUM(O24:O26)</f>
        <v>958372.94400000002</v>
      </c>
      <c r="P27" s="204"/>
      <c r="S27" s="388"/>
      <c r="T27" s="339"/>
    </row>
    <row r="28" spans="1:20" x14ac:dyDescent="0.2">
      <c r="A28" s="425"/>
      <c r="B28" s="422" t="s">
        <v>281</v>
      </c>
      <c r="C28" s="428"/>
      <c r="D28" s="398"/>
      <c r="E28" s="366"/>
      <c r="F28" s="368">
        <v>1</v>
      </c>
      <c r="G28" s="367"/>
      <c r="H28" s="368">
        <v>1</v>
      </c>
      <c r="I28" s="367"/>
      <c r="J28" s="368">
        <v>1</v>
      </c>
      <c r="K28" s="367"/>
      <c r="L28" s="366">
        <v>1</v>
      </c>
      <c r="M28" s="368"/>
      <c r="N28" s="367"/>
      <c r="O28" s="368">
        <v>1</v>
      </c>
      <c r="P28" s="204"/>
      <c r="S28" s="388"/>
      <c r="T28" s="339"/>
    </row>
    <row r="29" spans="1:20" x14ac:dyDescent="0.2">
      <c r="A29" s="425"/>
      <c r="B29" s="422" t="s">
        <v>282</v>
      </c>
      <c r="C29" s="428"/>
      <c r="D29" s="398"/>
      <c r="E29" s="366"/>
      <c r="F29" s="429">
        <f>SUM(F27)*F28</f>
        <v>958372.94400000002</v>
      </c>
      <c r="G29" s="464"/>
      <c r="H29" s="429">
        <f>SUM(H27)*H28</f>
        <v>0</v>
      </c>
      <c r="I29" s="367"/>
      <c r="J29" s="429">
        <f>SUM(J27)*J28</f>
        <v>0</v>
      </c>
      <c r="K29" s="464"/>
      <c r="L29" s="430">
        <f>SUM(L27)*L28</f>
        <v>0</v>
      </c>
      <c r="M29" s="429"/>
      <c r="N29" s="464"/>
      <c r="O29" s="429">
        <f>SUM(O27)*O28</f>
        <v>958372.94400000002</v>
      </c>
      <c r="P29" s="204">
        <f t="shared" si="7"/>
        <v>0</v>
      </c>
      <c r="S29" s="388"/>
      <c r="T29" s="339"/>
    </row>
    <row r="30" spans="1:20" x14ac:dyDescent="0.2">
      <c r="A30" s="425"/>
      <c r="B30" s="422" t="s">
        <v>173</v>
      </c>
      <c r="C30" s="428"/>
      <c r="D30" s="398"/>
      <c r="E30" s="366"/>
      <c r="F30" s="368">
        <f>ROUND(F29*18%,2)</f>
        <v>172507.13</v>
      </c>
      <c r="G30" s="367"/>
      <c r="H30" s="368">
        <f>ROUND(H29*18%,2)</f>
        <v>0</v>
      </c>
      <c r="I30" s="367"/>
      <c r="J30" s="368">
        <f>ROUND(J29*18%,2)</f>
        <v>0</v>
      </c>
      <c r="K30" s="367"/>
      <c r="L30" s="366">
        <f>ROUND(L29*18%,2)</f>
        <v>0</v>
      </c>
      <c r="M30" s="369"/>
      <c r="N30" s="370"/>
      <c r="O30" s="368">
        <f>ROUND(O29*18%,2)</f>
        <v>172507.13</v>
      </c>
      <c r="P30" s="204">
        <f t="shared" si="7"/>
        <v>0</v>
      </c>
      <c r="S30" s="388"/>
      <c r="T30" s="339"/>
    </row>
    <row r="31" spans="1:20" ht="10.8" thickBot="1" x14ac:dyDescent="0.25">
      <c r="A31" s="426"/>
      <c r="B31" s="423" t="s">
        <v>0</v>
      </c>
      <c r="C31" s="431"/>
      <c r="D31" s="399"/>
      <c r="E31" s="371"/>
      <c r="F31" s="914">
        <f>ROUND(SUM(F29:F30),3)</f>
        <v>1130880.074</v>
      </c>
      <c r="G31" s="467"/>
      <c r="H31" s="914">
        <f>ROUND(SUM(H29:H30),3)</f>
        <v>0</v>
      </c>
      <c r="I31" s="707"/>
      <c r="J31" s="914">
        <f>ROUND(SUM(J29:J30),3)</f>
        <v>0</v>
      </c>
      <c r="K31" s="467"/>
      <c r="L31" s="912">
        <f>ROUND(SUM(L29:L30),3)</f>
        <v>0</v>
      </c>
      <c r="M31" s="468"/>
      <c r="N31" s="469"/>
      <c r="O31" s="914">
        <f>ROUND(SUM(O29:O30),3)</f>
        <v>1130880.074</v>
      </c>
      <c r="P31" s="204">
        <f t="shared" si="7"/>
        <v>0</v>
      </c>
      <c r="S31" s="388"/>
      <c r="T31" s="339"/>
    </row>
    <row r="32" spans="1:20" x14ac:dyDescent="0.2">
      <c r="G32" s="139"/>
      <c r="H32" s="212" t="e">
        <f>+#REF!/#REF!</f>
        <v>#REF!</v>
      </c>
      <c r="I32" s="705"/>
      <c r="J32" s="212" t="e">
        <f>+#REF!/#REF!</f>
        <v>#REF!</v>
      </c>
      <c r="K32" s="206"/>
      <c r="L32" s="212" t="e">
        <f>+#REF!/#REF!</f>
        <v>#REF!</v>
      </c>
      <c r="M32" s="206"/>
      <c r="N32" s="206"/>
      <c r="O32" s="391" t="e">
        <f>+#REF!/#REF!</f>
        <v>#REF!</v>
      </c>
      <c r="S32" s="388"/>
      <c r="T32" s="339"/>
    </row>
    <row r="33" spans="2:15" x14ac:dyDescent="0.2">
      <c r="B33" s="204"/>
      <c r="E33" s="198" t="s">
        <v>238</v>
      </c>
      <c r="F33" s="402" t="e">
        <f>+#REF!</f>
        <v>#REF!</v>
      </c>
      <c r="G33" s="163">
        <v>100</v>
      </c>
      <c r="H33" s="164"/>
      <c r="I33" s="708"/>
      <c r="J33" s="163"/>
      <c r="K33" s="163"/>
      <c r="L33" s="163"/>
    </row>
    <row r="34" spans="2:15" x14ac:dyDescent="0.2">
      <c r="B34" s="197" t="s">
        <v>284</v>
      </c>
      <c r="F34" s="402" t="e">
        <f>+#REF!</f>
        <v>#REF!</v>
      </c>
      <c r="G34" s="188" t="s">
        <v>237</v>
      </c>
      <c r="H34" s="164" t="e">
        <f>+F34*G33/F33</f>
        <v>#REF!</v>
      </c>
      <c r="I34" s="708"/>
      <c r="J34" s="163"/>
      <c r="K34" s="163"/>
      <c r="L34" s="430"/>
    </row>
    <row r="35" spans="2:15" x14ac:dyDescent="0.2">
      <c r="G35" s="163"/>
      <c r="H35" s="164"/>
      <c r="I35" s="708"/>
      <c r="J35" s="163"/>
      <c r="K35" s="163"/>
      <c r="L35" s="474"/>
      <c r="O35" s="361"/>
    </row>
    <row r="36" spans="2:15" x14ac:dyDescent="0.2">
      <c r="G36" s="163"/>
      <c r="H36" s="164"/>
      <c r="I36" s="708"/>
      <c r="J36" s="163"/>
      <c r="K36" s="163"/>
      <c r="L36" s="430"/>
      <c r="M36" s="202"/>
    </row>
    <row r="37" spans="2:15" x14ac:dyDescent="0.2">
      <c r="E37" s="198" t="s">
        <v>236</v>
      </c>
      <c r="F37" s="402" t="e">
        <f>+#REF!</f>
        <v>#REF!</v>
      </c>
      <c r="G37" s="198">
        <v>100</v>
      </c>
      <c r="L37" s="430"/>
      <c r="M37" s="202"/>
      <c r="N37" s="202"/>
    </row>
    <row r="38" spans="2:15" x14ac:dyDescent="0.2">
      <c r="B38" s="204"/>
      <c r="F38" s="402" t="e">
        <f>+#REF!</f>
        <v>#REF!</v>
      </c>
      <c r="G38" s="188" t="s">
        <v>237</v>
      </c>
      <c r="H38" s="164" t="e">
        <f>+F38*G37/F37</f>
        <v>#REF!</v>
      </c>
      <c r="L38" s="474"/>
      <c r="M38" s="202"/>
      <c r="N38" s="202"/>
    </row>
    <row r="39" spans="2:15" x14ac:dyDescent="0.2">
      <c r="L39" s="474"/>
      <c r="M39" s="202"/>
      <c r="N39" s="202"/>
    </row>
    <row r="40" spans="2:15" x14ac:dyDescent="0.2">
      <c r="L40" s="474"/>
      <c r="M40" s="202"/>
      <c r="N40" s="202"/>
    </row>
    <row r="41" spans="2:15" x14ac:dyDescent="0.2">
      <c r="L41" s="474"/>
      <c r="M41" s="202"/>
      <c r="N41" s="202"/>
    </row>
    <row r="42" spans="2:15" x14ac:dyDescent="0.2">
      <c r="L42" s="474"/>
      <c r="M42" s="202"/>
      <c r="N42" s="202"/>
    </row>
    <row r="43" spans="2:15" x14ac:dyDescent="0.2">
      <c r="L43" s="474"/>
      <c r="M43" s="202"/>
      <c r="N43" s="202"/>
    </row>
    <row r="44" spans="2:15" x14ac:dyDescent="0.2">
      <c r="L44" s="474"/>
      <c r="N44" s="202"/>
    </row>
    <row r="45" spans="2:15" x14ac:dyDescent="0.2">
      <c r="L45" s="474"/>
    </row>
    <row r="46" spans="2:15" x14ac:dyDescent="0.2">
      <c r="D46" s="392" t="s">
        <v>240</v>
      </c>
      <c r="F46" s="402">
        <f>+Hoja1!C9</f>
        <v>17878272.109999999</v>
      </c>
      <c r="L46" s="474"/>
    </row>
    <row r="47" spans="2:15" x14ac:dyDescent="0.2">
      <c r="D47" s="392" t="s">
        <v>239</v>
      </c>
      <c r="F47" s="402">
        <v>7768320.3169999998</v>
      </c>
      <c r="G47" s="2218" t="e">
        <f>+#REF!+#REF!+#REF!</f>
        <v>#REF!</v>
      </c>
      <c r="H47" s="2218"/>
      <c r="I47" s="709"/>
      <c r="L47" s="474"/>
    </row>
    <row r="48" spans="2:15" x14ac:dyDescent="0.2">
      <c r="D48" s="392" t="s">
        <v>241</v>
      </c>
      <c r="F48" s="2209">
        <f>+F46/F47</f>
        <v>2.3014334348283287</v>
      </c>
      <c r="G48" s="2209"/>
      <c r="L48" s="672"/>
    </row>
    <row r="49" spans="6:12" x14ac:dyDescent="0.2">
      <c r="F49" s="2209">
        <v>0.99995749184038185</v>
      </c>
      <c r="G49" s="2209"/>
      <c r="L49" s="672"/>
    </row>
    <row r="50" spans="6:12" x14ac:dyDescent="0.2">
      <c r="L50" s="672"/>
    </row>
    <row r="51" spans="6:12" x14ac:dyDescent="0.2">
      <c r="L51" s="672"/>
    </row>
    <row r="52" spans="6:12" x14ac:dyDescent="0.2">
      <c r="L52" s="672"/>
    </row>
  </sheetData>
  <autoFilter ref="A14:O22"/>
  <mergeCells count="15">
    <mergeCell ref="F49:G49"/>
    <mergeCell ref="A12:A13"/>
    <mergeCell ref="C12:F12"/>
    <mergeCell ref="G12:H12"/>
    <mergeCell ref="I12:J12"/>
    <mergeCell ref="G47:H47"/>
    <mergeCell ref="F48:G48"/>
    <mergeCell ref="K12:M12"/>
    <mergeCell ref="N12:O12"/>
    <mergeCell ref="A1:B1"/>
    <mergeCell ref="C1:J1"/>
    <mergeCell ref="A2:B2"/>
    <mergeCell ref="A3:O3"/>
    <mergeCell ref="A4:O4"/>
    <mergeCell ref="D6:O6"/>
  </mergeCells>
  <conditionalFormatting sqref="O32:O1048576 O1:O12 O14">
    <cfRule type="cellIs" dxfId="5" priority="10" operator="greaterThan">
      <formula>0</formula>
    </cfRule>
  </conditionalFormatting>
  <printOptions horizontalCentered="1"/>
  <pageMargins left="0.19685039370078741" right="0" top="1.1811023622047245" bottom="0.55118110236220474" header="0.31496062992125984" footer="0.31496062992125984"/>
  <pageSetup paperSize="9" scale="56" orientation="landscape"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IS298"/>
  <sheetViews>
    <sheetView view="pageBreakPreview" topLeftCell="A12" zoomScale="70" zoomScaleNormal="90" zoomScaleSheetLayoutView="70" workbookViewId="0">
      <pane ySplit="732" topLeftCell="A235" activePane="bottomLeft"/>
      <selection activeCell="O13" sqref="O1:O1048576"/>
      <selection pane="bottomLeft" activeCell="F269" sqref="F269"/>
    </sheetView>
  </sheetViews>
  <sheetFormatPr baseColWidth="10" defaultColWidth="10.5546875" defaultRowHeight="10.199999999999999" x14ac:dyDescent="0.2"/>
  <cols>
    <col min="1" max="1" width="9.88671875" style="205" customWidth="1"/>
    <col min="2" max="2" width="63.5546875" style="197" customWidth="1"/>
    <col min="3" max="3" width="6.88671875" style="198" customWidth="1"/>
    <col min="4" max="4" width="11" style="392" customWidth="1"/>
    <col min="5" max="5" width="11" style="198" customWidth="1"/>
    <col min="6" max="6" width="14.33203125" style="402" customWidth="1"/>
    <col min="7" max="7" width="11.5546875" style="198" customWidth="1"/>
    <col min="8" max="8" width="12.44140625" style="198" customWidth="1"/>
    <col min="9" max="9" width="11" style="704" customWidth="1"/>
    <col min="10" max="10" width="15" style="198" customWidth="1"/>
    <col min="11" max="11" width="11" style="198" customWidth="1"/>
    <col min="12" max="12" width="16" style="198" customWidth="1"/>
    <col min="13" max="13" width="7.44140625" style="198" customWidth="1"/>
    <col min="14" max="14" width="11" style="198" customWidth="1"/>
    <col min="15" max="15" width="17.44140625" style="198" customWidth="1"/>
    <col min="16" max="16" width="7.33203125" style="197" customWidth="1"/>
    <col min="17" max="17" width="10.5546875" style="197" customWidth="1"/>
    <col min="18" max="18" width="14.44140625" style="387" customWidth="1"/>
    <col min="19" max="19" width="18.6640625" style="387" customWidth="1"/>
    <col min="20" max="16384" width="10.5546875" style="197"/>
  </cols>
  <sheetData>
    <row r="1" spans="1:253" x14ac:dyDescent="0.2">
      <c r="A1" s="2172" t="str">
        <f>RESUM_VAL_!A1</f>
        <v>GOBIERNO REGIONAL AYACUCHO</v>
      </c>
      <c r="B1" s="2172"/>
      <c r="C1" s="2191"/>
      <c r="D1" s="2191"/>
      <c r="E1" s="2191"/>
      <c r="F1" s="2191"/>
      <c r="G1" s="2191"/>
      <c r="H1" s="2191"/>
      <c r="I1" s="2191"/>
      <c r="J1" s="2191"/>
      <c r="K1" s="139"/>
      <c r="L1" s="139"/>
      <c r="M1" s="139"/>
      <c r="N1" s="139"/>
      <c r="O1" s="139"/>
      <c r="P1" s="125"/>
      <c r="Q1" s="125"/>
      <c r="T1" s="125"/>
      <c r="U1" s="125"/>
      <c r="V1" s="125"/>
      <c r="W1" s="125"/>
      <c r="X1" s="125"/>
      <c r="Y1" s="125"/>
      <c r="Z1" s="125"/>
      <c r="AA1" s="125"/>
      <c r="AB1" s="125"/>
      <c r="AC1" s="125"/>
      <c r="AD1" s="125"/>
      <c r="AE1" s="125"/>
      <c r="AF1" s="125"/>
      <c r="AG1" s="125"/>
      <c r="AH1" s="125"/>
      <c r="AI1" s="125"/>
      <c r="AJ1" s="125"/>
      <c r="AK1" s="125"/>
      <c r="AL1" s="125"/>
      <c r="AM1" s="125"/>
      <c r="AN1" s="125"/>
      <c r="AO1" s="125"/>
      <c r="AP1" s="125"/>
      <c r="AQ1" s="125"/>
      <c r="AR1" s="125"/>
      <c r="AS1" s="125"/>
      <c r="AT1" s="125"/>
      <c r="AU1" s="125"/>
      <c r="AV1" s="125"/>
      <c r="AW1" s="125"/>
      <c r="AX1" s="125"/>
      <c r="AY1" s="125"/>
      <c r="AZ1" s="125"/>
      <c r="BA1" s="125"/>
      <c r="BB1" s="125"/>
      <c r="BC1" s="125"/>
      <c r="BD1" s="125"/>
      <c r="BE1" s="125"/>
      <c r="BF1" s="125"/>
      <c r="BG1" s="125"/>
      <c r="BH1" s="125"/>
      <c r="BI1" s="125"/>
      <c r="BJ1" s="125"/>
      <c r="BK1" s="125"/>
      <c r="BL1" s="125"/>
      <c r="BM1" s="125"/>
      <c r="BN1" s="125"/>
      <c r="BO1" s="125"/>
      <c r="BP1" s="125"/>
      <c r="BQ1" s="125"/>
      <c r="BR1" s="125"/>
      <c r="BS1" s="125"/>
      <c r="BT1" s="125"/>
      <c r="BU1" s="125"/>
      <c r="BV1" s="125"/>
      <c r="BW1" s="125"/>
      <c r="BX1" s="125"/>
      <c r="BY1" s="125"/>
      <c r="BZ1" s="125"/>
      <c r="CA1" s="125"/>
      <c r="CB1" s="125"/>
      <c r="CC1" s="125"/>
      <c r="CD1" s="125"/>
      <c r="CE1" s="125"/>
      <c r="CF1" s="125"/>
      <c r="CG1" s="125"/>
      <c r="CH1" s="125"/>
      <c r="CI1" s="125"/>
      <c r="CJ1" s="125"/>
      <c r="CK1" s="125"/>
      <c r="CL1" s="125"/>
      <c r="CM1" s="125"/>
      <c r="CN1" s="125"/>
      <c r="CO1" s="125"/>
      <c r="CP1" s="125"/>
      <c r="CQ1" s="125"/>
      <c r="CR1" s="125"/>
      <c r="CS1" s="125"/>
      <c r="CT1" s="125"/>
      <c r="CU1" s="125"/>
      <c r="CV1" s="125"/>
      <c r="CW1" s="125"/>
      <c r="CX1" s="125"/>
      <c r="CY1" s="125"/>
      <c r="CZ1" s="125"/>
      <c r="DA1" s="125"/>
      <c r="DB1" s="125"/>
      <c r="DC1" s="125"/>
      <c r="DD1" s="125"/>
      <c r="DE1" s="125"/>
      <c r="DF1" s="125"/>
      <c r="DG1" s="125"/>
      <c r="DH1" s="125"/>
      <c r="DI1" s="125"/>
      <c r="DJ1" s="125"/>
      <c r="DK1" s="125"/>
      <c r="DL1" s="125"/>
      <c r="DM1" s="125"/>
      <c r="DN1" s="125"/>
      <c r="DO1" s="125"/>
      <c r="DP1" s="125"/>
      <c r="DQ1" s="125"/>
      <c r="DR1" s="125"/>
      <c r="DS1" s="125"/>
      <c r="DT1" s="125"/>
      <c r="DU1" s="125"/>
      <c r="DV1" s="125"/>
      <c r="DW1" s="125"/>
      <c r="DX1" s="125"/>
      <c r="DY1" s="125"/>
      <c r="DZ1" s="125"/>
      <c r="EA1" s="125"/>
      <c r="EB1" s="125"/>
      <c r="EC1" s="125"/>
      <c r="ED1" s="125"/>
      <c r="EE1" s="125"/>
      <c r="EF1" s="125"/>
      <c r="EG1" s="125"/>
      <c r="EH1" s="125"/>
      <c r="EI1" s="125"/>
      <c r="EJ1" s="125"/>
      <c r="EK1" s="125"/>
      <c r="EL1" s="125"/>
      <c r="EM1" s="125"/>
      <c r="EN1" s="125"/>
      <c r="EO1" s="125"/>
      <c r="EP1" s="125"/>
      <c r="EQ1" s="125"/>
      <c r="ER1" s="125"/>
      <c r="ES1" s="125"/>
      <c r="ET1" s="125"/>
      <c r="EU1" s="125"/>
      <c r="EV1" s="125"/>
      <c r="EW1" s="125"/>
      <c r="EX1" s="125"/>
      <c r="EY1" s="125"/>
      <c r="EZ1" s="125"/>
      <c r="FA1" s="125"/>
      <c r="FB1" s="125"/>
      <c r="FC1" s="125"/>
      <c r="FD1" s="125"/>
      <c r="FE1" s="125"/>
      <c r="FF1" s="125"/>
      <c r="FG1" s="125"/>
      <c r="FH1" s="125"/>
      <c r="FI1" s="125"/>
      <c r="FJ1" s="125"/>
      <c r="FK1" s="125"/>
      <c r="FL1" s="125"/>
      <c r="FM1" s="125"/>
      <c r="FN1" s="125"/>
      <c r="FO1" s="125"/>
      <c r="FP1" s="125"/>
      <c r="FQ1" s="125"/>
      <c r="FR1" s="125"/>
      <c r="FS1" s="125"/>
      <c r="FT1" s="125"/>
      <c r="FU1" s="125"/>
      <c r="FV1" s="125"/>
      <c r="FW1" s="125"/>
      <c r="FX1" s="125"/>
      <c r="FY1" s="125"/>
      <c r="FZ1" s="125"/>
      <c r="GA1" s="125"/>
      <c r="GB1" s="125"/>
      <c r="GC1" s="125"/>
      <c r="GD1" s="125"/>
      <c r="GE1" s="125"/>
      <c r="GF1" s="125"/>
      <c r="GG1" s="125"/>
      <c r="GH1" s="125"/>
      <c r="GI1" s="125"/>
      <c r="GJ1" s="125"/>
      <c r="GK1" s="125"/>
      <c r="GL1" s="125"/>
      <c r="GM1" s="125"/>
      <c r="GN1" s="125"/>
      <c r="GO1" s="125"/>
      <c r="GP1" s="125"/>
      <c r="GQ1" s="125"/>
      <c r="GR1" s="125"/>
      <c r="GS1" s="125"/>
      <c r="GT1" s="125"/>
      <c r="GU1" s="125"/>
      <c r="GV1" s="125"/>
      <c r="GW1" s="125"/>
      <c r="GX1" s="125"/>
      <c r="GY1" s="125"/>
      <c r="GZ1" s="125"/>
      <c r="HA1" s="125"/>
      <c r="HB1" s="125"/>
      <c r="HC1" s="125"/>
      <c r="HD1" s="125"/>
      <c r="HE1" s="125"/>
      <c r="HF1" s="125"/>
      <c r="HG1" s="125"/>
      <c r="HH1" s="125"/>
      <c r="HI1" s="125"/>
      <c r="HJ1" s="125"/>
      <c r="HK1" s="125"/>
      <c r="HL1" s="125"/>
      <c r="HM1" s="125"/>
      <c r="HN1" s="125"/>
      <c r="HO1" s="125"/>
      <c r="HP1" s="125"/>
      <c r="HQ1" s="125"/>
      <c r="HR1" s="125"/>
      <c r="HS1" s="125"/>
      <c r="HT1" s="125"/>
      <c r="HU1" s="125"/>
      <c r="HV1" s="125"/>
      <c r="HW1" s="125"/>
      <c r="HX1" s="125"/>
      <c r="HY1" s="125"/>
      <c r="HZ1" s="125"/>
      <c r="IA1" s="125"/>
      <c r="IB1" s="125"/>
      <c r="IC1" s="125"/>
      <c r="ID1" s="125"/>
      <c r="IE1" s="125"/>
      <c r="IF1" s="125"/>
      <c r="IG1" s="125"/>
      <c r="IH1" s="125"/>
      <c r="II1" s="125"/>
      <c r="IJ1" s="125"/>
      <c r="IK1" s="125"/>
      <c r="IL1" s="125"/>
      <c r="IM1" s="125"/>
      <c r="IN1" s="125"/>
      <c r="IO1" s="125"/>
      <c r="IP1" s="125"/>
      <c r="IQ1" s="125"/>
      <c r="IR1" s="125"/>
      <c r="IS1" s="125"/>
    </row>
    <row r="2" spans="1:253" x14ac:dyDescent="0.2">
      <c r="A2" s="2172" t="str">
        <f>RESUM_VAL_!A2</f>
        <v>SUBGERENCIA DE SUPERVISION Y LIQUIDACION</v>
      </c>
      <c r="B2" s="2172"/>
      <c r="F2" s="400"/>
      <c r="G2" s="139"/>
      <c r="H2" s="139"/>
      <c r="J2" s="139"/>
      <c r="K2" s="139"/>
      <c r="L2" s="139"/>
      <c r="M2" s="139"/>
      <c r="N2" s="139"/>
      <c r="O2" s="139"/>
      <c r="P2" s="125"/>
      <c r="Q2" s="125"/>
      <c r="T2" s="125"/>
      <c r="U2" s="125"/>
      <c r="V2" s="125"/>
      <c r="W2" s="125"/>
      <c r="X2" s="125"/>
      <c r="Y2" s="125"/>
      <c r="Z2" s="125"/>
      <c r="AA2" s="125"/>
      <c r="AB2" s="125"/>
      <c r="AC2" s="125"/>
      <c r="AD2" s="125"/>
      <c r="AE2" s="125"/>
      <c r="AF2" s="125"/>
      <c r="AG2" s="125"/>
      <c r="AH2" s="125"/>
      <c r="AI2" s="125"/>
      <c r="AJ2" s="125"/>
      <c r="AK2" s="125"/>
      <c r="AL2" s="125"/>
      <c r="AM2" s="125"/>
      <c r="AN2" s="125"/>
      <c r="AO2" s="125"/>
      <c r="AP2" s="125"/>
      <c r="AQ2" s="125"/>
      <c r="AR2" s="125"/>
      <c r="AS2" s="125"/>
      <c r="AT2" s="125"/>
      <c r="AU2" s="125"/>
      <c r="AV2" s="125"/>
      <c r="AW2" s="125"/>
      <c r="AX2" s="125"/>
      <c r="AY2" s="125"/>
      <c r="AZ2" s="125"/>
      <c r="BA2" s="125"/>
      <c r="BB2" s="125"/>
      <c r="BC2" s="125"/>
      <c r="BD2" s="125"/>
      <c r="BE2" s="125"/>
      <c r="BF2" s="125"/>
      <c r="BG2" s="125"/>
      <c r="BH2" s="125"/>
      <c r="BI2" s="125"/>
      <c r="BJ2" s="125"/>
      <c r="BK2" s="125"/>
      <c r="BL2" s="125"/>
      <c r="BM2" s="125"/>
      <c r="BN2" s="125"/>
      <c r="BO2" s="125"/>
      <c r="BP2" s="125"/>
      <c r="BQ2" s="125"/>
      <c r="BR2" s="125"/>
      <c r="BS2" s="125"/>
      <c r="BT2" s="125"/>
      <c r="BU2" s="125"/>
      <c r="BV2" s="125"/>
      <c r="BW2" s="125"/>
      <c r="BX2" s="125"/>
      <c r="BY2" s="125"/>
      <c r="BZ2" s="125"/>
      <c r="CA2" s="125"/>
      <c r="CB2" s="125"/>
      <c r="CC2" s="125"/>
      <c r="CD2" s="125"/>
      <c r="CE2" s="125"/>
      <c r="CF2" s="125"/>
      <c r="CG2" s="125"/>
      <c r="CH2" s="125"/>
      <c r="CI2" s="125"/>
      <c r="CJ2" s="125"/>
      <c r="CK2" s="125"/>
      <c r="CL2" s="125"/>
      <c r="CM2" s="125"/>
      <c r="CN2" s="125"/>
      <c r="CO2" s="125"/>
      <c r="CP2" s="125"/>
      <c r="CQ2" s="125"/>
      <c r="CR2" s="125"/>
      <c r="CS2" s="125"/>
      <c r="CT2" s="125"/>
      <c r="CU2" s="125"/>
      <c r="CV2" s="125"/>
      <c r="CW2" s="125"/>
      <c r="CX2" s="125"/>
      <c r="CY2" s="125"/>
      <c r="CZ2" s="125"/>
      <c r="DA2" s="125"/>
      <c r="DB2" s="125"/>
      <c r="DC2" s="125"/>
      <c r="DD2" s="125"/>
      <c r="DE2" s="125"/>
      <c r="DF2" s="125"/>
      <c r="DG2" s="125"/>
      <c r="DH2" s="125"/>
      <c r="DI2" s="125"/>
      <c r="DJ2" s="125"/>
      <c r="DK2" s="125"/>
      <c r="DL2" s="125"/>
      <c r="DM2" s="125"/>
      <c r="DN2" s="125"/>
      <c r="DO2" s="125"/>
      <c r="DP2" s="125"/>
      <c r="DQ2" s="125"/>
      <c r="DR2" s="125"/>
      <c r="DS2" s="125"/>
      <c r="DT2" s="125"/>
      <c r="DU2" s="125"/>
      <c r="DV2" s="125"/>
      <c r="DW2" s="125"/>
      <c r="DX2" s="125"/>
      <c r="DY2" s="125"/>
      <c r="DZ2" s="125"/>
      <c r="EA2" s="125"/>
      <c r="EB2" s="125"/>
      <c r="EC2" s="125"/>
      <c r="ED2" s="125"/>
      <c r="EE2" s="125"/>
      <c r="EF2" s="125"/>
      <c r="EG2" s="125"/>
      <c r="EH2" s="125"/>
      <c r="EI2" s="125"/>
      <c r="EJ2" s="125"/>
      <c r="EK2" s="125"/>
      <c r="EL2" s="125"/>
      <c r="EM2" s="125"/>
      <c r="EN2" s="125"/>
      <c r="EO2" s="125"/>
      <c r="EP2" s="125"/>
      <c r="EQ2" s="125"/>
      <c r="ER2" s="125"/>
      <c r="ES2" s="125"/>
      <c r="ET2" s="125"/>
      <c r="EU2" s="125"/>
      <c r="EV2" s="125"/>
      <c r="EW2" s="125"/>
      <c r="EX2" s="125"/>
      <c r="EY2" s="125"/>
      <c r="EZ2" s="125"/>
      <c r="FA2" s="125"/>
      <c r="FB2" s="125"/>
      <c r="FC2" s="125"/>
      <c r="FD2" s="125"/>
      <c r="FE2" s="125"/>
      <c r="FF2" s="125"/>
      <c r="FG2" s="125"/>
      <c r="FH2" s="125"/>
      <c r="FI2" s="125"/>
      <c r="FJ2" s="125"/>
      <c r="FK2" s="125"/>
      <c r="FL2" s="125"/>
      <c r="FM2" s="125"/>
      <c r="FN2" s="125"/>
      <c r="FO2" s="125"/>
      <c r="FP2" s="125"/>
      <c r="FQ2" s="125"/>
      <c r="FR2" s="125"/>
      <c r="FS2" s="125"/>
      <c r="FT2" s="125"/>
      <c r="FU2" s="125"/>
      <c r="FV2" s="125"/>
      <c r="FW2" s="125"/>
      <c r="FX2" s="125"/>
      <c r="FY2" s="125"/>
      <c r="FZ2" s="125"/>
      <c r="GA2" s="125"/>
      <c r="GB2" s="125"/>
      <c r="GC2" s="125"/>
      <c r="GD2" s="125"/>
      <c r="GE2" s="125"/>
      <c r="GF2" s="125"/>
      <c r="GG2" s="125"/>
      <c r="GH2" s="125"/>
      <c r="GI2" s="125"/>
      <c r="GJ2" s="125"/>
      <c r="GK2" s="125"/>
      <c r="GL2" s="125"/>
      <c r="GM2" s="125"/>
      <c r="GN2" s="125"/>
      <c r="GO2" s="125"/>
      <c r="GP2" s="125"/>
      <c r="GQ2" s="125"/>
      <c r="GR2" s="125"/>
      <c r="GS2" s="125"/>
      <c r="GT2" s="125"/>
      <c r="GU2" s="125"/>
      <c r="GV2" s="125"/>
      <c r="GW2" s="125"/>
      <c r="GX2" s="125"/>
      <c r="GY2" s="125"/>
      <c r="GZ2" s="125"/>
      <c r="HA2" s="125"/>
      <c r="HB2" s="125"/>
      <c r="HC2" s="125"/>
      <c r="HD2" s="125"/>
      <c r="HE2" s="125"/>
      <c r="HF2" s="125"/>
      <c r="HG2" s="125"/>
      <c r="HH2" s="125"/>
      <c r="HI2" s="125"/>
      <c r="HJ2" s="125"/>
      <c r="HK2" s="125"/>
      <c r="HL2" s="125"/>
      <c r="HM2" s="125"/>
      <c r="HN2" s="125"/>
      <c r="HO2" s="125"/>
      <c r="HP2" s="125"/>
      <c r="HQ2" s="125"/>
      <c r="HR2" s="125"/>
      <c r="HS2" s="125"/>
      <c r="HT2" s="125"/>
      <c r="HU2" s="125"/>
      <c r="HV2" s="125"/>
      <c r="HW2" s="125"/>
      <c r="HX2" s="125"/>
      <c r="HY2" s="125"/>
      <c r="HZ2" s="125"/>
      <c r="IA2" s="125"/>
      <c r="IB2" s="125"/>
      <c r="IC2" s="125"/>
      <c r="ID2" s="125"/>
      <c r="IE2" s="125"/>
      <c r="IF2" s="125"/>
      <c r="IG2" s="125"/>
      <c r="IH2" s="125"/>
      <c r="II2" s="125"/>
      <c r="IJ2" s="125"/>
      <c r="IK2" s="125"/>
      <c r="IL2" s="125"/>
      <c r="IM2" s="125"/>
      <c r="IN2" s="125"/>
      <c r="IO2" s="125"/>
      <c r="IP2" s="125"/>
      <c r="IQ2" s="125"/>
      <c r="IR2" s="125"/>
      <c r="IS2" s="125"/>
    </row>
    <row r="3" spans="1:253" ht="18" x14ac:dyDescent="0.35">
      <c r="A3" s="2174" t="str">
        <f>CARAT_!A45</f>
        <v>INFORME DE SUPERVISIÓN N° 09 - DICIEMBRE - 2022</v>
      </c>
      <c r="B3" s="2174"/>
      <c r="C3" s="2174"/>
      <c r="D3" s="2174"/>
      <c r="E3" s="2174"/>
      <c r="F3" s="2174"/>
      <c r="G3" s="2174"/>
      <c r="H3" s="2174"/>
      <c r="I3" s="2174"/>
      <c r="J3" s="2174"/>
      <c r="K3" s="2174"/>
      <c r="L3" s="2174"/>
      <c r="M3" s="2174"/>
      <c r="N3" s="2174"/>
      <c r="O3" s="2174"/>
      <c r="P3" s="125"/>
      <c r="Q3" s="125"/>
      <c r="T3" s="125"/>
      <c r="U3" s="125"/>
      <c r="V3" s="125"/>
      <c r="W3" s="125"/>
      <c r="X3" s="125"/>
      <c r="Y3" s="125"/>
      <c r="Z3" s="125"/>
      <c r="AA3" s="125"/>
      <c r="AB3" s="125"/>
      <c r="AC3" s="125"/>
      <c r="AD3" s="125"/>
      <c r="AE3" s="125"/>
      <c r="AF3" s="125"/>
      <c r="AG3" s="125"/>
      <c r="AH3" s="125"/>
      <c r="AI3" s="125"/>
      <c r="AJ3" s="125"/>
      <c r="AK3" s="125"/>
      <c r="AL3" s="125"/>
      <c r="AM3" s="125"/>
      <c r="AN3" s="125"/>
      <c r="AO3" s="125"/>
      <c r="AP3" s="125"/>
      <c r="AQ3" s="125"/>
      <c r="AR3" s="125"/>
      <c r="AS3" s="125"/>
      <c r="AT3" s="125"/>
      <c r="AU3" s="125"/>
      <c r="AV3" s="125"/>
      <c r="AW3" s="125"/>
      <c r="AX3" s="125"/>
      <c r="AY3" s="125"/>
      <c r="AZ3" s="125"/>
      <c r="BA3" s="125"/>
      <c r="BB3" s="125"/>
      <c r="BC3" s="125"/>
      <c r="BD3" s="125"/>
      <c r="BE3" s="125"/>
      <c r="BF3" s="125"/>
      <c r="BG3" s="125"/>
      <c r="BH3" s="125"/>
      <c r="BI3" s="125"/>
      <c r="BJ3" s="125"/>
      <c r="BK3" s="125"/>
      <c r="BL3" s="125"/>
      <c r="BM3" s="125"/>
      <c r="BN3" s="125"/>
      <c r="BO3" s="125"/>
      <c r="BP3" s="125"/>
      <c r="BQ3" s="125"/>
      <c r="BR3" s="125"/>
      <c r="BS3" s="125"/>
      <c r="BT3" s="125"/>
      <c r="BU3" s="125"/>
      <c r="BV3" s="125"/>
      <c r="BW3" s="125"/>
      <c r="BX3" s="125"/>
      <c r="BY3" s="125"/>
      <c r="BZ3" s="125"/>
      <c r="CA3" s="125"/>
      <c r="CB3" s="125"/>
      <c r="CC3" s="125"/>
      <c r="CD3" s="125"/>
      <c r="CE3" s="125"/>
      <c r="CF3" s="125"/>
      <c r="CG3" s="125"/>
      <c r="CH3" s="125"/>
      <c r="CI3" s="125"/>
      <c r="CJ3" s="125"/>
      <c r="CK3" s="125"/>
      <c r="CL3" s="125"/>
      <c r="CM3" s="125"/>
      <c r="CN3" s="125"/>
      <c r="CO3" s="125"/>
      <c r="CP3" s="125"/>
      <c r="CQ3" s="125"/>
      <c r="CR3" s="125"/>
      <c r="CS3" s="125"/>
      <c r="CT3" s="125"/>
      <c r="CU3" s="125"/>
      <c r="CV3" s="125"/>
      <c r="CW3" s="125"/>
      <c r="CX3" s="125"/>
      <c r="CY3" s="125"/>
      <c r="CZ3" s="125"/>
      <c r="DA3" s="125"/>
      <c r="DB3" s="125"/>
      <c r="DC3" s="125"/>
      <c r="DD3" s="125"/>
      <c r="DE3" s="125"/>
      <c r="DF3" s="125"/>
      <c r="DG3" s="125"/>
      <c r="DH3" s="125"/>
      <c r="DI3" s="125"/>
      <c r="DJ3" s="125"/>
      <c r="DK3" s="125"/>
      <c r="DL3" s="125"/>
      <c r="DM3" s="125"/>
      <c r="DN3" s="125"/>
      <c r="DO3" s="125"/>
      <c r="DP3" s="125"/>
      <c r="DQ3" s="125"/>
      <c r="DR3" s="125"/>
      <c r="DS3" s="125"/>
      <c r="DT3" s="125"/>
      <c r="DU3" s="125"/>
      <c r="DV3" s="125"/>
      <c r="DW3" s="125"/>
      <c r="DX3" s="125"/>
      <c r="DY3" s="125"/>
      <c r="DZ3" s="125"/>
      <c r="EA3" s="125"/>
      <c r="EB3" s="125"/>
      <c r="EC3" s="125"/>
      <c r="ED3" s="125"/>
      <c r="EE3" s="125"/>
      <c r="EF3" s="125"/>
      <c r="EG3" s="125"/>
      <c r="EH3" s="125"/>
      <c r="EI3" s="125"/>
      <c r="EJ3" s="125"/>
      <c r="EK3" s="125"/>
      <c r="EL3" s="125"/>
      <c r="EM3" s="125"/>
      <c r="EN3" s="125"/>
      <c r="EO3" s="125"/>
      <c r="EP3" s="125"/>
      <c r="EQ3" s="125"/>
      <c r="ER3" s="125"/>
      <c r="ES3" s="125"/>
      <c r="ET3" s="125"/>
      <c r="EU3" s="125"/>
      <c r="EV3" s="125"/>
      <c r="EW3" s="125"/>
      <c r="EX3" s="125"/>
      <c r="EY3" s="125"/>
      <c r="EZ3" s="125"/>
      <c r="FA3" s="125"/>
      <c r="FB3" s="125"/>
      <c r="FC3" s="125"/>
      <c r="FD3" s="125"/>
      <c r="FE3" s="125"/>
      <c r="FF3" s="125"/>
      <c r="FG3" s="125"/>
      <c r="FH3" s="125"/>
      <c r="FI3" s="125"/>
      <c r="FJ3" s="125"/>
      <c r="FK3" s="125"/>
      <c r="FL3" s="125"/>
      <c r="FM3" s="125"/>
      <c r="FN3" s="125"/>
      <c r="FO3" s="125"/>
      <c r="FP3" s="125"/>
      <c r="FQ3" s="125"/>
      <c r="FR3" s="125"/>
      <c r="FS3" s="125"/>
      <c r="FT3" s="125"/>
      <c r="FU3" s="125"/>
      <c r="FV3" s="125"/>
      <c r="FW3" s="125"/>
      <c r="FX3" s="125"/>
      <c r="FY3" s="125"/>
      <c r="FZ3" s="125"/>
      <c r="GA3" s="125"/>
      <c r="GB3" s="125"/>
      <c r="GC3" s="125"/>
      <c r="GD3" s="125"/>
      <c r="GE3" s="125"/>
      <c r="GF3" s="125"/>
      <c r="GG3" s="125"/>
      <c r="GH3" s="125"/>
      <c r="GI3" s="125"/>
      <c r="GJ3" s="125"/>
      <c r="GK3" s="125"/>
      <c r="GL3" s="125"/>
      <c r="GM3" s="125"/>
      <c r="GN3" s="125"/>
      <c r="GO3" s="125"/>
      <c r="GP3" s="125"/>
      <c r="GQ3" s="125"/>
      <c r="GR3" s="125"/>
      <c r="GS3" s="125"/>
      <c r="GT3" s="125"/>
      <c r="GU3" s="125"/>
      <c r="GV3" s="125"/>
      <c r="GW3" s="125"/>
      <c r="GX3" s="125"/>
      <c r="GY3" s="125"/>
      <c r="GZ3" s="125"/>
      <c r="HA3" s="125"/>
      <c r="HB3" s="125"/>
      <c r="HC3" s="125"/>
      <c r="HD3" s="125"/>
      <c r="HE3" s="125"/>
      <c r="HF3" s="125"/>
      <c r="HG3" s="125"/>
      <c r="HH3" s="125"/>
      <c r="HI3" s="125"/>
      <c r="HJ3" s="125"/>
      <c r="HK3" s="125"/>
      <c r="HL3" s="125"/>
      <c r="HM3" s="125"/>
      <c r="HN3" s="125"/>
      <c r="HO3" s="125"/>
      <c r="HP3" s="125"/>
      <c r="HQ3" s="125"/>
      <c r="HR3" s="125"/>
      <c r="HS3" s="125"/>
      <c r="HT3" s="125"/>
      <c r="HU3" s="125"/>
      <c r="HV3" s="125"/>
      <c r="HW3" s="125"/>
      <c r="HX3" s="125"/>
      <c r="HY3" s="125"/>
      <c r="HZ3" s="125"/>
      <c r="IA3" s="125"/>
      <c r="IB3" s="125"/>
      <c r="IC3" s="125"/>
      <c r="ID3" s="125"/>
      <c r="IE3" s="125"/>
      <c r="IF3" s="125"/>
      <c r="IG3" s="125"/>
      <c r="IH3" s="125"/>
      <c r="II3" s="125"/>
      <c r="IJ3" s="125"/>
      <c r="IK3" s="125"/>
      <c r="IL3" s="125"/>
      <c r="IM3" s="125"/>
      <c r="IN3" s="125"/>
      <c r="IO3" s="125"/>
      <c r="IP3" s="125"/>
      <c r="IQ3" s="125"/>
      <c r="IR3" s="125"/>
      <c r="IS3" s="125"/>
    </row>
    <row r="4" spans="1:253" x14ac:dyDescent="0.2">
      <c r="A4" s="2193"/>
      <c r="B4" s="2193"/>
      <c r="C4" s="2193"/>
      <c r="D4" s="2193"/>
      <c r="E4" s="2193"/>
      <c r="F4" s="2193"/>
      <c r="G4" s="2193"/>
      <c r="H4" s="2193"/>
      <c r="I4" s="2193"/>
      <c r="J4" s="2193"/>
      <c r="K4" s="2193"/>
      <c r="L4" s="2193"/>
      <c r="M4" s="2193"/>
      <c r="N4" s="2193"/>
      <c r="O4" s="2193"/>
      <c r="P4" s="125"/>
      <c r="Q4" s="125"/>
      <c r="T4" s="125"/>
      <c r="U4" s="125"/>
      <c r="V4" s="125"/>
      <c r="W4" s="125"/>
      <c r="X4" s="125"/>
      <c r="Y4" s="125"/>
      <c r="Z4" s="125"/>
      <c r="AA4" s="125"/>
      <c r="AB4" s="125"/>
      <c r="AC4" s="125"/>
      <c r="AD4" s="125"/>
      <c r="AE4" s="125"/>
      <c r="AF4" s="125"/>
      <c r="AG4" s="125"/>
      <c r="AH4" s="125"/>
      <c r="AI4" s="125"/>
      <c r="AJ4" s="125"/>
      <c r="AK4" s="125"/>
      <c r="AL4" s="125"/>
      <c r="AM4" s="125"/>
      <c r="AN4" s="125"/>
      <c r="AO4" s="125"/>
      <c r="AP4" s="125"/>
      <c r="AQ4" s="125"/>
      <c r="AR4" s="125"/>
      <c r="AS4" s="125"/>
      <c r="AT4" s="125"/>
      <c r="AU4" s="125"/>
      <c r="AV4" s="125"/>
      <c r="AW4" s="125"/>
      <c r="AX4" s="125"/>
      <c r="AY4" s="125"/>
      <c r="AZ4" s="125"/>
      <c r="BA4" s="125"/>
      <c r="BB4" s="125"/>
      <c r="BC4" s="125"/>
      <c r="BD4" s="125"/>
      <c r="BE4" s="125"/>
      <c r="BF4" s="125"/>
      <c r="BG4" s="125"/>
      <c r="BH4" s="125"/>
      <c r="BI4" s="125"/>
      <c r="BJ4" s="125"/>
      <c r="BK4" s="125"/>
      <c r="BL4" s="125"/>
      <c r="BM4" s="125"/>
      <c r="BN4" s="125"/>
      <c r="BO4" s="125"/>
      <c r="BP4" s="125"/>
      <c r="BQ4" s="125"/>
      <c r="BR4" s="125"/>
      <c r="BS4" s="125"/>
      <c r="BT4" s="125"/>
      <c r="BU4" s="125"/>
      <c r="BV4" s="125"/>
      <c r="BW4" s="125"/>
      <c r="BX4" s="125"/>
      <c r="BY4" s="125"/>
      <c r="BZ4" s="125"/>
      <c r="CA4" s="125"/>
      <c r="CB4" s="125"/>
      <c r="CC4" s="125"/>
      <c r="CD4" s="125"/>
      <c r="CE4" s="125"/>
      <c r="CF4" s="125"/>
      <c r="CG4" s="125"/>
      <c r="CH4" s="125"/>
      <c r="CI4" s="125"/>
      <c r="CJ4" s="125"/>
      <c r="CK4" s="125"/>
      <c r="CL4" s="125"/>
      <c r="CM4" s="125"/>
      <c r="CN4" s="125"/>
      <c r="CO4" s="125"/>
      <c r="CP4" s="125"/>
      <c r="CQ4" s="125"/>
      <c r="CR4" s="125"/>
      <c r="CS4" s="125"/>
      <c r="CT4" s="125"/>
      <c r="CU4" s="125"/>
      <c r="CV4" s="125"/>
      <c r="CW4" s="125"/>
      <c r="CX4" s="125"/>
      <c r="CY4" s="125"/>
      <c r="CZ4" s="125"/>
      <c r="DA4" s="125"/>
      <c r="DB4" s="125"/>
      <c r="DC4" s="125"/>
      <c r="DD4" s="125"/>
      <c r="DE4" s="125"/>
      <c r="DF4" s="125"/>
      <c r="DG4" s="125"/>
      <c r="DH4" s="125"/>
      <c r="DI4" s="125"/>
      <c r="DJ4" s="125"/>
      <c r="DK4" s="125"/>
      <c r="DL4" s="125"/>
      <c r="DM4" s="125"/>
      <c r="DN4" s="125"/>
      <c r="DO4" s="125"/>
      <c r="DP4" s="125"/>
      <c r="DQ4" s="125"/>
      <c r="DR4" s="125"/>
      <c r="DS4" s="125"/>
      <c r="DT4" s="125"/>
      <c r="DU4" s="125"/>
      <c r="DV4" s="125"/>
      <c r="DW4" s="125"/>
      <c r="DX4" s="125"/>
      <c r="DY4" s="125"/>
      <c r="DZ4" s="125"/>
      <c r="EA4" s="125"/>
      <c r="EB4" s="125"/>
      <c r="EC4" s="125"/>
      <c r="ED4" s="125"/>
      <c r="EE4" s="125"/>
      <c r="EF4" s="125"/>
      <c r="EG4" s="125"/>
      <c r="EH4" s="125"/>
      <c r="EI4" s="125"/>
      <c r="EJ4" s="125"/>
      <c r="EK4" s="125"/>
      <c r="EL4" s="125"/>
      <c r="EM4" s="125"/>
      <c r="EN4" s="125"/>
      <c r="EO4" s="125"/>
      <c r="EP4" s="125"/>
      <c r="EQ4" s="125"/>
      <c r="ER4" s="125"/>
      <c r="ES4" s="125"/>
      <c r="ET4" s="125"/>
      <c r="EU4" s="125"/>
      <c r="EV4" s="125"/>
      <c r="EW4" s="125"/>
      <c r="EX4" s="125"/>
      <c r="EY4" s="125"/>
      <c r="EZ4" s="125"/>
      <c r="FA4" s="125"/>
      <c r="FB4" s="125"/>
      <c r="FC4" s="125"/>
      <c r="FD4" s="125"/>
      <c r="FE4" s="125"/>
      <c r="FF4" s="125"/>
      <c r="FG4" s="125"/>
      <c r="FH4" s="125"/>
      <c r="FI4" s="125"/>
      <c r="FJ4" s="125"/>
      <c r="FK4" s="125"/>
      <c r="FL4" s="125"/>
      <c r="FM4" s="125"/>
      <c r="FN4" s="125"/>
      <c r="FO4" s="125"/>
      <c r="FP4" s="125"/>
      <c r="FQ4" s="125"/>
      <c r="FR4" s="125"/>
      <c r="FS4" s="125"/>
      <c r="FT4" s="125"/>
      <c r="FU4" s="125"/>
      <c r="FV4" s="125"/>
      <c r="FW4" s="125"/>
      <c r="FX4" s="125"/>
      <c r="FY4" s="125"/>
      <c r="FZ4" s="125"/>
      <c r="GA4" s="125"/>
      <c r="GB4" s="125"/>
      <c r="GC4" s="125"/>
      <c r="GD4" s="125"/>
      <c r="GE4" s="125"/>
      <c r="GF4" s="125"/>
      <c r="GG4" s="125"/>
      <c r="GH4" s="125"/>
      <c r="GI4" s="125"/>
      <c r="GJ4" s="125"/>
      <c r="GK4" s="125"/>
      <c r="GL4" s="125"/>
      <c r="GM4" s="125"/>
      <c r="GN4" s="125"/>
      <c r="GO4" s="125"/>
      <c r="GP4" s="125"/>
      <c r="GQ4" s="125"/>
      <c r="GR4" s="125"/>
      <c r="GS4" s="125"/>
      <c r="GT4" s="125"/>
      <c r="GU4" s="125"/>
      <c r="GV4" s="125"/>
      <c r="GW4" s="125"/>
      <c r="GX4" s="125"/>
      <c r="GY4" s="125"/>
      <c r="GZ4" s="125"/>
      <c r="HA4" s="125"/>
      <c r="HB4" s="125"/>
      <c r="HC4" s="125"/>
      <c r="HD4" s="125"/>
      <c r="HE4" s="125"/>
      <c r="HF4" s="125"/>
      <c r="HG4" s="125"/>
      <c r="HH4" s="125"/>
      <c r="HI4" s="125"/>
      <c r="HJ4" s="125"/>
      <c r="HK4" s="125"/>
      <c r="HL4" s="125"/>
      <c r="HM4" s="125"/>
      <c r="HN4" s="125"/>
      <c r="HO4" s="125"/>
      <c r="HP4" s="125"/>
      <c r="HQ4" s="125"/>
      <c r="HR4" s="125"/>
      <c r="HS4" s="125"/>
      <c r="HT4" s="125"/>
      <c r="HU4" s="125"/>
      <c r="HV4" s="125"/>
      <c r="HW4" s="125"/>
      <c r="HX4" s="125"/>
      <c r="HY4" s="125"/>
      <c r="HZ4" s="125"/>
      <c r="IA4" s="125"/>
      <c r="IB4" s="125"/>
      <c r="IC4" s="125"/>
      <c r="ID4" s="125"/>
      <c r="IE4" s="125"/>
      <c r="IF4" s="125"/>
      <c r="IG4" s="125"/>
      <c r="IH4" s="125"/>
      <c r="II4" s="125"/>
      <c r="IJ4" s="125"/>
      <c r="IK4" s="125"/>
      <c r="IL4" s="125"/>
      <c r="IM4" s="125"/>
      <c r="IN4" s="125"/>
      <c r="IO4" s="125"/>
      <c r="IP4" s="125"/>
      <c r="IQ4" s="125"/>
      <c r="IR4" s="125"/>
      <c r="IS4" s="125"/>
    </row>
    <row r="5" spans="1:253" x14ac:dyDescent="0.2">
      <c r="A5" s="200" t="s">
        <v>164</v>
      </c>
      <c r="B5" s="199"/>
      <c r="C5" s="198" t="s">
        <v>7</v>
      </c>
      <c r="D5" s="393" t="str">
        <f>CARAT_!$F$47</f>
        <v>ESPECIFICO Nº SP-2022-012</v>
      </c>
      <c r="F5" s="400"/>
      <c r="G5" s="139"/>
      <c r="H5" s="139"/>
      <c r="J5" s="139"/>
      <c r="K5" s="139"/>
      <c r="L5" s="139"/>
      <c r="M5" s="139"/>
      <c r="N5" s="139"/>
      <c r="O5" s="139"/>
      <c r="P5" s="125"/>
      <c r="Q5" s="125"/>
      <c r="T5" s="125"/>
      <c r="U5" s="125"/>
      <c r="V5" s="125"/>
      <c r="W5" s="125"/>
      <c r="X5" s="125"/>
      <c r="Y5" s="125"/>
      <c r="Z5" s="125"/>
      <c r="AA5" s="125"/>
      <c r="AB5" s="125"/>
      <c r="AC5" s="125"/>
      <c r="AD5" s="125"/>
      <c r="AE5" s="125"/>
      <c r="AF5" s="125"/>
      <c r="AG5" s="125"/>
      <c r="AH5" s="125"/>
      <c r="AI5" s="125"/>
      <c r="AJ5" s="125"/>
      <c r="AK5" s="125"/>
      <c r="AL5" s="125"/>
      <c r="AM5" s="125"/>
      <c r="AN5" s="125"/>
      <c r="AO5" s="125"/>
      <c r="AP5" s="125"/>
      <c r="AQ5" s="125"/>
      <c r="AR5" s="125"/>
      <c r="AS5" s="125"/>
      <c r="AT5" s="125"/>
      <c r="AU5" s="125"/>
      <c r="AV5" s="125"/>
      <c r="AW5" s="125"/>
      <c r="AX5" s="125"/>
      <c r="AY5" s="125"/>
      <c r="AZ5" s="125"/>
      <c r="BA5" s="125"/>
      <c r="BB5" s="125"/>
      <c r="BC5" s="125"/>
      <c r="BD5" s="125"/>
      <c r="BE5" s="125"/>
      <c r="BF5" s="125"/>
      <c r="BG5" s="125"/>
      <c r="BH5" s="125"/>
      <c r="BI5" s="125"/>
      <c r="BJ5" s="125"/>
      <c r="BK5" s="125"/>
      <c r="BL5" s="125"/>
      <c r="BM5" s="125"/>
      <c r="BN5" s="125"/>
      <c r="BO5" s="125"/>
      <c r="BP5" s="125"/>
      <c r="BQ5" s="125"/>
      <c r="BR5" s="125"/>
      <c r="BS5" s="125"/>
      <c r="BT5" s="125"/>
      <c r="BU5" s="125"/>
      <c r="BV5" s="125"/>
      <c r="BW5" s="125"/>
      <c r="BX5" s="125"/>
      <c r="BY5" s="125"/>
      <c r="BZ5" s="125"/>
      <c r="CA5" s="125"/>
      <c r="CB5" s="125"/>
      <c r="CC5" s="125"/>
      <c r="CD5" s="125"/>
      <c r="CE5" s="125"/>
      <c r="CF5" s="125"/>
      <c r="CG5" s="125"/>
      <c r="CH5" s="125"/>
      <c r="CI5" s="125"/>
      <c r="CJ5" s="125"/>
      <c r="CK5" s="125"/>
      <c r="CL5" s="125"/>
      <c r="CM5" s="125"/>
      <c r="CN5" s="125"/>
      <c r="CO5" s="125"/>
      <c r="CP5" s="125"/>
      <c r="CQ5" s="125"/>
      <c r="CR5" s="125"/>
      <c r="CS5" s="125"/>
      <c r="CT5" s="125"/>
      <c r="CU5" s="125"/>
      <c r="CV5" s="125"/>
      <c r="CW5" s="125"/>
      <c r="CX5" s="125"/>
      <c r="CY5" s="125"/>
      <c r="CZ5" s="125"/>
      <c r="DA5" s="125"/>
      <c r="DB5" s="125"/>
      <c r="DC5" s="125"/>
      <c r="DD5" s="125"/>
      <c r="DE5" s="125"/>
      <c r="DF5" s="125"/>
      <c r="DG5" s="125"/>
      <c r="DH5" s="125"/>
      <c r="DI5" s="125"/>
      <c r="DJ5" s="125"/>
      <c r="DK5" s="125"/>
      <c r="DL5" s="125"/>
      <c r="DM5" s="125"/>
      <c r="DN5" s="125"/>
      <c r="DO5" s="125"/>
      <c r="DP5" s="125"/>
      <c r="DQ5" s="125"/>
      <c r="DR5" s="125"/>
      <c r="DS5" s="125"/>
      <c r="DT5" s="125"/>
      <c r="DU5" s="125"/>
      <c r="DV5" s="125"/>
      <c r="DW5" s="125"/>
      <c r="DX5" s="125"/>
      <c r="DY5" s="125"/>
      <c r="DZ5" s="125"/>
      <c r="EA5" s="125"/>
      <c r="EB5" s="125"/>
      <c r="EC5" s="125"/>
      <c r="ED5" s="125"/>
      <c r="EE5" s="125"/>
      <c r="EF5" s="125"/>
      <c r="EG5" s="125"/>
      <c r="EH5" s="125"/>
      <c r="EI5" s="125"/>
      <c r="EJ5" s="125"/>
      <c r="EK5" s="125"/>
      <c r="EL5" s="125"/>
      <c r="EM5" s="125"/>
      <c r="EN5" s="125"/>
      <c r="EO5" s="125"/>
      <c r="EP5" s="125"/>
      <c r="EQ5" s="125"/>
      <c r="ER5" s="125"/>
      <c r="ES5" s="125"/>
      <c r="ET5" s="125"/>
      <c r="EU5" s="125"/>
      <c r="EV5" s="125"/>
      <c r="EW5" s="125"/>
      <c r="EX5" s="125"/>
      <c r="EY5" s="125"/>
      <c r="EZ5" s="125"/>
      <c r="FA5" s="125"/>
      <c r="FB5" s="125"/>
      <c r="FC5" s="125"/>
      <c r="FD5" s="125"/>
      <c r="FE5" s="125"/>
      <c r="FF5" s="125"/>
      <c r="FG5" s="125"/>
      <c r="FH5" s="125"/>
      <c r="FI5" s="125"/>
      <c r="FJ5" s="125"/>
      <c r="FK5" s="125"/>
      <c r="FL5" s="125"/>
      <c r="FM5" s="125"/>
      <c r="FN5" s="125"/>
      <c r="FO5" s="125"/>
      <c r="FP5" s="125"/>
      <c r="FQ5" s="125"/>
      <c r="FR5" s="125"/>
      <c r="FS5" s="125"/>
      <c r="FT5" s="125"/>
      <c r="FU5" s="125"/>
      <c r="FV5" s="125"/>
      <c r="FW5" s="125"/>
      <c r="FX5" s="125"/>
      <c r="FY5" s="125"/>
      <c r="FZ5" s="125"/>
      <c r="GA5" s="125"/>
      <c r="GB5" s="125"/>
      <c r="GC5" s="125"/>
      <c r="GD5" s="125"/>
      <c r="GE5" s="125"/>
      <c r="GF5" s="125"/>
      <c r="GG5" s="125"/>
      <c r="GH5" s="125"/>
      <c r="GI5" s="125"/>
      <c r="GJ5" s="125"/>
      <c r="GK5" s="125"/>
      <c r="GL5" s="125"/>
      <c r="GM5" s="125"/>
      <c r="GN5" s="125"/>
      <c r="GO5" s="125"/>
      <c r="GP5" s="125"/>
      <c r="GQ5" s="125"/>
      <c r="GR5" s="125"/>
      <c r="GS5" s="125"/>
      <c r="GT5" s="125"/>
      <c r="GU5" s="125"/>
      <c r="GV5" s="125"/>
      <c r="GW5" s="125"/>
      <c r="GX5" s="125"/>
      <c r="GY5" s="125"/>
      <c r="GZ5" s="125"/>
      <c r="HA5" s="125"/>
      <c r="HB5" s="125"/>
      <c r="HC5" s="125"/>
      <c r="HD5" s="125"/>
      <c r="HE5" s="125"/>
      <c r="HF5" s="125"/>
      <c r="HG5" s="125"/>
      <c r="HH5" s="125"/>
      <c r="HI5" s="125"/>
      <c r="HJ5" s="125"/>
      <c r="HK5" s="125"/>
      <c r="HL5" s="125"/>
      <c r="HM5" s="125"/>
      <c r="HN5" s="125"/>
      <c r="HO5" s="125"/>
      <c r="HP5" s="125"/>
      <c r="HQ5" s="125"/>
      <c r="HR5" s="125"/>
      <c r="HS5" s="125"/>
      <c r="HT5" s="125"/>
      <c r="HU5" s="125"/>
      <c r="HV5" s="125"/>
      <c r="HW5" s="125"/>
      <c r="HX5" s="125"/>
      <c r="HY5" s="125"/>
      <c r="HZ5" s="125"/>
      <c r="IA5" s="125"/>
      <c r="IB5" s="125"/>
      <c r="IC5" s="125"/>
      <c r="ID5" s="125"/>
      <c r="IE5" s="125"/>
      <c r="IF5" s="125"/>
      <c r="IG5" s="125"/>
      <c r="IH5" s="125"/>
      <c r="II5" s="125"/>
      <c r="IJ5" s="125"/>
      <c r="IK5" s="125"/>
      <c r="IL5" s="125"/>
      <c r="IM5" s="125"/>
      <c r="IN5" s="125"/>
      <c r="IO5" s="125"/>
      <c r="IP5" s="125"/>
      <c r="IQ5" s="125"/>
      <c r="IR5" s="125"/>
      <c r="IS5" s="125"/>
    </row>
    <row r="6" spans="1:253" x14ac:dyDescent="0.2">
      <c r="A6" s="385" t="s">
        <v>18</v>
      </c>
      <c r="B6" s="199"/>
      <c r="C6" s="198" t="s">
        <v>7</v>
      </c>
      <c r="D6" s="2189" t="str">
        <f>CARAT_!F48</f>
        <v>“CREACION DEL PUENTE VEHICULAR CCANCHIS SOBRE EL RIO PAMPAS, DISTRITO DE CHUNGUI - PROVINCIA LA MAR - DEPARTAMENTO AYACUCHO”.</v>
      </c>
      <c r="E6" s="2189"/>
      <c r="F6" s="2189"/>
      <c r="G6" s="2189"/>
      <c r="H6" s="2189"/>
      <c r="I6" s="2189"/>
      <c r="J6" s="2189"/>
      <c r="K6" s="2189"/>
      <c r="L6" s="2189"/>
      <c r="M6" s="2189"/>
      <c r="N6" s="2189"/>
      <c r="O6" s="2189"/>
      <c r="P6" s="125"/>
      <c r="Q6" s="125"/>
      <c r="T6" s="125"/>
      <c r="U6" s="125"/>
      <c r="V6" s="125"/>
      <c r="W6" s="125"/>
      <c r="X6" s="125"/>
      <c r="Y6" s="125"/>
      <c r="Z6" s="125"/>
      <c r="AA6" s="125"/>
      <c r="AB6" s="125"/>
      <c r="AC6" s="125"/>
      <c r="AD6" s="125"/>
      <c r="AE6" s="125"/>
      <c r="AF6" s="125"/>
      <c r="AG6" s="125"/>
      <c r="AH6" s="125"/>
      <c r="AI6" s="125"/>
      <c r="AJ6" s="125"/>
      <c r="AK6" s="125"/>
      <c r="AL6" s="125"/>
      <c r="AM6" s="125"/>
      <c r="AN6" s="125"/>
      <c r="AO6" s="125"/>
      <c r="AP6" s="125"/>
      <c r="AQ6" s="125"/>
      <c r="AR6" s="125"/>
      <c r="AS6" s="125"/>
      <c r="AT6" s="125"/>
      <c r="AU6" s="125"/>
      <c r="AV6" s="125"/>
      <c r="AW6" s="125"/>
      <c r="AX6" s="125"/>
      <c r="AY6" s="125"/>
      <c r="AZ6" s="125"/>
      <c r="BA6" s="125"/>
      <c r="BB6" s="125"/>
      <c r="BC6" s="125"/>
      <c r="BD6" s="125"/>
      <c r="BE6" s="125"/>
      <c r="BF6" s="125"/>
      <c r="BG6" s="125"/>
      <c r="BH6" s="125"/>
      <c r="BI6" s="125"/>
      <c r="BJ6" s="125"/>
      <c r="BK6" s="125"/>
      <c r="BL6" s="125"/>
      <c r="BM6" s="125"/>
      <c r="BN6" s="125"/>
      <c r="BO6" s="125"/>
      <c r="BP6" s="125"/>
      <c r="BQ6" s="125"/>
      <c r="BR6" s="125"/>
      <c r="BS6" s="125"/>
      <c r="BT6" s="125"/>
      <c r="BU6" s="125"/>
      <c r="BV6" s="125"/>
      <c r="BW6" s="125"/>
      <c r="BX6" s="125"/>
      <c r="BY6" s="125"/>
      <c r="BZ6" s="125"/>
      <c r="CA6" s="125"/>
      <c r="CB6" s="125"/>
      <c r="CC6" s="125"/>
      <c r="CD6" s="125"/>
      <c r="CE6" s="125"/>
      <c r="CF6" s="125"/>
      <c r="CG6" s="125"/>
      <c r="CH6" s="125"/>
      <c r="CI6" s="125"/>
      <c r="CJ6" s="125"/>
      <c r="CK6" s="125"/>
      <c r="CL6" s="125"/>
      <c r="CM6" s="125"/>
      <c r="CN6" s="125"/>
      <c r="CO6" s="125"/>
      <c r="CP6" s="125"/>
      <c r="CQ6" s="125"/>
      <c r="CR6" s="125"/>
      <c r="CS6" s="125"/>
      <c r="CT6" s="125"/>
      <c r="CU6" s="125"/>
      <c r="CV6" s="125"/>
      <c r="CW6" s="125"/>
      <c r="CX6" s="125"/>
      <c r="CY6" s="125"/>
      <c r="CZ6" s="125"/>
      <c r="DA6" s="125"/>
      <c r="DB6" s="125"/>
      <c r="DC6" s="125"/>
      <c r="DD6" s="125"/>
      <c r="DE6" s="125"/>
      <c r="DF6" s="125"/>
      <c r="DG6" s="125"/>
      <c r="DH6" s="125"/>
      <c r="DI6" s="125"/>
      <c r="DJ6" s="125"/>
      <c r="DK6" s="125"/>
      <c r="DL6" s="125"/>
      <c r="DM6" s="125"/>
      <c r="DN6" s="125"/>
      <c r="DO6" s="125"/>
      <c r="DP6" s="125"/>
      <c r="DQ6" s="125"/>
      <c r="DR6" s="125"/>
      <c r="DS6" s="125"/>
      <c r="DT6" s="125"/>
      <c r="DU6" s="125"/>
      <c r="DV6" s="125"/>
      <c r="DW6" s="125"/>
      <c r="DX6" s="125"/>
      <c r="DY6" s="125"/>
      <c r="DZ6" s="125"/>
      <c r="EA6" s="125"/>
      <c r="EB6" s="125"/>
      <c r="EC6" s="125"/>
      <c r="ED6" s="125"/>
      <c r="EE6" s="125"/>
      <c r="EF6" s="125"/>
      <c r="EG6" s="125"/>
      <c r="EH6" s="125"/>
      <c r="EI6" s="125"/>
      <c r="EJ6" s="125"/>
      <c r="EK6" s="125"/>
      <c r="EL6" s="125"/>
      <c r="EM6" s="125"/>
      <c r="EN6" s="125"/>
      <c r="EO6" s="125"/>
      <c r="EP6" s="125"/>
      <c r="EQ6" s="125"/>
      <c r="ER6" s="125"/>
      <c r="ES6" s="125"/>
      <c r="ET6" s="125"/>
      <c r="EU6" s="125"/>
      <c r="EV6" s="125"/>
      <c r="EW6" s="125"/>
      <c r="EX6" s="125"/>
      <c r="EY6" s="125"/>
      <c r="EZ6" s="125"/>
      <c r="FA6" s="125"/>
      <c r="FB6" s="125"/>
      <c r="FC6" s="125"/>
      <c r="FD6" s="125"/>
      <c r="FE6" s="125"/>
      <c r="FF6" s="125"/>
      <c r="FG6" s="125"/>
      <c r="FH6" s="125"/>
      <c r="FI6" s="125"/>
      <c r="FJ6" s="125"/>
      <c r="FK6" s="125"/>
      <c r="FL6" s="125"/>
      <c r="FM6" s="125"/>
      <c r="FN6" s="125"/>
      <c r="FO6" s="125"/>
      <c r="FP6" s="125"/>
      <c r="FQ6" s="125"/>
      <c r="FR6" s="125"/>
      <c r="FS6" s="125"/>
      <c r="FT6" s="125"/>
      <c r="FU6" s="125"/>
      <c r="FV6" s="125"/>
      <c r="FW6" s="125"/>
      <c r="FX6" s="125"/>
      <c r="FY6" s="125"/>
      <c r="FZ6" s="125"/>
      <c r="GA6" s="125"/>
      <c r="GB6" s="125"/>
      <c r="GC6" s="125"/>
      <c r="GD6" s="125"/>
      <c r="GE6" s="125"/>
      <c r="GF6" s="125"/>
      <c r="GG6" s="125"/>
      <c r="GH6" s="125"/>
      <c r="GI6" s="125"/>
      <c r="GJ6" s="125"/>
      <c r="GK6" s="125"/>
      <c r="GL6" s="125"/>
      <c r="GM6" s="125"/>
      <c r="GN6" s="125"/>
      <c r="GO6" s="125"/>
      <c r="GP6" s="125"/>
      <c r="GQ6" s="125"/>
      <c r="GR6" s="125"/>
      <c r="GS6" s="125"/>
      <c r="GT6" s="125"/>
      <c r="GU6" s="125"/>
      <c r="GV6" s="125"/>
      <c r="GW6" s="125"/>
      <c r="GX6" s="125"/>
      <c r="GY6" s="125"/>
      <c r="GZ6" s="125"/>
      <c r="HA6" s="125"/>
      <c r="HB6" s="125"/>
      <c r="HC6" s="125"/>
      <c r="HD6" s="125"/>
      <c r="HE6" s="125"/>
      <c r="HF6" s="125"/>
      <c r="HG6" s="125"/>
      <c r="HH6" s="125"/>
      <c r="HI6" s="125"/>
      <c r="HJ6" s="125"/>
      <c r="HK6" s="125"/>
      <c r="HL6" s="125"/>
      <c r="HM6" s="125"/>
      <c r="HN6" s="125"/>
      <c r="HO6" s="125"/>
      <c r="HP6" s="125"/>
      <c r="HQ6" s="125"/>
      <c r="HR6" s="125"/>
      <c r="HS6" s="125"/>
      <c r="HT6" s="125"/>
      <c r="HU6" s="125"/>
      <c r="HV6" s="125"/>
      <c r="HW6" s="125"/>
      <c r="HX6" s="125"/>
      <c r="HY6" s="125"/>
      <c r="HZ6" s="125"/>
      <c r="IA6" s="125"/>
      <c r="IB6" s="125"/>
      <c r="IC6" s="125"/>
      <c r="ID6" s="125"/>
      <c r="IE6" s="125"/>
      <c r="IF6" s="125"/>
      <c r="IG6" s="125"/>
      <c r="IH6" s="125"/>
      <c r="II6" s="125"/>
      <c r="IJ6" s="125"/>
      <c r="IK6" s="125"/>
      <c r="IL6" s="125"/>
      <c r="IM6" s="125"/>
      <c r="IN6" s="125"/>
      <c r="IO6" s="125"/>
      <c r="IP6" s="125"/>
      <c r="IQ6" s="125"/>
      <c r="IR6" s="125"/>
      <c r="IS6" s="125"/>
    </row>
    <row r="7" spans="1:253" x14ac:dyDescent="0.2">
      <c r="A7" s="385" t="s">
        <v>1</v>
      </c>
      <c r="B7" s="199"/>
      <c r="C7" s="198" t="s">
        <v>7</v>
      </c>
      <c r="D7" s="393" t="str">
        <f>CARAT_!$F$52</f>
        <v>SIMA PERU S.A.</v>
      </c>
      <c r="F7" s="400"/>
      <c r="G7" s="139"/>
      <c r="H7" s="139"/>
      <c r="J7" s="139"/>
      <c r="K7" s="139"/>
      <c r="L7" s="139"/>
      <c r="M7" s="139"/>
      <c r="N7" s="139"/>
      <c r="O7" s="139"/>
      <c r="P7" s="125"/>
      <c r="Q7" s="125"/>
      <c r="T7" s="125"/>
      <c r="U7" s="125"/>
      <c r="V7" s="125"/>
      <c r="W7" s="125"/>
      <c r="X7" s="125"/>
      <c r="Y7" s="125"/>
      <c r="Z7" s="125"/>
      <c r="AA7" s="125"/>
      <c r="AB7" s="125"/>
      <c r="AC7" s="125"/>
      <c r="AD7" s="125"/>
      <c r="AE7" s="125"/>
      <c r="AF7" s="125"/>
      <c r="AG7" s="125"/>
      <c r="AH7" s="125"/>
      <c r="AI7" s="125"/>
      <c r="AJ7" s="125"/>
      <c r="AK7" s="125"/>
      <c r="AL7" s="125"/>
      <c r="AM7" s="125"/>
      <c r="AN7" s="125"/>
      <c r="AO7" s="125"/>
      <c r="AP7" s="125"/>
      <c r="AQ7" s="125"/>
      <c r="AR7" s="125"/>
      <c r="AS7" s="125"/>
      <c r="AT7" s="125"/>
      <c r="AU7" s="125"/>
      <c r="AV7" s="125"/>
      <c r="AW7" s="125"/>
      <c r="AX7" s="125"/>
      <c r="AY7" s="125"/>
      <c r="AZ7" s="125"/>
      <c r="BA7" s="125"/>
      <c r="BB7" s="125"/>
      <c r="BC7" s="125"/>
      <c r="BD7" s="125"/>
      <c r="BE7" s="125"/>
      <c r="BF7" s="125"/>
      <c r="BG7" s="125"/>
      <c r="BH7" s="125"/>
      <c r="BI7" s="125"/>
      <c r="BJ7" s="125"/>
      <c r="BK7" s="125"/>
      <c r="BL7" s="125"/>
      <c r="BM7" s="125"/>
      <c r="BN7" s="125"/>
      <c r="BO7" s="125"/>
      <c r="BP7" s="125"/>
      <c r="BQ7" s="125"/>
      <c r="BR7" s="125"/>
      <c r="BS7" s="125"/>
      <c r="BT7" s="125"/>
      <c r="BU7" s="125"/>
      <c r="BV7" s="125"/>
      <c r="BW7" s="125"/>
      <c r="BX7" s="125"/>
      <c r="BY7" s="125"/>
      <c r="BZ7" s="125"/>
      <c r="CA7" s="125"/>
      <c r="CB7" s="125"/>
      <c r="CC7" s="125"/>
      <c r="CD7" s="125"/>
      <c r="CE7" s="125"/>
      <c r="CF7" s="125"/>
      <c r="CG7" s="125"/>
      <c r="CH7" s="125"/>
      <c r="CI7" s="125"/>
      <c r="CJ7" s="125"/>
      <c r="CK7" s="125"/>
      <c r="CL7" s="125"/>
      <c r="CM7" s="125"/>
      <c r="CN7" s="125"/>
      <c r="CO7" s="125"/>
      <c r="CP7" s="125"/>
      <c r="CQ7" s="125"/>
      <c r="CR7" s="125"/>
      <c r="CS7" s="125"/>
      <c r="CT7" s="125"/>
      <c r="CU7" s="125"/>
      <c r="CV7" s="125"/>
      <c r="CW7" s="125"/>
      <c r="CX7" s="125"/>
      <c r="CY7" s="125"/>
      <c r="CZ7" s="125"/>
      <c r="DA7" s="125"/>
      <c r="DB7" s="125"/>
      <c r="DC7" s="125"/>
      <c r="DD7" s="125"/>
      <c r="DE7" s="125"/>
      <c r="DF7" s="125"/>
      <c r="DG7" s="125"/>
      <c r="DH7" s="125"/>
      <c r="DI7" s="125"/>
      <c r="DJ7" s="125"/>
      <c r="DK7" s="125"/>
      <c r="DL7" s="125"/>
      <c r="DM7" s="125"/>
      <c r="DN7" s="125"/>
      <c r="DO7" s="125"/>
      <c r="DP7" s="125"/>
      <c r="DQ7" s="125"/>
      <c r="DR7" s="125"/>
      <c r="DS7" s="125"/>
      <c r="DT7" s="125"/>
      <c r="DU7" s="125"/>
      <c r="DV7" s="125"/>
      <c r="DW7" s="125"/>
      <c r="DX7" s="125"/>
      <c r="DY7" s="125"/>
      <c r="DZ7" s="125"/>
      <c r="EA7" s="125"/>
      <c r="EB7" s="125"/>
      <c r="EC7" s="125"/>
      <c r="ED7" s="125"/>
      <c r="EE7" s="125"/>
      <c r="EF7" s="125"/>
      <c r="EG7" s="125"/>
      <c r="EH7" s="125"/>
      <c r="EI7" s="125"/>
      <c r="EJ7" s="125"/>
      <c r="EK7" s="125"/>
      <c r="EL7" s="125"/>
      <c r="EM7" s="125"/>
      <c r="EN7" s="125"/>
      <c r="EO7" s="125"/>
      <c r="EP7" s="125"/>
      <c r="EQ7" s="125"/>
      <c r="ER7" s="125"/>
      <c r="ES7" s="125"/>
      <c r="ET7" s="125"/>
      <c r="EU7" s="125"/>
      <c r="EV7" s="125"/>
      <c r="EW7" s="125"/>
      <c r="EX7" s="125"/>
      <c r="EY7" s="125"/>
      <c r="EZ7" s="125"/>
      <c r="FA7" s="125"/>
      <c r="FB7" s="125"/>
      <c r="FC7" s="125"/>
      <c r="FD7" s="125"/>
      <c r="FE7" s="125"/>
      <c r="FF7" s="125"/>
      <c r="FG7" s="125"/>
      <c r="FH7" s="125"/>
      <c r="FI7" s="125"/>
      <c r="FJ7" s="125"/>
      <c r="FK7" s="125"/>
      <c r="FL7" s="125"/>
      <c r="FM7" s="125"/>
      <c r="FN7" s="125"/>
      <c r="FO7" s="125"/>
      <c r="FP7" s="125"/>
      <c r="FQ7" s="125"/>
      <c r="FR7" s="125"/>
      <c r="FS7" s="125"/>
      <c r="FT7" s="125"/>
      <c r="FU7" s="125"/>
      <c r="FV7" s="125"/>
      <c r="FW7" s="125"/>
      <c r="FX7" s="125"/>
      <c r="FY7" s="125"/>
      <c r="FZ7" s="125"/>
      <c r="GA7" s="125"/>
      <c r="GB7" s="125"/>
      <c r="GC7" s="125"/>
      <c r="GD7" s="125"/>
      <c r="GE7" s="125"/>
      <c r="GF7" s="125"/>
      <c r="GG7" s="125"/>
      <c r="GH7" s="125"/>
      <c r="GI7" s="125"/>
      <c r="GJ7" s="125"/>
      <c r="GK7" s="125"/>
      <c r="GL7" s="125"/>
      <c r="GM7" s="125"/>
      <c r="GN7" s="125"/>
      <c r="GO7" s="125"/>
      <c r="GP7" s="125"/>
      <c r="GQ7" s="125"/>
      <c r="GR7" s="125"/>
      <c r="GS7" s="125"/>
      <c r="GT7" s="125"/>
      <c r="GU7" s="125"/>
      <c r="GV7" s="125"/>
      <c r="GW7" s="125"/>
      <c r="GX7" s="125"/>
      <c r="GY7" s="125"/>
      <c r="GZ7" s="125"/>
      <c r="HA7" s="125"/>
      <c r="HB7" s="125"/>
      <c r="HC7" s="125"/>
      <c r="HD7" s="125"/>
      <c r="HE7" s="125"/>
      <c r="HF7" s="125"/>
      <c r="HG7" s="125"/>
      <c r="HH7" s="125"/>
      <c r="HI7" s="125"/>
      <c r="HJ7" s="125"/>
      <c r="HK7" s="125"/>
      <c r="HL7" s="125"/>
      <c r="HM7" s="125"/>
      <c r="HN7" s="125"/>
      <c r="HO7" s="125"/>
      <c r="HP7" s="125"/>
      <c r="HQ7" s="125"/>
      <c r="HR7" s="125"/>
      <c r="HS7" s="125"/>
      <c r="HT7" s="125"/>
      <c r="HU7" s="125"/>
      <c r="HV7" s="125"/>
      <c r="HW7" s="125"/>
      <c r="HX7" s="125"/>
      <c r="HY7" s="125"/>
      <c r="HZ7" s="125"/>
      <c r="IA7" s="125"/>
      <c r="IB7" s="125"/>
      <c r="IC7" s="125"/>
      <c r="ID7" s="125"/>
      <c r="IE7" s="125"/>
      <c r="IF7" s="125"/>
      <c r="IG7" s="125"/>
      <c r="IH7" s="125"/>
      <c r="II7" s="125"/>
      <c r="IJ7" s="125"/>
      <c r="IK7" s="125"/>
      <c r="IL7" s="125"/>
      <c r="IM7" s="125"/>
      <c r="IN7" s="125"/>
      <c r="IO7" s="125"/>
      <c r="IP7" s="125"/>
      <c r="IQ7" s="125"/>
      <c r="IR7" s="125"/>
      <c r="IS7" s="125"/>
    </row>
    <row r="8" spans="1:253" x14ac:dyDescent="0.2">
      <c r="A8" s="385" t="s">
        <v>2</v>
      </c>
      <c r="B8" s="199"/>
      <c r="C8" s="198" t="s">
        <v>7</v>
      </c>
      <c r="D8" s="393" t="str">
        <f>CARAT_!$F$53</f>
        <v>SUB GERENCIA DE SUPERVISION Y LIQUIDACION</v>
      </c>
      <c r="F8" s="400"/>
      <c r="G8" s="139"/>
      <c r="H8" s="139"/>
      <c r="J8" s="139"/>
      <c r="K8" s="139"/>
      <c r="L8" s="139"/>
      <c r="M8" s="139"/>
      <c r="N8" s="139"/>
      <c r="O8" s="139"/>
      <c r="P8" s="125"/>
      <c r="Q8" s="125"/>
      <c r="T8" s="125"/>
      <c r="U8" s="125"/>
      <c r="V8" s="125"/>
      <c r="W8" s="125"/>
      <c r="X8" s="125"/>
      <c r="Y8" s="125"/>
      <c r="Z8" s="125"/>
      <c r="AA8" s="125"/>
      <c r="AB8" s="125"/>
      <c r="AC8" s="125"/>
      <c r="AD8" s="125"/>
      <c r="AE8" s="125"/>
      <c r="AF8" s="125"/>
      <c r="AG8" s="125"/>
      <c r="AH8" s="125"/>
      <c r="AI8" s="125"/>
      <c r="AJ8" s="125"/>
      <c r="AK8" s="125"/>
      <c r="AL8" s="125"/>
      <c r="AM8" s="125"/>
      <c r="AN8" s="125"/>
      <c r="AO8" s="125"/>
      <c r="AP8" s="125"/>
      <c r="AQ8" s="125"/>
      <c r="AR8" s="125"/>
      <c r="AS8" s="125"/>
      <c r="AT8" s="125"/>
      <c r="AU8" s="125"/>
      <c r="AV8" s="125"/>
      <c r="AW8" s="125"/>
      <c r="AX8" s="125"/>
      <c r="AY8" s="125"/>
      <c r="AZ8" s="125"/>
      <c r="BA8" s="125"/>
      <c r="BB8" s="125"/>
      <c r="BC8" s="125"/>
      <c r="BD8" s="125"/>
      <c r="BE8" s="125"/>
      <c r="BF8" s="125"/>
      <c r="BG8" s="125"/>
      <c r="BH8" s="125"/>
      <c r="BI8" s="125"/>
      <c r="BJ8" s="125"/>
      <c r="BK8" s="125"/>
      <c r="BL8" s="125"/>
      <c r="BM8" s="125"/>
      <c r="BN8" s="125"/>
      <c r="BO8" s="125"/>
      <c r="BP8" s="125"/>
      <c r="BQ8" s="125"/>
      <c r="BR8" s="125"/>
      <c r="BS8" s="125"/>
      <c r="BT8" s="125"/>
      <c r="BU8" s="125"/>
      <c r="BV8" s="125"/>
      <c r="BW8" s="125"/>
      <c r="BX8" s="125"/>
      <c r="BY8" s="125"/>
      <c r="BZ8" s="125"/>
      <c r="CA8" s="125"/>
      <c r="CB8" s="125"/>
      <c r="CC8" s="125"/>
      <c r="CD8" s="125"/>
      <c r="CE8" s="125"/>
      <c r="CF8" s="125"/>
      <c r="CG8" s="125"/>
      <c r="CH8" s="125"/>
      <c r="CI8" s="125"/>
      <c r="CJ8" s="125"/>
      <c r="CK8" s="125"/>
      <c r="CL8" s="125"/>
      <c r="CM8" s="125"/>
      <c r="CN8" s="125"/>
      <c r="CO8" s="125"/>
      <c r="CP8" s="125"/>
      <c r="CQ8" s="125"/>
      <c r="CR8" s="125"/>
      <c r="CS8" s="125"/>
      <c r="CT8" s="125"/>
      <c r="CU8" s="125"/>
      <c r="CV8" s="125"/>
      <c r="CW8" s="125"/>
      <c r="CX8" s="125"/>
      <c r="CY8" s="125"/>
      <c r="CZ8" s="125"/>
      <c r="DA8" s="125"/>
      <c r="DB8" s="125"/>
      <c r="DC8" s="125"/>
      <c r="DD8" s="125"/>
      <c r="DE8" s="125"/>
      <c r="DF8" s="125"/>
      <c r="DG8" s="125"/>
      <c r="DH8" s="125"/>
      <c r="DI8" s="125"/>
      <c r="DJ8" s="125"/>
      <c r="DK8" s="125"/>
      <c r="DL8" s="125"/>
      <c r="DM8" s="125"/>
      <c r="DN8" s="125"/>
      <c r="DO8" s="125"/>
      <c r="DP8" s="125"/>
      <c r="DQ8" s="125"/>
      <c r="DR8" s="125"/>
      <c r="DS8" s="125"/>
      <c r="DT8" s="125"/>
      <c r="DU8" s="125"/>
      <c r="DV8" s="125"/>
      <c r="DW8" s="125"/>
      <c r="DX8" s="125"/>
      <c r="DY8" s="125"/>
      <c r="DZ8" s="125"/>
      <c r="EA8" s="125"/>
      <c r="EB8" s="125"/>
      <c r="EC8" s="125"/>
      <c r="ED8" s="125"/>
      <c r="EE8" s="125"/>
      <c r="EF8" s="125"/>
      <c r="EG8" s="125"/>
      <c r="EH8" s="125"/>
      <c r="EI8" s="125"/>
      <c r="EJ8" s="125"/>
      <c r="EK8" s="125"/>
      <c r="EL8" s="125"/>
      <c r="EM8" s="125"/>
      <c r="EN8" s="125"/>
      <c r="EO8" s="125"/>
      <c r="EP8" s="125"/>
      <c r="EQ8" s="125"/>
      <c r="ER8" s="125"/>
      <c r="ES8" s="125"/>
      <c r="ET8" s="125"/>
      <c r="EU8" s="125"/>
      <c r="EV8" s="125"/>
      <c r="EW8" s="125"/>
      <c r="EX8" s="125"/>
      <c r="EY8" s="125"/>
      <c r="EZ8" s="125"/>
      <c r="FA8" s="125"/>
      <c r="FB8" s="125"/>
      <c r="FC8" s="125"/>
      <c r="FD8" s="125"/>
      <c r="FE8" s="125"/>
      <c r="FF8" s="125"/>
      <c r="FG8" s="125"/>
      <c r="FH8" s="125"/>
      <c r="FI8" s="125"/>
      <c r="FJ8" s="125"/>
      <c r="FK8" s="125"/>
      <c r="FL8" s="125"/>
      <c r="FM8" s="125"/>
      <c r="FN8" s="125"/>
      <c r="FO8" s="125"/>
      <c r="FP8" s="125"/>
      <c r="FQ8" s="125"/>
      <c r="FR8" s="125"/>
      <c r="FS8" s="125"/>
      <c r="FT8" s="125"/>
      <c r="FU8" s="125"/>
      <c r="FV8" s="125"/>
      <c r="FW8" s="125"/>
      <c r="FX8" s="125"/>
      <c r="FY8" s="125"/>
      <c r="FZ8" s="125"/>
      <c r="GA8" s="125"/>
      <c r="GB8" s="125"/>
      <c r="GC8" s="125"/>
      <c r="GD8" s="125"/>
      <c r="GE8" s="125"/>
      <c r="GF8" s="125"/>
      <c r="GG8" s="125"/>
      <c r="GH8" s="125"/>
      <c r="GI8" s="125"/>
      <c r="GJ8" s="125"/>
      <c r="GK8" s="125"/>
      <c r="GL8" s="125"/>
      <c r="GM8" s="125"/>
      <c r="GN8" s="125"/>
      <c r="GO8" s="125"/>
      <c r="GP8" s="125"/>
      <c r="GQ8" s="125"/>
      <c r="GR8" s="125"/>
      <c r="GS8" s="125"/>
      <c r="GT8" s="125"/>
      <c r="GU8" s="125"/>
      <c r="GV8" s="125"/>
      <c r="GW8" s="125"/>
      <c r="GX8" s="125"/>
      <c r="GY8" s="125"/>
      <c r="GZ8" s="125"/>
      <c r="HA8" s="125"/>
      <c r="HB8" s="125"/>
      <c r="HC8" s="125"/>
      <c r="HD8" s="125"/>
      <c r="HE8" s="125"/>
      <c r="HF8" s="125"/>
      <c r="HG8" s="125"/>
      <c r="HH8" s="125"/>
      <c r="HI8" s="125"/>
      <c r="HJ8" s="125"/>
      <c r="HK8" s="125"/>
      <c r="HL8" s="125"/>
      <c r="HM8" s="125"/>
      <c r="HN8" s="125"/>
      <c r="HO8" s="125"/>
      <c r="HP8" s="125"/>
      <c r="HQ8" s="125"/>
      <c r="HR8" s="125"/>
      <c r="HS8" s="125"/>
      <c r="HT8" s="125"/>
      <c r="HU8" s="125"/>
      <c r="HV8" s="125"/>
      <c r="HW8" s="125"/>
      <c r="HX8" s="125"/>
      <c r="HY8" s="125"/>
      <c r="HZ8" s="125"/>
      <c r="IA8" s="125"/>
      <c r="IB8" s="125"/>
      <c r="IC8" s="125"/>
      <c r="ID8" s="125"/>
      <c r="IE8" s="125"/>
      <c r="IF8" s="125"/>
      <c r="IG8" s="125"/>
      <c r="IH8" s="125"/>
      <c r="II8" s="125"/>
      <c r="IJ8" s="125"/>
      <c r="IK8" s="125"/>
      <c r="IL8" s="125"/>
      <c r="IM8" s="125"/>
      <c r="IN8" s="125"/>
      <c r="IO8" s="125"/>
      <c r="IP8" s="125"/>
      <c r="IQ8" s="125"/>
      <c r="IR8" s="125"/>
      <c r="IS8" s="125"/>
    </row>
    <row r="9" spans="1:253" x14ac:dyDescent="0.2">
      <c r="A9" s="385" t="s">
        <v>3</v>
      </c>
      <c r="B9" s="199"/>
      <c r="C9" s="198" t="s">
        <v>7</v>
      </c>
      <c r="D9" s="393" t="str">
        <f>CARAT_!$F$54</f>
        <v>MES DE DICIEMBRE DE 2022</v>
      </c>
      <c r="E9" s="202"/>
      <c r="F9" s="400"/>
      <c r="G9" s="122"/>
      <c r="H9" s="122"/>
      <c r="I9" s="705"/>
      <c r="J9" s="122"/>
      <c r="K9" s="139"/>
      <c r="L9" s="139"/>
      <c r="M9" s="139"/>
      <c r="N9" s="139"/>
      <c r="O9" s="139"/>
      <c r="P9" s="125"/>
      <c r="Q9" s="125"/>
      <c r="T9" s="125"/>
      <c r="U9" s="125"/>
      <c r="V9" s="125"/>
      <c r="W9" s="125"/>
      <c r="X9" s="125"/>
      <c r="Y9" s="125"/>
      <c r="Z9" s="125"/>
      <c r="AA9" s="125"/>
      <c r="AB9" s="125"/>
      <c r="AC9" s="125"/>
      <c r="AD9" s="125"/>
      <c r="AE9" s="125"/>
      <c r="AF9" s="125"/>
      <c r="AG9" s="125"/>
      <c r="AH9" s="125"/>
      <c r="AI9" s="125"/>
      <c r="AJ9" s="125"/>
      <c r="AK9" s="125"/>
      <c r="AL9" s="125"/>
      <c r="AM9" s="125"/>
      <c r="AN9" s="125"/>
      <c r="AO9" s="125"/>
      <c r="AP9" s="125"/>
      <c r="AQ9" s="125"/>
      <c r="AR9" s="125"/>
      <c r="AS9" s="125"/>
      <c r="AT9" s="125"/>
      <c r="AU9" s="125"/>
      <c r="AV9" s="125"/>
      <c r="AW9" s="125"/>
      <c r="AX9" s="125"/>
      <c r="AY9" s="125"/>
      <c r="AZ9" s="125"/>
      <c r="BA9" s="125"/>
      <c r="BB9" s="125"/>
      <c r="BC9" s="125"/>
      <c r="BD9" s="125"/>
      <c r="BE9" s="125"/>
      <c r="BF9" s="125"/>
      <c r="BG9" s="125"/>
      <c r="BH9" s="125"/>
      <c r="BI9" s="125"/>
      <c r="BJ9" s="125"/>
      <c r="BK9" s="125"/>
      <c r="BL9" s="125"/>
      <c r="BM9" s="125"/>
      <c r="BN9" s="125"/>
      <c r="BO9" s="125"/>
      <c r="BP9" s="125"/>
      <c r="BQ9" s="125"/>
      <c r="BR9" s="125"/>
      <c r="BS9" s="125"/>
      <c r="BT9" s="125"/>
      <c r="BU9" s="125"/>
      <c r="BV9" s="125"/>
      <c r="BW9" s="125"/>
      <c r="BX9" s="125"/>
      <c r="BY9" s="125"/>
      <c r="BZ9" s="125"/>
      <c r="CA9" s="125"/>
      <c r="CB9" s="125"/>
      <c r="CC9" s="125"/>
      <c r="CD9" s="125"/>
      <c r="CE9" s="125"/>
      <c r="CF9" s="125"/>
      <c r="CG9" s="125"/>
      <c r="CH9" s="125"/>
      <c r="CI9" s="125"/>
      <c r="CJ9" s="125"/>
      <c r="CK9" s="125"/>
      <c r="CL9" s="125"/>
      <c r="CM9" s="125"/>
      <c r="CN9" s="125"/>
      <c r="CO9" s="125"/>
      <c r="CP9" s="125"/>
      <c r="CQ9" s="125"/>
      <c r="CR9" s="125"/>
      <c r="CS9" s="125"/>
      <c r="CT9" s="125"/>
      <c r="CU9" s="125"/>
      <c r="CV9" s="125"/>
      <c r="CW9" s="125"/>
      <c r="CX9" s="125"/>
      <c r="CY9" s="125"/>
      <c r="CZ9" s="125"/>
      <c r="DA9" s="125"/>
      <c r="DB9" s="125"/>
      <c r="DC9" s="125"/>
      <c r="DD9" s="125"/>
      <c r="DE9" s="125"/>
      <c r="DF9" s="125"/>
      <c r="DG9" s="125"/>
      <c r="DH9" s="125"/>
      <c r="DI9" s="125"/>
      <c r="DJ9" s="125"/>
      <c r="DK9" s="125"/>
      <c r="DL9" s="125"/>
      <c r="DM9" s="125"/>
      <c r="DN9" s="125"/>
      <c r="DO9" s="125"/>
      <c r="DP9" s="125"/>
      <c r="DQ9" s="125"/>
      <c r="DR9" s="125"/>
      <c r="DS9" s="125"/>
      <c r="DT9" s="125"/>
      <c r="DU9" s="125"/>
      <c r="DV9" s="125"/>
      <c r="DW9" s="125"/>
      <c r="DX9" s="125"/>
      <c r="DY9" s="125"/>
      <c r="DZ9" s="125"/>
      <c r="EA9" s="125"/>
      <c r="EB9" s="125"/>
      <c r="EC9" s="125"/>
      <c r="ED9" s="125"/>
      <c r="EE9" s="125"/>
      <c r="EF9" s="125"/>
      <c r="EG9" s="125"/>
      <c r="EH9" s="125"/>
      <c r="EI9" s="125"/>
      <c r="EJ9" s="125"/>
      <c r="EK9" s="125"/>
      <c r="EL9" s="125"/>
      <c r="EM9" s="125"/>
      <c r="EN9" s="125"/>
      <c r="EO9" s="125"/>
      <c r="EP9" s="125"/>
      <c r="EQ9" s="125"/>
      <c r="ER9" s="125"/>
      <c r="ES9" s="125"/>
      <c r="ET9" s="125"/>
      <c r="EU9" s="125"/>
      <c r="EV9" s="125"/>
      <c r="EW9" s="125"/>
      <c r="EX9" s="125"/>
      <c r="EY9" s="125"/>
      <c r="EZ9" s="125"/>
      <c r="FA9" s="125"/>
      <c r="FB9" s="125"/>
      <c r="FC9" s="125"/>
      <c r="FD9" s="125"/>
      <c r="FE9" s="125"/>
      <c r="FF9" s="125"/>
      <c r="FG9" s="125"/>
      <c r="FH9" s="125"/>
      <c r="FI9" s="125"/>
      <c r="FJ9" s="125"/>
      <c r="FK9" s="125"/>
      <c r="FL9" s="125"/>
      <c r="FM9" s="125"/>
      <c r="FN9" s="125"/>
      <c r="FO9" s="125"/>
      <c r="FP9" s="125"/>
      <c r="FQ9" s="125"/>
      <c r="FR9" s="125"/>
      <c r="FS9" s="125"/>
      <c r="FT9" s="125"/>
      <c r="FU9" s="125"/>
      <c r="FV9" s="125"/>
      <c r="FW9" s="125"/>
      <c r="FX9" s="125"/>
      <c r="FY9" s="125"/>
      <c r="FZ9" s="125"/>
      <c r="GA9" s="125"/>
      <c r="GB9" s="125"/>
      <c r="GC9" s="125"/>
      <c r="GD9" s="125"/>
      <c r="GE9" s="125"/>
      <c r="GF9" s="125"/>
      <c r="GG9" s="125"/>
      <c r="GH9" s="125"/>
      <c r="GI9" s="125"/>
      <c r="GJ9" s="125"/>
      <c r="GK9" s="125"/>
      <c r="GL9" s="125"/>
      <c r="GM9" s="125"/>
      <c r="GN9" s="125"/>
      <c r="GO9" s="125"/>
      <c r="GP9" s="125"/>
      <c r="GQ9" s="125"/>
      <c r="GR9" s="125"/>
      <c r="GS9" s="125"/>
      <c r="GT9" s="125"/>
      <c r="GU9" s="125"/>
      <c r="GV9" s="125"/>
      <c r="GW9" s="125"/>
      <c r="GX9" s="125"/>
      <c r="GY9" s="125"/>
      <c r="GZ9" s="125"/>
      <c r="HA9" s="125"/>
      <c r="HB9" s="125"/>
      <c r="HC9" s="125"/>
      <c r="HD9" s="125"/>
      <c r="HE9" s="125"/>
      <c r="HF9" s="125"/>
      <c r="HG9" s="125"/>
      <c r="HH9" s="125"/>
      <c r="HI9" s="125"/>
      <c r="HJ9" s="125"/>
      <c r="HK9" s="125"/>
      <c r="HL9" s="125"/>
      <c r="HM9" s="125"/>
      <c r="HN9" s="125"/>
      <c r="HO9" s="125"/>
      <c r="HP9" s="125"/>
      <c r="HQ9" s="125"/>
      <c r="HR9" s="125"/>
      <c r="HS9" s="125"/>
      <c r="HT9" s="125"/>
      <c r="HU9" s="125"/>
      <c r="HV9" s="125"/>
      <c r="HW9" s="125"/>
      <c r="HX9" s="125"/>
      <c r="HY9" s="125"/>
      <c r="HZ9" s="125"/>
      <c r="IA9" s="125"/>
      <c r="IB9" s="125"/>
      <c r="IC9" s="125"/>
      <c r="ID9" s="125"/>
      <c r="IE9" s="125"/>
      <c r="IF9" s="125"/>
      <c r="IG9" s="125"/>
      <c r="IH9" s="125"/>
      <c r="II9" s="125"/>
      <c r="IJ9" s="125"/>
      <c r="IK9" s="125"/>
      <c r="IL9" s="125"/>
      <c r="IM9" s="125"/>
      <c r="IN9" s="125"/>
      <c r="IO9" s="125"/>
      <c r="IP9" s="125"/>
      <c r="IQ9" s="125"/>
      <c r="IR9" s="125"/>
      <c r="IS9" s="125"/>
    </row>
    <row r="10" spans="1:253" x14ac:dyDescent="0.2">
      <c r="A10" s="385" t="s">
        <v>4</v>
      </c>
      <c r="B10" s="199"/>
      <c r="C10" s="198" t="s">
        <v>7</v>
      </c>
      <c r="D10" s="394">
        <f>VAL_RES.!Q15</f>
        <v>0</v>
      </c>
      <c r="E10" s="202"/>
      <c r="F10" s="400"/>
      <c r="G10" s="122"/>
      <c r="H10" s="122"/>
      <c r="I10" s="705"/>
      <c r="J10" s="122"/>
      <c r="K10" s="139"/>
      <c r="L10" s="139"/>
      <c r="M10" s="139"/>
      <c r="N10" s="139"/>
      <c r="O10" s="139"/>
      <c r="P10" s="125"/>
      <c r="Q10" s="125"/>
      <c r="T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5"/>
      <c r="AS10" s="125"/>
      <c r="AT10" s="125"/>
      <c r="AU10" s="125"/>
      <c r="AV10" s="125"/>
      <c r="AW10" s="125"/>
      <c r="AX10" s="125"/>
      <c r="AY10" s="125"/>
      <c r="AZ10" s="125"/>
      <c r="BA10" s="125"/>
      <c r="BB10" s="125"/>
      <c r="BC10" s="125"/>
      <c r="BD10" s="125"/>
      <c r="BE10" s="125"/>
      <c r="BF10" s="125"/>
      <c r="BG10" s="125"/>
      <c r="BH10" s="125"/>
      <c r="BI10" s="125"/>
      <c r="BJ10" s="125"/>
      <c r="BK10" s="125"/>
      <c r="BL10" s="125"/>
      <c r="BM10" s="125"/>
      <c r="BN10" s="125"/>
      <c r="BO10" s="125"/>
      <c r="BP10" s="125"/>
      <c r="BQ10" s="125"/>
      <c r="BR10" s="125"/>
      <c r="BS10" s="125"/>
      <c r="BT10" s="125"/>
      <c r="BU10" s="125"/>
      <c r="BV10" s="125"/>
      <c r="BW10" s="125"/>
      <c r="BX10" s="125"/>
      <c r="BY10" s="125"/>
      <c r="BZ10" s="125"/>
      <c r="CA10" s="125"/>
      <c r="CB10" s="125"/>
      <c r="CC10" s="125"/>
      <c r="CD10" s="125"/>
      <c r="CE10" s="125"/>
      <c r="CF10" s="125"/>
      <c r="CG10" s="125"/>
      <c r="CH10" s="125"/>
      <c r="CI10" s="125"/>
      <c r="CJ10" s="125"/>
      <c r="CK10" s="125"/>
      <c r="CL10" s="125"/>
      <c r="CM10" s="125"/>
      <c r="CN10" s="125"/>
      <c r="CO10" s="125"/>
      <c r="CP10" s="125"/>
      <c r="CQ10" s="125"/>
      <c r="CR10" s="125"/>
      <c r="CS10" s="125"/>
      <c r="CT10" s="125"/>
      <c r="CU10" s="125"/>
      <c r="CV10" s="125"/>
      <c r="CW10" s="125"/>
      <c r="CX10" s="125"/>
      <c r="CY10" s="125"/>
      <c r="CZ10" s="125"/>
      <c r="DA10" s="125"/>
      <c r="DB10" s="125"/>
      <c r="DC10" s="125"/>
      <c r="DD10" s="125"/>
      <c r="DE10" s="125"/>
      <c r="DF10" s="125"/>
      <c r="DG10" s="125"/>
      <c r="DH10" s="125"/>
      <c r="DI10" s="125"/>
      <c r="DJ10" s="125"/>
      <c r="DK10" s="125"/>
      <c r="DL10" s="125"/>
      <c r="DM10" s="125"/>
      <c r="DN10" s="125"/>
      <c r="DO10" s="125"/>
      <c r="DP10" s="125"/>
      <c r="DQ10" s="125"/>
      <c r="DR10" s="125"/>
      <c r="DS10" s="125"/>
      <c r="DT10" s="125"/>
      <c r="DU10" s="125"/>
      <c r="DV10" s="125"/>
      <c r="DW10" s="125"/>
      <c r="DX10" s="125"/>
      <c r="DY10" s="125"/>
      <c r="DZ10" s="125"/>
      <c r="EA10" s="125"/>
      <c r="EB10" s="125"/>
      <c r="EC10" s="125"/>
      <c r="ED10" s="125"/>
      <c r="EE10" s="125"/>
      <c r="EF10" s="125"/>
      <c r="EG10" s="125"/>
      <c r="EH10" s="125"/>
      <c r="EI10" s="125"/>
      <c r="EJ10" s="125"/>
      <c r="EK10" s="125"/>
      <c r="EL10" s="125"/>
      <c r="EM10" s="125"/>
      <c r="EN10" s="125"/>
      <c r="EO10" s="125"/>
      <c r="EP10" s="125"/>
      <c r="EQ10" s="125"/>
      <c r="ER10" s="125"/>
      <c r="ES10" s="125"/>
      <c r="ET10" s="125"/>
      <c r="EU10" s="125"/>
      <c r="EV10" s="125"/>
      <c r="EW10" s="125"/>
      <c r="EX10" s="125"/>
      <c r="EY10" s="125"/>
      <c r="EZ10" s="125"/>
      <c r="FA10" s="125"/>
      <c r="FB10" s="125"/>
      <c r="FC10" s="125"/>
      <c r="FD10" s="125"/>
      <c r="FE10" s="125"/>
      <c r="FF10" s="125"/>
      <c r="FG10" s="125"/>
      <c r="FH10" s="125"/>
      <c r="FI10" s="125"/>
      <c r="FJ10" s="125"/>
      <c r="FK10" s="125"/>
      <c r="FL10" s="125"/>
      <c r="FM10" s="125"/>
      <c r="FN10" s="125"/>
      <c r="FO10" s="125"/>
      <c r="FP10" s="125"/>
      <c r="FQ10" s="125"/>
      <c r="FR10" s="125"/>
      <c r="FS10" s="125"/>
      <c r="FT10" s="125"/>
      <c r="FU10" s="125"/>
      <c r="FV10" s="125"/>
      <c r="FW10" s="125"/>
      <c r="FX10" s="125"/>
      <c r="FY10" s="125"/>
      <c r="FZ10" s="125"/>
      <c r="GA10" s="125"/>
      <c r="GB10" s="125"/>
      <c r="GC10" s="125"/>
      <c r="GD10" s="125"/>
      <c r="GE10" s="125"/>
      <c r="GF10" s="125"/>
      <c r="GG10" s="125"/>
      <c r="GH10" s="125"/>
      <c r="GI10" s="125"/>
      <c r="GJ10" s="125"/>
      <c r="GK10" s="125"/>
      <c r="GL10" s="125"/>
      <c r="GM10" s="125"/>
      <c r="GN10" s="125"/>
      <c r="GO10" s="125"/>
      <c r="GP10" s="125"/>
      <c r="GQ10" s="125"/>
      <c r="GR10" s="125"/>
      <c r="GS10" s="125"/>
      <c r="GT10" s="125"/>
      <c r="GU10" s="125"/>
      <c r="GV10" s="125"/>
      <c r="GW10" s="125"/>
      <c r="GX10" s="125"/>
      <c r="GY10" s="125"/>
      <c r="GZ10" s="125"/>
      <c r="HA10" s="125"/>
      <c r="HB10" s="125"/>
      <c r="HC10" s="125"/>
      <c r="HD10" s="125"/>
      <c r="HE10" s="125"/>
      <c r="HF10" s="125"/>
      <c r="HG10" s="125"/>
      <c r="HH10" s="125"/>
      <c r="HI10" s="125"/>
      <c r="HJ10" s="125"/>
      <c r="HK10" s="125"/>
      <c r="HL10" s="125"/>
      <c r="HM10" s="125"/>
      <c r="HN10" s="125"/>
      <c r="HO10" s="125"/>
      <c r="HP10" s="125"/>
      <c r="HQ10" s="125"/>
      <c r="HR10" s="125"/>
      <c r="HS10" s="125"/>
      <c r="HT10" s="125"/>
      <c r="HU10" s="125"/>
      <c r="HV10" s="125"/>
      <c r="HW10" s="125"/>
      <c r="HX10" s="125"/>
      <c r="HY10" s="125"/>
      <c r="HZ10" s="125"/>
      <c r="IA10" s="125"/>
      <c r="IB10" s="125"/>
      <c r="IC10" s="125"/>
      <c r="ID10" s="125"/>
      <c r="IE10" s="125"/>
      <c r="IF10" s="125"/>
      <c r="IG10" s="125"/>
      <c r="IH10" s="125"/>
      <c r="II10" s="125"/>
      <c r="IJ10" s="125"/>
      <c r="IK10" s="125"/>
      <c r="IL10" s="125"/>
      <c r="IM10" s="125"/>
      <c r="IN10" s="125"/>
      <c r="IO10" s="125"/>
      <c r="IP10" s="125"/>
      <c r="IQ10" s="125"/>
      <c r="IR10" s="125"/>
      <c r="IS10" s="125"/>
    </row>
    <row r="11" spans="1:253" ht="10.8" thickBot="1" x14ac:dyDescent="0.25">
      <c r="A11" s="203"/>
      <c r="B11" s="125"/>
      <c r="E11" s="202"/>
      <c r="F11" s="400"/>
      <c r="G11" s="122"/>
      <c r="H11" s="122"/>
      <c r="I11" s="705"/>
      <c r="J11" s="122"/>
      <c r="K11" s="139"/>
      <c r="L11" s="139"/>
      <c r="M11" s="139"/>
      <c r="N11" s="139"/>
      <c r="O11" s="139"/>
      <c r="P11" s="125"/>
      <c r="Q11" s="125"/>
      <c r="T11" s="125"/>
      <c r="U11" s="125"/>
      <c r="V11" s="125"/>
      <c r="W11" s="125"/>
      <c r="X11" s="125"/>
      <c r="Y11" s="125"/>
      <c r="Z11" s="125"/>
      <c r="AA11" s="125"/>
      <c r="AB11" s="125"/>
      <c r="AC11" s="125"/>
      <c r="AD11" s="125"/>
      <c r="AE11" s="125"/>
      <c r="AF11" s="125"/>
      <c r="AG11" s="125"/>
      <c r="AH11" s="125"/>
      <c r="AI11" s="125"/>
      <c r="AJ11" s="125"/>
      <c r="AK11" s="125"/>
      <c r="AL11" s="125"/>
      <c r="AM11" s="125"/>
      <c r="AN11" s="125"/>
      <c r="AO11" s="125"/>
      <c r="AP11" s="125"/>
      <c r="AQ11" s="125"/>
      <c r="AR11" s="125"/>
      <c r="AS11" s="125"/>
      <c r="AT11" s="125"/>
      <c r="AU11" s="125"/>
      <c r="AV11" s="125"/>
      <c r="AW11" s="125"/>
      <c r="AX11" s="125"/>
      <c r="AY11" s="125"/>
      <c r="AZ11" s="125"/>
      <c r="BA11" s="125"/>
      <c r="BB11" s="125"/>
      <c r="BC11" s="125"/>
      <c r="BD11" s="125"/>
      <c r="BE11" s="125"/>
      <c r="BF11" s="125"/>
      <c r="BG11" s="125"/>
      <c r="BH11" s="125"/>
      <c r="BI11" s="125"/>
      <c r="BJ11" s="125"/>
      <c r="BK11" s="125"/>
      <c r="BL11" s="125"/>
      <c r="BM11" s="125"/>
      <c r="BN11" s="125"/>
      <c r="BO11" s="125"/>
      <c r="BP11" s="125"/>
      <c r="BQ11" s="125"/>
      <c r="BR11" s="125"/>
      <c r="BS11" s="125"/>
      <c r="BT11" s="125"/>
      <c r="BU11" s="125"/>
      <c r="BV11" s="125"/>
      <c r="BW11" s="125"/>
      <c r="BX11" s="125"/>
      <c r="BY11" s="125"/>
      <c r="BZ11" s="125"/>
      <c r="CA11" s="125"/>
      <c r="CB11" s="125"/>
      <c r="CC11" s="125"/>
      <c r="CD11" s="125"/>
      <c r="CE11" s="125"/>
      <c r="CF11" s="125"/>
      <c r="CG11" s="125"/>
      <c r="CH11" s="125"/>
      <c r="CI11" s="125"/>
      <c r="CJ11" s="125"/>
      <c r="CK11" s="125"/>
      <c r="CL11" s="125"/>
      <c r="CM11" s="125"/>
      <c r="CN11" s="125"/>
      <c r="CO11" s="125"/>
      <c r="CP11" s="125"/>
      <c r="CQ11" s="125"/>
      <c r="CR11" s="125"/>
      <c r="CS11" s="125"/>
      <c r="CT11" s="125"/>
      <c r="CU11" s="125"/>
      <c r="CV11" s="125"/>
      <c r="CW11" s="125"/>
      <c r="CX11" s="125"/>
      <c r="CY11" s="125"/>
      <c r="CZ11" s="125"/>
      <c r="DA11" s="125"/>
      <c r="DB11" s="125"/>
      <c r="DC11" s="125"/>
      <c r="DD11" s="125"/>
      <c r="DE11" s="125"/>
      <c r="DF11" s="125"/>
      <c r="DG11" s="125"/>
      <c r="DH11" s="125"/>
      <c r="DI11" s="125"/>
      <c r="DJ11" s="125"/>
      <c r="DK11" s="125"/>
      <c r="DL11" s="125"/>
      <c r="DM11" s="125"/>
      <c r="DN11" s="125"/>
      <c r="DO11" s="125"/>
      <c r="DP11" s="125"/>
      <c r="DQ11" s="125"/>
      <c r="DR11" s="125"/>
      <c r="DS11" s="125"/>
      <c r="DT11" s="125"/>
      <c r="DU11" s="125"/>
      <c r="DV11" s="125"/>
      <c r="DW11" s="125"/>
      <c r="DX11" s="125"/>
      <c r="DY11" s="125"/>
      <c r="DZ11" s="125"/>
      <c r="EA11" s="125"/>
      <c r="EB11" s="125"/>
      <c r="EC11" s="125"/>
      <c r="ED11" s="125"/>
      <c r="EE11" s="125"/>
      <c r="EF11" s="125"/>
      <c r="EG11" s="125"/>
      <c r="EH11" s="125"/>
      <c r="EI11" s="125"/>
      <c r="EJ11" s="125"/>
      <c r="EK11" s="125"/>
      <c r="EL11" s="125"/>
      <c r="EM11" s="125"/>
      <c r="EN11" s="125"/>
      <c r="EO11" s="125"/>
      <c r="EP11" s="125"/>
      <c r="EQ11" s="125"/>
      <c r="ER11" s="125"/>
      <c r="ES11" s="125"/>
      <c r="ET11" s="125"/>
      <c r="EU11" s="125"/>
      <c r="EV11" s="125"/>
      <c r="EW11" s="125"/>
      <c r="EX11" s="125"/>
      <c r="EY11" s="125"/>
      <c r="EZ11" s="125"/>
      <c r="FA11" s="125"/>
      <c r="FB11" s="125"/>
      <c r="FC11" s="125"/>
      <c r="FD11" s="125"/>
      <c r="FE11" s="125"/>
      <c r="FF11" s="125"/>
      <c r="FG11" s="125"/>
      <c r="FH11" s="125"/>
      <c r="FI11" s="125"/>
      <c r="FJ11" s="125"/>
      <c r="FK11" s="125"/>
      <c r="FL11" s="125"/>
      <c r="FM11" s="125"/>
      <c r="FN11" s="125"/>
      <c r="FO11" s="125"/>
      <c r="FP11" s="125"/>
      <c r="FQ11" s="125"/>
      <c r="FR11" s="125"/>
      <c r="FS11" s="125"/>
      <c r="FT11" s="125"/>
      <c r="FU11" s="125"/>
      <c r="FV11" s="125"/>
      <c r="FW11" s="125"/>
      <c r="FX11" s="125"/>
      <c r="FY11" s="125"/>
      <c r="FZ11" s="125"/>
      <c r="GA11" s="125"/>
      <c r="GB11" s="125"/>
      <c r="GC11" s="125"/>
      <c r="GD11" s="125"/>
      <c r="GE11" s="125"/>
      <c r="GF11" s="125"/>
      <c r="GG11" s="125"/>
      <c r="GH11" s="125"/>
      <c r="GI11" s="125"/>
      <c r="GJ11" s="125"/>
      <c r="GK11" s="125"/>
      <c r="GL11" s="125"/>
      <c r="GM11" s="125"/>
      <c r="GN11" s="125"/>
      <c r="GO11" s="125"/>
      <c r="GP11" s="125"/>
      <c r="GQ11" s="125"/>
      <c r="GR11" s="125"/>
      <c r="GS11" s="125"/>
      <c r="GT11" s="125"/>
      <c r="GU11" s="125"/>
      <c r="GV11" s="125"/>
      <c r="GW11" s="125"/>
      <c r="GX11" s="125"/>
      <c r="GY11" s="125"/>
      <c r="GZ11" s="125"/>
      <c r="HA11" s="125"/>
      <c r="HB11" s="125"/>
      <c r="HC11" s="125"/>
      <c r="HD11" s="125"/>
      <c r="HE11" s="125"/>
      <c r="HF11" s="125"/>
      <c r="HG11" s="125"/>
      <c r="HH11" s="125"/>
      <c r="HI11" s="125"/>
      <c r="HJ11" s="125"/>
      <c r="HK11" s="125"/>
      <c r="HL11" s="125"/>
      <c r="HM11" s="125"/>
      <c r="HN11" s="125"/>
      <c r="HO11" s="125"/>
      <c r="HP11" s="125"/>
      <c r="HQ11" s="125"/>
      <c r="HR11" s="125"/>
      <c r="HS11" s="125"/>
      <c r="HT11" s="125"/>
      <c r="HU11" s="125"/>
      <c r="HV11" s="125"/>
      <c r="HW11" s="125"/>
      <c r="HX11" s="125"/>
      <c r="HY11" s="125"/>
      <c r="HZ11" s="125"/>
      <c r="IA11" s="125"/>
      <c r="IB11" s="125"/>
      <c r="IC11" s="125"/>
      <c r="ID11" s="125"/>
      <c r="IE11" s="125"/>
      <c r="IF11" s="125"/>
      <c r="IG11" s="125"/>
      <c r="IH11" s="125"/>
      <c r="II11" s="125"/>
      <c r="IJ11" s="125"/>
      <c r="IK11" s="125"/>
      <c r="IL11" s="125"/>
      <c r="IM11" s="125"/>
      <c r="IN11" s="125"/>
      <c r="IO11" s="125"/>
      <c r="IP11" s="125"/>
      <c r="IQ11" s="125"/>
      <c r="IR11" s="125"/>
      <c r="IS11" s="125"/>
    </row>
    <row r="12" spans="1:253" x14ac:dyDescent="0.2">
      <c r="A12" s="2210" t="s">
        <v>8</v>
      </c>
      <c r="B12" s="187" t="s">
        <v>9</v>
      </c>
      <c r="C12" s="2212" t="s">
        <v>283</v>
      </c>
      <c r="D12" s="2213"/>
      <c r="E12" s="2214"/>
      <c r="F12" s="2215"/>
      <c r="G12" s="2216" t="s">
        <v>300</v>
      </c>
      <c r="H12" s="2217"/>
      <c r="I12" s="2206" t="s">
        <v>10</v>
      </c>
      <c r="J12" s="2208"/>
      <c r="K12" s="2206" t="s">
        <v>11</v>
      </c>
      <c r="L12" s="2207"/>
      <c r="M12" s="2208"/>
      <c r="N12" s="2206" t="s">
        <v>12</v>
      </c>
      <c r="O12" s="2208"/>
      <c r="P12" s="125"/>
      <c r="Q12" s="125"/>
      <c r="T12" s="125"/>
      <c r="U12" s="125"/>
      <c r="V12" s="125"/>
      <c r="W12" s="125"/>
      <c r="X12" s="125"/>
      <c r="Y12" s="125"/>
      <c r="Z12" s="125"/>
      <c r="AA12" s="125"/>
      <c r="AB12" s="125"/>
      <c r="AC12" s="125"/>
      <c r="AD12" s="125"/>
      <c r="AE12" s="125"/>
      <c r="AF12" s="125"/>
      <c r="AG12" s="125"/>
      <c r="AH12" s="125"/>
      <c r="AI12" s="125"/>
      <c r="AJ12" s="125"/>
      <c r="AK12" s="125"/>
      <c r="AL12" s="125"/>
      <c r="AM12" s="125"/>
      <c r="AN12" s="125"/>
      <c r="AO12" s="125"/>
      <c r="AP12" s="125"/>
      <c r="AQ12" s="125"/>
      <c r="AR12" s="125"/>
      <c r="AS12" s="125"/>
      <c r="AT12" s="125"/>
      <c r="AU12" s="125"/>
      <c r="AV12" s="125"/>
      <c r="AW12" s="125"/>
      <c r="AX12" s="125"/>
      <c r="AY12" s="125"/>
      <c r="AZ12" s="125"/>
      <c r="BA12" s="125"/>
      <c r="BB12" s="125"/>
      <c r="BC12" s="125"/>
      <c r="BD12" s="125"/>
      <c r="BE12" s="125"/>
      <c r="BF12" s="125"/>
      <c r="BG12" s="125"/>
      <c r="BH12" s="125"/>
      <c r="BI12" s="125"/>
      <c r="BJ12" s="125"/>
      <c r="BK12" s="125"/>
      <c r="BL12" s="125"/>
      <c r="BM12" s="125"/>
      <c r="BN12" s="125"/>
      <c r="BO12" s="125"/>
      <c r="BP12" s="125"/>
      <c r="BQ12" s="125"/>
      <c r="BR12" s="125"/>
      <c r="BS12" s="125"/>
      <c r="BT12" s="125"/>
      <c r="BU12" s="125"/>
      <c r="BV12" s="125"/>
      <c r="BW12" s="125"/>
      <c r="BX12" s="125"/>
      <c r="BY12" s="125"/>
      <c r="BZ12" s="125"/>
      <c r="CA12" s="125"/>
      <c r="CB12" s="125"/>
      <c r="CC12" s="125"/>
      <c r="CD12" s="125"/>
      <c r="CE12" s="125"/>
      <c r="CF12" s="125"/>
      <c r="CG12" s="125"/>
      <c r="CH12" s="125"/>
      <c r="CI12" s="125"/>
      <c r="CJ12" s="125"/>
      <c r="CK12" s="125"/>
      <c r="CL12" s="125"/>
      <c r="CM12" s="125"/>
      <c r="CN12" s="125"/>
      <c r="CO12" s="125"/>
      <c r="CP12" s="125"/>
      <c r="CQ12" s="125"/>
      <c r="CR12" s="125"/>
      <c r="CS12" s="125"/>
      <c r="CT12" s="125"/>
      <c r="CU12" s="125"/>
      <c r="CV12" s="125"/>
      <c r="CW12" s="125"/>
      <c r="CX12" s="125"/>
      <c r="CY12" s="125"/>
      <c r="CZ12" s="125"/>
      <c r="DA12" s="125"/>
      <c r="DB12" s="125"/>
      <c r="DC12" s="125"/>
      <c r="DD12" s="125"/>
      <c r="DE12" s="125"/>
      <c r="DF12" s="125"/>
      <c r="DG12" s="125"/>
      <c r="DH12" s="125"/>
      <c r="DI12" s="125"/>
      <c r="DJ12" s="125"/>
      <c r="DK12" s="125"/>
      <c r="DL12" s="125"/>
      <c r="DM12" s="125"/>
      <c r="DN12" s="125"/>
      <c r="DO12" s="125"/>
      <c r="DP12" s="125"/>
      <c r="DQ12" s="125"/>
      <c r="DR12" s="125"/>
      <c r="DS12" s="125"/>
      <c r="DT12" s="125"/>
      <c r="DU12" s="125"/>
      <c r="DV12" s="125"/>
      <c r="DW12" s="125"/>
      <c r="DX12" s="125"/>
      <c r="DY12" s="125"/>
      <c r="DZ12" s="125"/>
      <c r="EA12" s="125"/>
      <c r="EB12" s="125"/>
      <c r="EC12" s="125"/>
      <c r="ED12" s="125"/>
      <c r="EE12" s="125"/>
      <c r="EF12" s="125"/>
      <c r="EG12" s="125"/>
      <c r="EH12" s="125"/>
      <c r="EI12" s="125"/>
      <c r="EJ12" s="125"/>
      <c r="EK12" s="125"/>
      <c r="EL12" s="125"/>
      <c r="EM12" s="125"/>
      <c r="EN12" s="125"/>
      <c r="EO12" s="125"/>
      <c r="EP12" s="125"/>
      <c r="EQ12" s="125"/>
      <c r="ER12" s="125"/>
      <c r="ES12" s="125"/>
      <c r="ET12" s="125"/>
      <c r="EU12" s="125"/>
      <c r="EV12" s="125"/>
      <c r="EW12" s="125"/>
      <c r="EX12" s="125"/>
      <c r="EY12" s="125"/>
      <c r="EZ12" s="125"/>
      <c r="FA12" s="125"/>
      <c r="FB12" s="125"/>
      <c r="FC12" s="125"/>
      <c r="FD12" s="125"/>
      <c r="FE12" s="125"/>
      <c r="FF12" s="125"/>
      <c r="FG12" s="125"/>
      <c r="FH12" s="125"/>
      <c r="FI12" s="125"/>
      <c r="FJ12" s="125"/>
      <c r="FK12" s="125"/>
      <c r="FL12" s="125"/>
      <c r="FM12" s="125"/>
      <c r="FN12" s="125"/>
      <c r="FO12" s="125"/>
      <c r="FP12" s="125"/>
      <c r="FQ12" s="125"/>
      <c r="FR12" s="125"/>
      <c r="FS12" s="125"/>
      <c r="FT12" s="125"/>
      <c r="FU12" s="125"/>
      <c r="FV12" s="125"/>
      <c r="FW12" s="125"/>
      <c r="FX12" s="125"/>
      <c r="FY12" s="125"/>
      <c r="FZ12" s="125"/>
      <c r="GA12" s="125"/>
      <c r="GB12" s="125"/>
      <c r="GC12" s="125"/>
      <c r="GD12" s="125"/>
      <c r="GE12" s="125"/>
      <c r="GF12" s="125"/>
      <c r="GG12" s="125"/>
      <c r="GH12" s="125"/>
      <c r="GI12" s="125"/>
      <c r="GJ12" s="125"/>
      <c r="GK12" s="125"/>
      <c r="GL12" s="125"/>
      <c r="GM12" s="125"/>
      <c r="GN12" s="125"/>
      <c r="GO12" s="125"/>
      <c r="GP12" s="125"/>
      <c r="GQ12" s="125"/>
      <c r="GR12" s="125"/>
      <c r="GS12" s="125"/>
      <c r="GT12" s="125"/>
      <c r="GU12" s="125"/>
      <c r="GV12" s="125"/>
      <c r="GW12" s="125"/>
      <c r="GX12" s="125"/>
      <c r="GY12" s="125"/>
      <c r="GZ12" s="125"/>
      <c r="HA12" s="125"/>
      <c r="HB12" s="125"/>
      <c r="HC12" s="125"/>
      <c r="HD12" s="125"/>
      <c r="HE12" s="125"/>
      <c r="HF12" s="125"/>
      <c r="HG12" s="125"/>
      <c r="HH12" s="125"/>
      <c r="HI12" s="125"/>
      <c r="HJ12" s="125"/>
      <c r="HK12" s="125"/>
      <c r="HL12" s="125"/>
      <c r="HM12" s="125"/>
      <c r="HN12" s="125"/>
      <c r="HO12" s="125"/>
      <c r="HP12" s="125"/>
      <c r="HQ12" s="125"/>
      <c r="HR12" s="125"/>
      <c r="HS12" s="125"/>
      <c r="HT12" s="125"/>
      <c r="HU12" s="125"/>
      <c r="HV12" s="125"/>
      <c r="HW12" s="125"/>
      <c r="HX12" s="125"/>
      <c r="HY12" s="125"/>
      <c r="HZ12" s="125"/>
      <c r="IA12" s="125"/>
      <c r="IB12" s="125"/>
      <c r="IC12" s="125"/>
      <c r="ID12" s="125"/>
      <c r="IE12" s="125"/>
      <c r="IF12" s="125"/>
      <c r="IG12" s="125"/>
      <c r="IH12" s="125"/>
      <c r="II12" s="125"/>
      <c r="IJ12" s="125"/>
      <c r="IK12" s="125"/>
      <c r="IL12" s="125"/>
      <c r="IM12" s="125"/>
      <c r="IN12" s="125"/>
      <c r="IO12" s="125"/>
      <c r="IP12" s="125"/>
      <c r="IQ12" s="125"/>
      <c r="IR12" s="125"/>
      <c r="IS12" s="125"/>
    </row>
    <row r="13" spans="1:253" ht="10.8" thickBot="1" x14ac:dyDescent="0.25">
      <c r="A13" s="2211"/>
      <c r="B13" s="373"/>
      <c r="C13" s="372" t="s">
        <v>13</v>
      </c>
      <c r="D13" s="395" t="s">
        <v>14</v>
      </c>
      <c r="E13" s="165" t="s">
        <v>15</v>
      </c>
      <c r="F13" s="458" t="s">
        <v>16</v>
      </c>
      <c r="G13" s="160" t="s">
        <v>14</v>
      </c>
      <c r="H13" s="161" t="s">
        <v>16</v>
      </c>
      <c r="I13" s="487" t="s">
        <v>14</v>
      </c>
      <c r="J13" s="161" t="s">
        <v>16</v>
      </c>
      <c r="K13" s="160" t="s">
        <v>14</v>
      </c>
      <c r="L13" s="162" t="s">
        <v>16</v>
      </c>
      <c r="M13" s="161" t="s">
        <v>17</v>
      </c>
      <c r="N13" s="160" t="s">
        <v>14</v>
      </c>
      <c r="O13" s="374" t="s">
        <v>16</v>
      </c>
      <c r="P13" s="125"/>
      <c r="Q13" s="125"/>
      <c r="T13" s="125"/>
      <c r="U13" s="125"/>
      <c r="V13" s="125"/>
      <c r="W13" s="125"/>
      <c r="X13" s="125"/>
      <c r="Y13" s="125"/>
      <c r="Z13" s="125"/>
      <c r="AA13" s="125"/>
      <c r="AB13" s="125"/>
      <c r="AC13" s="125"/>
      <c r="AD13" s="125"/>
      <c r="AE13" s="125"/>
      <c r="AF13" s="125"/>
      <c r="AG13" s="125"/>
      <c r="AH13" s="125"/>
      <c r="AI13" s="125"/>
      <c r="AJ13" s="125"/>
      <c r="AK13" s="125"/>
      <c r="AL13" s="125"/>
      <c r="AM13" s="125"/>
      <c r="AN13" s="125"/>
      <c r="AO13" s="125"/>
      <c r="AP13" s="125"/>
      <c r="AQ13" s="125"/>
      <c r="AR13" s="125"/>
      <c r="AS13" s="125"/>
      <c r="AT13" s="125"/>
      <c r="AU13" s="125"/>
      <c r="AV13" s="125"/>
      <c r="AW13" s="125"/>
      <c r="AX13" s="125"/>
      <c r="AY13" s="125"/>
      <c r="AZ13" s="125"/>
      <c r="BA13" s="125"/>
      <c r="BB13" s="125"/>
      <c r="BC13" s="125"/>
      <c r="BD13" s="125"/>
      <c r="BE13" s="125"/>
      <c r="BF13" s="125"/>
      <c r="BG13" s="125"/>
      <c r="BH13" s="125"/>
      <c r="BI13" s="125"/>
      <c r="BJ13" s="125"/>
      <c r="BK13" s="125"/>
      <c r="BL13" s="125"/>
      <c r="BM13" s="125"/>
      <c r="BN13" s="125"/>
      <c r="BO13" s="125"/>
      <c r="BP13" s="125"/>
      <c r="BQ13" s="125"/>
      <c r="BR13" s="125"/>
      <c r="BS13" s="125"/>
      <c r="BT13" s="125"/>
      <c r="BU13" s="125"/>
      <c r="BV13" s="125"/>
      <c r="BW13" s="125"/>
      <c r="BX13" s="125"/>
      <c r="BY13" s="125"/>
      <c r="BZ13" s="125"/>
      <c r="CA13" s="125"/>
      <c r="CB13" s="125"/>
      <c r="CC13" s="125"/>
      <c r="CD13" s="125"/>
      <c r="CE13" s="125"/>
      <c r="CF13" s="125"/>
      <c r="CG13" s="125"/>
      <c r="CH13" s="125"/>
      <c r="CI13" s="125"/>
      <c r="CJ13" s="125"/>
      <c r="CK13" s="125"/>
      <c r="CL13" s="125"/>
      <c r="CM13" s="125"/>
      <c r="CN13" s="125"/>
      <c r="CO13" s="125"/>
      <c r="CP13" s="125"/>
      <c r="CQ13" s="125"/>
      <c r="CR13" s="125"/>
      <c r="CS13" s="125"/>
      <c r="CT13" s="125"/>
      <c r="CU13" s="125"/>
      <c r="CV13" s="125"/>
      <c r="CW13" s="125"/>
      <c r="CX13" s="125"/>
      <c r="CY13" s="125"/>
      <c r="CZ13" s="125"/>
      <c r="DA13" s="125"/>
      <c r="DB13" s="125"/>
      <c r="DC13" s="125"/>
      <c r="DD13" s="125"/>
      <c r="DE13" s="125"/>
      <c r="DF13" s="125"/>
      <c r="DG13" s="125"/>
      <c r="DH13" s="125"/>
      <c r="DI13" s="125"/>
      <c r="DJ13" s="125"/>
      <c r="DK13" s="125"/>
      <c r="DL13" s="125"/>
      <c r="DM13" s="125"/>
      <c r="DN13" s="125"/>
      <c r="DO13" s="125"/>
      <c r="DP13" s="125"/>
      <c r="DQ13" s="125"/>
      <c r="DR13" s="125"/>
      <c r="DS13" s="125"/>
      <c r="DT13" s="125"/>
      <c r="DU13" s="125"/>
      <c r="DV13" s="125"/>
      <c r="DW13" s="125"/>
      <c r="DX13" s="125"/>
      <c r="DY13" s="125"/>
      <c r="DZ13" s="125"/>
      <c r="EA13" s="125"/>
      <c r="EB13" s="125"/>
      <c r="EC13" s="125"/>
      <c r="ED13" s="125"/>
      <c r="EE13" s="125"/>
      <c r="EF13" s="125"/>
      <c r="EG13" s="125"/>
      <c r="EH13" s="125"/>
      <c r="EI13" s="125"/>
      <c r="EJ13" s="125"/>
      <c r="EK13" s="125"/>
      <c r="EL13" s="125"/>
      <c r="EM13" s="125"/>
      <c r="EN13" s="125"/>
      <c r="EO13" s="125"/>
      <c r="EP13" s="125"/>
      <c r="EQ13" s="125"/>
      <c r="ER13" s="125"/>
      <c r="ES13" s="125"/>
      <c r="ET13" s="125"/>
      <c r="EU13" s="125"/>
      <c r="EV13" s="125"/>
      <c r="EW13" s="125"/>
      <c r="EX13" s="125"/>
      <c r="EY13" s="125"/>
      <c r="EZ13" s="125"/>
      <c r="FA13" s="125"/>
      <c r="FB13" s="125"/>
      <c r="FC13" s="125"/>
      <c r="FD13" s="125"/>
      <c r="FE13" s="125"/>
      <c r="FF13" s="125"/>
      <c r="FG13" s="125"/>
      <c r="FH13" s="125"/>
      <c r="FI13" s="125"/>
      <c r="FJ13" s="125"/>
      <c r="FK13" s="125"/>
      <c r="FL13" s="125"/>
      <c r="FM13" s="125"/>
      <c r="FN13" s="125"/>
      <c r="FO13" s="125"/>
      <c r="FP13" s="125"/>
      <c r="FQ13" s="125"/>
      <c r="FR13" s="125"/>
      <c r="FS13" s="125"/>
      <c r="FT13" s="125"/>
      <c r="FU13" s="125"/>
      <c r="FV13" s="125"/>
      <c r="FW13" s="125"/>
      <c r="FX13" s="125"/>
      <c r="FY13" s="125"/>
      <c r="FZ13" s="125"/>
      <c r="GA13" s="125"/>
      <c r="GB13" s="125"/>
      <c r="GC13" s="125"/>
      <c r="GD13" s="125"/>
      <c r="GE13" s="125"/>
      <c r="GF13" s="125"/>
      <c r="GG13" s="125"/>
      <c r="GH13" s="125"/>
      <c r="GI13" s="125"/>
      <c r="GJ13" s="125"/>
      <c r="GK13" s="125"/>
      <c r="GL13" s="125"/>
      <c r="GM13" s="125"/>
      <c r="GN13" s="125"/>
      <c r="GO13" s="125"/>
      <c r="GP13" s="125"/>
      <c r="GQ13" s="125"/>
      <c r="GR13" s="125"/>
      <c r="GS13" s="125"/>
      <c r="GT13" s="125"/>
      <c r="GU13" s="125"/>
      <c r="GV13" s="125"/>
      <c r="GW13" s="125"/>
      <c r="GX13" s="125"/>
      <c r="GY13" s="125"/>
      <c r="GZ13" s="125"/>
      <c r="HA13" s="125"/>
      <c r="HB13" s="125"/>
      <c r="HC13" s="125"/>
      <c r="HD13" s="125"/>
      <c r="HE13" s="125"/>
      <c r="HF13" s="125"/>
      <c r="HG13" s="125"/>
      <c r="HH13" s="125"/>
      <c r="HI13" s="125"/>
      <c r="HJ13" s="125"/>
      <c r="HK13" s="125"/>
      <c r="HL13" s="125"/>
      <c r="HM13" s="125"/>
      <c r="HN13" s="125"/>
      <c r="HO13" s="125"/>
      <c r="HP13" s="125"/>
      <c r="HQ13" s="125"/>
      <c r="HR13" s="125"/>
      <c r="HS13" s="125"/>
      <c r="HT13" s="125"/>
      <c r="HU13" s="125"/>
      <c r="HV13" s="125"/>
      <c r="HW13" s="125"/>
      <c r="HX13" s="125"/>
      <c r="HY13" s="125"/>
      <c r="HZ13" s="125"/>
      <c r="IA13" s="125"/>
      <c r="IB13" s="125"/>
      <c r="IC13" s="125"/>
      <c r="ID13" s="125"/>
      <c r="IE13" s="125"/>
      <c r="IF13" s="125"/>
      <c r="IG13" s="125"/>
      <c r="IH13" s="125"/>
      <c r="II13" s="125"/>
      <c r="IJ13" s="125"/>
      <c r="IK13" s="125"/>
      <c r="IL13" s="125"/>
      <c r="IM13" s="125"/>
      <c r="IN13" s="125"/>
      <c r="IO13" s="125"/>
      <c r="IP13" s="125"/>
      <c r="IQ13" s="125"/>
      <c r="IR13" s="125"/>
      <c r="IS13" s="125"/>
    </row>
    <row r="14" spans="1:253" x14ac:dyDescent="0.2">
      <c r="A14" s="384"/>
      <c r="B14" s="727"/>
      <c r="C14" s="472"/>
      <c r="D14" s="396"/>
      <c r="E14" s="383"/>
      <c r="F14" s="473"/>
      <c r="G14" s="460"/>
      <c r="H14" s="461"/>
      <c r="I14" s="472"/>
      <c r="J14" s="461"/>
      <c r="K14" s="462"/>
      <c r="L14" s="463"/>
      <c r="M14" s="461"/>
      <c r="N14" s="462"/>
      <c r="O14" s="461"/>
      <c r="P14" s="125"/>
      <c r="Q14" s="125"/>
      <c r="T14" s="125"/>
      <c r="U14" s="125"/>
      <c r="V14" s="125"/>
      <c r="W14" s="125"/>
      <c r="X14" s="125"/>
      <c r="Y14" s="125"/>
      <c r="Z14" s="125"/>
      <c r="AA14" s="125"/>
      <c r="AB14" s="125"/>
      <c r="AC14" s="125"/>
      <c r="AD14" s="125"/>
      <c r="AE14" s="125"/>
      <c r="AF14" s="125"/>
      <c r="AG14" s="125"/>
      <c r="AH14" s="125"/>
      <c r="AI14" s="125"/>
      <c r="AJ14" s="125"/>
      <c r="AK14" s="125"/>
      <c r="AL14" s="125"/>
      <c r="AM14" s="125"/>
      <c r="AN14" s="125"/>
      <c r="AO14" s="125"/>
      <c r="AP14" s="125"/>
      <c r="AQ14" s="125"/>
      <c r="AR14" s="125"/>
      <c r="AS14" s="125"/>
      <c r="AT14" s="125"/>
      <c r="AU14" s="125"/>
      <c r="AV14" s="125"/>
      <c r="AW14" s="125"/>
      <c r="AX14" s="125"/>
      <c r="AY14" s="125"/>
      <c r="AZ14" s="125"/>
      <c r="BA14" s="125"/>
      <c r="BB14" s="125"/>
      <c r="BC14" s="125"/>
      <c r="BD14" s="125"/>
      <c r="BE14" s="125"/>
      <c r="BF14" s="125"/>
      <c r="BG14" s="125"/>
      <c r="BH14" s="125"/>
      <c r="BI14" s="125"/>
      <c r="BJ14" s="125"/>
      <c r="BK14" s="125"/>
      <c r="BL14" s="125"/>
      <c r="BM14" s="125"/>
      <c r="BN14" s="125"/>
      <c r="BO14" s="125"/>
      <c r="BP14" s="125"/>
      <c r="BQ14" s="125"/>
      <c r="BR14" s="125"/>
      <c r="BS14" s="125"/>
      <c r="BT14" s="125"/>
      <c r="BU14" s="125"/>
      <c r="BV14" s="125"/>
      <c r="BW14" s="125"/>
      <c r="BX14" s="125"/>
      <c r="BY14" s="125"/>
      <c r="BZ14" s="125"/>
      <c r="CA14" s="125"/>
      <c r="CB14" s="125"/>
      <c r="CC14" s="125"/>
      <c r="CD14" s="125"/>
      <c r="CE14" s="125"/>
      <c r="CF14" s="125"/>
      <c r="CG14" s="125"/>
      <c r="CH14" s="125"/>
      <c r="CI14" s="125"/>
      <c r="CJ14" s="125"/>
      <c r="CK14" s="125"/>
      <c r="CL14" s="125"/>
      <c r="CM14" s="125"/>
      <c r="CN14" s="125"/>
      <c r="CO14" s="125"/>
      <c r="CP14" s="125"/>
      <c r="CQ14" s="125"/>
      <c r="CR14" s="125"/>
      <c r="CS14" s="125"/>
      <c r="CT14" s="125"/>
      <c r="CU14" s="125"/>
      <c r="CV14" s="125"/>
      <c r="CW14" s="125"/>
      <c r="CX14" s="125"/>
      <c r="CY14" s="125"/>
      <c r="CZ14" s="125"/>
      <c r="DA14" s="125"/>
      <c r="DB14" s="125"/>
      <c r="DC14" s="125"/>
      <c r="DD14" s="125"/>
      <c r="DE14" s="125"/>
      <c r="DF14" s="125"/>
      <c r="DG14" s="125"/>
      <c r="DH14" s="125"/>
      <c r="DI14" s="125"/>
      <c r="DJ14" s="125"/>
      <c r="DK14" s="125"/>
      <c r="DL14" s="125"/>
      <c r="DM14" s="125"/>
      <c r="DN14" s="125"/>
      <c r="DO14" s="125"/>
      <c r="DP14" s="125"/>
      <c r="DQ14" s="125"/>
      <c r="DR14" s="125"/>
      <c r="DS14" s="125"/>
      <c r="DT14" s="125"/>
      <c r="DU14" s="125"/>
      <c r="DV14" s="125"/>
      <c r="DW14" s="125"/>
      <c r="DX14" s="125"/>
      <c r="DY14" s="125"/>
      <c r="DZ14" s="125"/>
      <c r="EA14" s="125"/>
      <c r="EB14" s="125"/>
      <c r="EC14" s="125"/>
      <c r="ED14" s="125"/>
      <c r="EE14" s="125"/>
      <c r="EF14" s="125"/>
      <c r="EG14" s="125"/>
      <c r="EH14" s="125"/>
      <c r="EI14" s="125"/>
      <c r="EJ14" s="125"/>
      <c r="EK14" s="125"/>
      <c r="EL14" s="125"/>
      <c r="EM14" s="125"/>
      <c r="EN14" s="125"/>
      <c r="EO14" s="125"/>
      <c r="EP14" s="125"/>
      <c r="EQ14" s="125"/>
      <c r="ER14" s="125"/>
      <c r="ES14" s="125"/>
      <c r="ET14" s="125"/>
      <c r="EU14" s="125"/>
      <c r="EV14" s="125"/>
      <c r="EW14" s="125"/>
      <c r="EX14" s="125"/>
      <c r="EY14" s="125"/>
      <c r="EZ14" s="125"/>
      <c r="FA14" s="125"/>
      <c r="FB14" s="125"/>
      <c r="FC14" s="125"/>
      <c r="FD14" s="125"/>
      <c r="FE14" s="125"/>
      <c r="FF14" s="125"/>
      <c r="FG14" s="125"/>
      <c r="FH14" s="125"/>
      <c r="FI14" s="125"/>
      <c r="FJ14" s="125"/>
      <c r="FK14" s="125"/>
      <c r="FL14" s="125"/>
      <c r="FM14" s="125"/>
      <c r="FN14" s="125"/>
      <c r="FO14" s="125"/>
      <c r="FP14" s="125"/>
      <c r="FQ14" s="125"/>
      <c r="FR14" s="125"/>
      <c r="FS14" s="125"/>
      <c r="FT14" s="125"/>
      <c r="FU14" s="125"/>
      <c r="FV14" s="125"/>
      <c r="FW14" s="125"/>
      <c r="FX14" s="125"/>
      <c r="FY14" s="125"/>
      <c r="FZ14" s="125"/>
      <c r="GA14" s="125"/>
      <c r="GB14" s="125"/>
      <c r="GC14" s="125"/>
      <c r="GD14" s="125"/>
      <c r="GE14" s="125"/>
      <c r="GF14" s="125"/>
      <c r="GG14" s="125"/>
      <c r="GH14" s="125"/>
      <c r="GI14" s="125"/>
      <c r="GJ14" s="125"/>
      <c r="GK14" s="125"/>
      <c r="GL14" s="125"/>
      <c r="GM14" s="125"/>
      <c r="GN14" s="125"/>
      <c r="GO14" s="125"/>
      <c r="GP14" s="125"/>
      <c r="GQ14" s="125"/>
      <c r="GR14" s="125"/>
      <c r="GS14" s="125"/>
      <c r="GT14" s="125"/>
      <c r="GU14" s="125"/>
      <c r="GV14" s="125"/>
      <c r="GW14" s="125"/>
      <c r="GX14" s="125"/>
      <c r="GY14" s="125"/>
      <c r="GZ14" s="125"/>
      <c r="HA14" s="125"/>
      <c r="HB14" s="125"/>
      <c r="HC14" s="125"/>
      <c r="HD14" s="125"/>
      <c r="HE14" s="125"/>
      <c r="HF14" s="125"/>
      <c r="HG14" s="125"/>
      <c r="HH14" s="125"/>
      <c r="HI14" s="125"/>
      <c r="HJ14" s="125"/>
      <c r="HK14" s="125"/>
      <c r="HL14" s="125"/>
      <c r="HM14" s="125"/>
      <c r="HN14" s="125"/>
      <c r="HO14" s="125"/>
      <c r="HP14" s="125"/>
      <c r="HQ14" s="125"/>
      <c r="HR14" s="125"/>
      <c r="HS14" s="125"/>
      <c r="HT14" s="125"/>
      <c r="HU14" s="125"/>
      <c r="HV14" s="125"/>
      <c r="HW14" s="125"/>
      <c r="HX14" s="125"/>
      <c r="HY14" s="125"/>
      <c r="HZ14" s="125"/>
      <c r="IA14" s="125"/>
      <c r="IB14" s="125"/>
      <c r="IC14" s="125"/>
      <c r="ID14" s="125"/>
      <c r="IE14" s="125"/>
      <c r="IF14" s="125"/>
      <c r="IG14" s="125"/>
      <c r="IH14" s="125"/>
      <c r="II14" s="125"/>
      <c r="IJ14" s="125"/>
      <c r="IK14" s="125"/>
      <c r="IL14" s="125"/>
      <c r="IM14" s="125"/>
      <c r="IN14" s="125"/>
      <c r="IO14" s="125"/>
      <c r="IP14" s="125"/>
      <c r="IQ14" s="125"/>
      <c r="IR14" s="125"/>
      <c r="IS14" s="125"/>
    </row>
    <row r="15" spans="1:253" s="946" customFormat="1" ht="13.2" x14ac:dyDescent="0.3">
      <c r="A15" s="934" t="s">
        <v>650</v>
      </c>
      <c r="B15" s="935"/>
      <c r="C15" s="936"/>
      <c r="D15" s="937"/>
      <c r="E15" s="937"/>
      <c r="F15" s="938"/>
      <c r="G15" s="939"/>
      <c r="H15" s="940"/>
      <c r="I15" s="941"/>
      <c r="J15" s="940"/>
      <c r="K15" s="941"/>
      <c r="L15" s="942"/>
      <c r="M15" s="940"/>
      <c r="N15" s="941"/>
      <c r="O15" s="940"/>
      <c r="P15" s="943"/>
      <c r="Q15" s="944"/>
      <c r="R15" s="945"/>
      <c r="S15" s="945"/>
      <c r="T15" s="943"/>
    </row>
    <row r="16" spans="1:253" s="933" customFormat="1" x14ac:dyDescent="0.2">
      <c r="A16" s="919" t="s">
        <v>651</v>
      </c>
      <c r="B16" s="927" t="s">
        <v>652</v>
      </c>
      <c r="C16" s="928"/>
      <c r="D16" s="920"/>
      <c r="E16" s="920"/>
      <c r="F16" s="921"/>
      <c r="G16" s="929"/>
      <c r="H16" s="923"/>
      <c r="I16" s="922"/>
      <c r="J16" s="923"/>
      <c r="K16" s="922"/>
      <c r="L16" s="924"/>
      <c r="M16" s="923"/>
      <c r="N16" s="922"/>
      <c r="O16" s="923"/>
      <c r="P16" s="930"/>
      <c r="Q16" s="931"/>
      <c r="R16" s="932"/>
      <c r="S16" s="932"/>
      <c r="T16" s="930"/>
    </row>
    <row r="17" spans="1:20" x14ac:dyDescent="0.2">
      <c r="A17" s="454" t="s">
        <v>653</v>
      </c>
      <c r="B17" s="925" t="s">
        <v>910</v>
      </c>
      <c r="C17" s="926" t="s">
        <v>654</v>
      </c>
      <c r="D17" s="677">
        <v>3</v>
      </c>
      <c r="E17" s="677">
        <v>3890</v>
      </c>
      <c r="F17" s="678">
        <v>11670</v>
      </c>
      <c r="G17" s="449">
        <v>0</v>
      </c>
      <c r="H17" s="459">
        <f t="shared" ref="H17" si="0">+G17*E17</f>
        <v>0</v>
      </c>
      <c r="I17" s="470">
        <v>0</v>
      </c>
      <c r="J17" s="459">
        <f t="shared" ref="J17" si="1">+I17*E17</f>
        <v>0</v>
      </c>
      <c r="K17" s="470">
        <f t="shared" ref="K17" si="2">+G17+I17</f>
        <v>0</v>
      </c>
      <c r="L17" s="471">
        <f t="shared" ref="L17" si="3">+K17*E17</f>
        <v>0</v>
      </c>
      <c r="M17" s="459">
        <f t="shared" ref="M17" si="4">+K17*100/D17</f>
        <v>0</v>
      </c>
      <c r="N17" s="470">
        <f t="shared" ref="N17" si="5">+D17-K17</f>
        <v>3</v>
      </c>
      <c r="O17" s="459">
        <f t="shared" ref="O17" si="6">+F17-L17</f>
        <v>11670</v>
      </c>
      <c r="P17" s="339"/>
      <c r="Q17" s="338"/>
      <c r="R17" s="388"/>
      <c r="S17" s="388"/>
      <c r="T17" s="339"/>
    </row>
    <row r="18" spans="1:20" x14ac:dyDescent="0.2">
      <c r="A18" s="454" t="s">
        <v>655</v>
      </c>
      <c r="B18" s="925" t="s">
        <v>911</v>
      </c>
      <c r="C18" s="926" t="s">
        <v>654</v>
      </c>
      <c r="D18" s="677">
        <v>1</v>
      </c>
      <c r="E18" s="677">
        <v>29300.33</v>
      </c>
      <c r="F18" s="678">
        <v>29300.33</v>
      </c>
      <c r="G18" s="449">
        <v>0</v>
      </c>
      <c r="H18" s="459">
        <f t="shared" ref="H18:H20" si="7">+G18*E18</f>
        <v>0</v>
      </c>
      <c r="I18" s="470">
        <v>0</v>
      </c>
      <c r="J18" s="459">
        <f t="shared" ref="J18:J20" si="8">+I18*E18</f>
        <v>0</v>
      </c>
      <c r="K18" s="470">
        <f t="shared" ref="K18:K20" si="9">+G18+I18</f>
        <v>0</v>
      </c>
      <c r="L18" s="471">
        <f t="shared" ref="L18:L20" si="10">+K18*E18</f>
        <v>0</v>
      </c>
      <c r="M18" s="459">
        <f t="shared" ref="M18:M20" si="11">+K18*100/D18</f>
        <v>0</v>
      </c>
      <c r="N18" s="470">
        <f t="shared" ref="N18:N20" si="12">+D18-K18</f>
        <v>1</v>
      </c>
      <c r="O18" s="459">
        <f t="shared" ref="O18:O20" si="13">+F18-L18</f>
        <v>29300.33</v>
      </c>
      <c r="P18" s="339"/>
      <c r="Q18" s="338"/>
      <c r="R18" s="388"/>
      <c r="S18" s="388"/>
      <c r="T18" s="339"/>
    </row>
    <row r="19" spans="1:20" x14ac:dyDescent="0.2">
      <c r="A19" s="454" t="s">
        <v>656</v>
      </c>
      <c r="B19" s="925" t="s">
        <v>912</v>
      </c>
      <c r="C19" s="926" t="s">
        <v>654</v>
      </c>
      <c r="D19" s="677">
        <v>2</v>
      </c>
      <c r="E19" s="677">
        <v>9000</v>
      </c>
      <c r="F19" s="678">
        <v>18000</v>
      </c>
      <c r="G19" s="449">
        <v>0</v>
      </c>
      <c r="H19" s="459">
        <f t="shared" si="7"/>
        <v>0</v>
      </c>
      <c r="I19" s="470">
        <v>0</v>
      </c>
      <c r="J19" s="459">
        <f t="shared" si="8"/>
        <v>0</v>
      </c>
      <c r="K19" s="470">
        <f t="shared" si="9"/>
        <v>0</v>
      </c>
      <c r="L19" s="471">
        <f t="shared" si="10"/>
        <v>0</v>
      </c>
      <c r="M19" s="459">
        <f t="shared" si="11"/>
        <v>0</v>
      </c>
      <c r="N19" s="470">
        <f t="shared" si="12"/>
        <v>2</v>
      </c>
      <c r="O19" s="459">
        <f t="shared" si="13"/>
        <v>18000</v>
      </c>
      <c r="P19" s="339"/>
      <c r="Q19" s="338"/>
      <c r="R19" s="388"/>
      <c r="S19" s="388"/>
      <c r="T19" s="339"/>
    </row>
    <row r="20" spans="1:20" x14ac:dyDescent="0.2">
      <c r="A20" s="454" t="s">
        <v>657</v>
      </c>
      <c r="B20" s="925" t="s">
        <v>913</v>
      </c>
      <c r="C20" s="926" t="s">
        <v>654</v>
      </c>
      <c r="D20" s="677">
        <v>2</v>
      </c>
      <c r="E20" s="677">
        <v>19164.599999999999</v>
      </c>
      <c r="F20" s="678">
        <v>38329.199999999997</v>
      </c>
      <c r="G20" s="449">
        <v>0</v>
      </c>
      <c r="H20" s="459">
        <f t="shared" si="7"/>
        <v>0</v>
      </c>
      <c r="I20" s="470">
        <v>0</v>
      </c>
      <c r="J20" s="459">
        <f t="shared" si="8"/>
        <v>0</v>
      </c>
      <c r="K20" s="470">
        <f t="shared" si="9"/>
        <v>0</v>
      </c>
      <c r="L20" s="471">
        <f t="shared" si="10"/>
        <v>0</v>
      </c>
      <c r="M20" s="459">
        <f t="shared" si="11"/>
        <v>0</v>
      </c>
      <c r="N20" s="470">
        <f t="shared" si="12"/>
        <v>2</v>
      </c>
      <c r="O20" s="459">
        <f t="shared" si="13"/>
        <v>38329.199999999997</v>
      </c>
      <c r="P20" s="339"/>
      <c r="Q20" s="338"/>
      <c r="R20" s="388"/>
      <c r="S20" s="388"/>
      <c r="T20" s="339"/>
    </row>
    <row r="21" spans="1:20" x14ac:dyDescent="0.2">
      <c r="A21" s="454" t="s">
        <v>658</v>
      </c>
      <c r="B21" s="925" t="s">
        <v>914</v>
      </c>
      <c r="C21" s="926" t="s">
        <v>654</v>
      </c>
      <c r="D21" s="677">
        <v>2</v>
      </c>
      <c r="E21" s="677">
        <v>12340</v>
      </c>
      <c r="F21" s="678">
        <v>24680</v>
      </c>
      <c r="G21" s="449">
        <v>0</v>
      </c>
      <c r="H21" s="459">
        <f t="shared" ref="H21:H53" si="14">+G21*E21</f>
        <v>0</v>
      </c>
      <c r="I21" s="470">
        <v>0</v>
      </c>
      <c r="J21" s="459">
        <f t="shared" ref="J21:J53" si="15">+I21*E21</f>
        <v>0</v>
      </c>
      <c r="K21" s="470">
        <f t="shared" ref="K21:K53" si="16">+G21+I21</f>
        <v>0</v>
      </c>
      <c r="L21" s="471">
        <f t="shared" ref="L21:L53" si="17">+K21*E21</f>
        <v>0</v>
      </c>
      <c r="M21" s="459">
        <f t="shared" ref="M21:M53" si="18">+K21*100/D21</f>
        <v>0</v>
      </c>
      <c r="N21" s="470">
        <f t="shared" ref="N21:N53" si="19">+D21-K21</f>
        <v>2</v>
      </c>
      <c r="O21" s="459">
        <f t="shared" ref="O21:O53" si="20">+F21-L21</f>
        <v>24680</v>
      </c>
      <c r="P21" s="339"/>
      <c r="Q21" s="338"/>
      <c r="R21" s="388"/>
      <c r="S21" s="388"/>
      <c r="T21" s="339"/>
    </row>
    <row r="22" spans="1:20" x14ac:dyDescent="0.2">
      <c r="A22" s="454" t="s">
        <v>659</v>
      </c>
      <c r="B22" s="925" t="s">
        <v>915</v>
      </c>
      <c r="C22" s="926" t="s">
        <v>654</v>
      </c>
      <c r="D22" s="677">
        <v>1</v>
      </c>
      <c r="E22" s="677">
        <v>12340</v>
      </c>
      <c r="F22" s="678">
        <v>12340</v>
      </c>
      <c r="G22" s="449">
        <v>0</v>
      </c>
      <c r="H22" s="459">
        <f t="shared" si="14"/>
        <v>0</v>
      </c>
      <c r="I22" s="470">
        <v>0</v>
      </c>
      <c r="J22" s="459">
        <f t="shared" si="15"/>
        <v>0</v>
      </c>
      <c r="K22" s="470">
        <f t="shared" si="16"/>
        <v>0</v>
      </c>
      <c r="L22" s="471">
        <f t="shared" si="17"/>
        <v>0</v>
      </c>
      <c r="M22" s="459">
        <f t="shared" si="18"/>
        <v>0</v>
      </c>
      <c r="N22" s="470">
        <f t="shared" si="19"/>
        <v>1</v>
      </c>
      <c r="O22" s="459">
        <f t="shared" si="20"/>
        <v>12340</v>
      </c>
      <c r="P22" s="339"/>
      <c r="Q22" s="338"/>
      <c r="R22" s="388"/>
      <c r="S22" s="388"/>
      <c r="T22" s="339"/>
    </row>
    <row r="23" spans="1:20" x14ac:dyDescent="0.2">
      <c r="A23" s="454" t="s">
        <v>660</v>
      </c>
      <c r="B23" s="925" t="s">
        <v>916</v>
      </c>
      <c r="C23" s="926" t="s">
        <v>654</v>
      </c>
      <c r="D23" s="677">
        <v>4</v>
      </c>
      <c r="E23" s="677">
        <v>2800</v>
      </c>
      <c r="F23" s="678">
        <v>11200</v>
      </c>
      <c r="G23" s="449">
        <v>0</v>
      </c>
      <c r="H23" s="459">
        <f t="shared" si="14"/>
        <v>0</v>
      </c>
      <c r="I23" s="470">
        <v>0</v>
      </c>
      <c r="J23" s="459">
        <f t="shared" si="15"/>
        <v>0</v>
      </c>
      <c r="K23" s="470">
        <f t="shared" si="16"/>
        <v>0</v>
      </c>
      <c r="L23" s="471">
        <f t="shared" si="17"/>
        <v>0</v>
      </c>
      <c r="M23" s="459">
        <f t="shared" si="18"/>
        <v>0</v>
      </c>
      <c r="N23" s="470">
        <f t="shared" si="19"/>
        <v>4</v>
      </c>
      <c r="O23" s="459">
        <f t="shared" si="20"/>
        <v>11200</v>
      </c>
      <c r="P23" s="339"/>
      <c r="Q23" s="338"/>
      <c r="R23" s="388"/>
      <c r="S23" s="388"/>
      <c r="T23" s="339"/>
    </row>
    <row r="24" spans="1:20" x14ac:dyDescent="0.2">
      <c r="A24" s="454" t="s">
        <v>661</v>
      </c>
      <c r="B24" s="925" t="s">
        <v>917</v>
      </c>
      <c r="C24" s="926" t="s">
        <v>654</v>
      </c>
      <c r="D24" s="677">
        <v>2</v>
      </c>
      <c r="E24" s="677">
        <v>18500</v>
      </c>
      <c r="F24" s="678">
        <v>37000</v>
      </c>
      <c r="G24" s="449">
        <v>0</v>
      </c>
      <c r="H24" s="459">
        <f t="shared" si="14"/>
        <v>0</v>
      </c>
      <c r="I24" s="470">
        <v>0</v>
      </c>
      <c r="J24" s="459">
        <f t="shared" si="15"/>
        <v>0</v>
      </c>
      <c r="K24" s="470">
        <f t="shared" si="16"/>
        <v>0</v>
      </c>
      <c r="L24" s="471">
        <f t="shared" si="17"/>
        <v>0</v>
      </c>
      <c r="M24" s="459">
        <f t="shared" si="18"/>
        <v>0</v>
      </c>
      <c r="N24" s="470">
        <f t="shared" si="19"/>
        <v>2</v>
      </c>
      <c r="O24" s="459">
        <f t="shared" si="20"/>
        <v>37000</v>
      </c>
      <c r="P24" s="339"/>
      <c r="Q24" s="338"/>
      <c r="R24" s="388"/>
      <c r="S24" s="388"/>
      <c r="T24" s="339"/>
    </row>
    <row r="25" spans="1:20" x14ac:dyDescent="0.2">
      <c r="A25" s="454" t="s">
        <v>662</v>
      </c>
      <c r="B25" s="925" t="s">
        <v>918</v>
      </c>
      <c r="C25" s="926" t="s">
        <v>654</v>
      </c>
      <c r="D25" s="677">
        <v>2</v>
      </c>
      <c r="E25" s="677">
        <v>500</v>
      </c>
      <c r="F25" s="678">
        <v>1000</v>
      </c>
      <c r="G25" s="449">
        <v>0</v>
      </c>
      <c r="H25" s="459">
        <f t="shared" si="14"/>
        <v>0</v>
      </c>
      <c r="I25" s="470">
        <v>0</v>
      </c>
      <c r="J25" s="459">
        <f t="shared" si="15"/>
        <v>0</v>
      </c>
      <c r="K25" s="470">
        <f t="shared" si="16"/>
        <v>0</v>
      </c>
      <c r="L25" s="471">
        <f t="shared" si="17"/>
        <v>0</v>
      </c>
      <c r="M25" s="459">
        <f t="shared" si="18"/>
        <v>0</v>
      </c>
      <c r="N25" s="470">
        <f t="shared" si="19"/>
        <v>2</v>
      </c>
      <c r="O25" s="459">
        <f t="shared" si="20"/>
        <v>1000</v>
      </c>
      <c r="P25" s="339"/>
      <c r="Q25" s="338"/>
      <c r="R25" s="388"/>
      <c r="S25" s="388"/>
      <c r="T25" s="339"/>
    </row>
    <row r="26" spans="1:20" x14ac:dyDescent="0.2">
      <c r="A26" s="454" t="s">
        <v>663</v>
      </c>
      <c r="B26" s="925" t="s">
        <v>919</v>
      </c>
      <c r="C26" s="926" t="s">
        <v>654</v>
      </c>
      <c r="D26" s="677">
        <v>1</v>
      </c>
      <c r="E26" s="677">
        <v>239500</v>
      </c>
      <c r="F26" s="678">
        <v>239500</v>
      </c>
      <c r="G26" s="449">
        <v>0</v>
      </c>
      <c r="H26" s="459">
        <f t="shared" si="14"/>
        <v>0</v>
      </c>
      <c r="I26" s="470">
        <v>0</v>
      </c>
      <c r="J26" s="459">
        <f t="shared" si="15"/>
        <v>0</v>
      </c>
      <c r="K26" s="470">
        <f t="shared" si="16"/>
        <v>0</v>
      </c>
      <c r="L26" s="471">
        <f t="shared" si="17"/>
        <v>0</v>
      </c>
      <c r="M26" s="459">
        <f t="shared" si="18"/>
        <v>0</v>
      </c>
      <c r="N26" s="470">
        <f t="shared" si="19"/>
        <v>1</v>
      </c>
      <c r="O26" s="459">
        <f t="shared" si="20"/>
        <v>239500</v>
      </c>
      <c r="P26" s="339"/>
      <c r="Q26" s="338"/>
      <c r="R26" s="388"/>
      <c r="S26" s="388"/>
      <c r="T26" s="339"/>
    </row>
    <row r="27" spans="1:20" x14ac:dyDescent="0.2">
      <c r="A27" s="454" t="s">
        <v>664</v>
      </c>
      <c r="B27" s="925" t="s">
        <v>920</v>
      </c>
      <c r="C27" s="926" t="s">
        <v>654</v>
      </c>
      <c r="D27" s="677">
        <v>5</v>
      </c>
      <c r="E27" s="677">
        <v>2880</v>
      </c>
      <c r="F27" s="678">
        <v>14400</v>
      </c>
      <c r="G27" s="449">
        <v>0</v>
      </c>
      <c r="H27" s="459">
        <f t="shared" si="14"/>
        <v>0</v>
      </c>
      <c r="I27" s="470">
        <v>0</v>
      </c>
      <c r="J27" s="459">
        <f t="shared" si="15"/>
        <v>0</v>
      </c>
      <c r="K27" s="470">
        <f t="shared" si="16"/>
        <v>0</v>
      </c>
      <c r="L27" s="471">
        <f t="shared" si="17"/>
        <v>0</v>
      </c>
      <c r="M27" s="459">
        <f t="shared" si="18"/>
        <v>0</v>
      </c>
      <c r="N27" s="470">
        <f t="shared" si="19"/>
        <v>5</v>
      </c>
      <c r="O27" s="459">
        <f t="shared" si="20"/>
        <v>14400</v>
      </c>
      <c r="P27" s="339"/>
      <c r="Q27" s="338"/>
      <c r="R27" s="388"/>
      <c r="S27" s="388"/>
      <c r="T27" s="339"/>
    </row>
    <row r="28" spans="1:20" x14ac:dyDescent="0.2">
      <c r="A28" s="454" t="s">
        <v>665</v>
      </c>
      <c r="B28" s="925" t="s">
        <v>921</v>
      </c>
      <c r="C28" s="926" t="s">
        <v>654</v>
      </c>
      <c r="D28" s="677">
        <v>1</v>
      </c>
      <c r="E28" s="677">
        <v>25000</v>
      </c>
      <c r="F28" s="678">
        <v>25000</v>
      </c>
      <c r="G28" s="449">
        <v>0</v>
      </c>
      <c r="H28" s="459">
        <f t="shared" si="14"/>
        <v>0</v>
      </c>
      <c r="I28" s="470">
        <v>0</v>
      </c>
      <c r="J28" s="459">
        <f t="shared" si="15"/>
        <v>0</v>
      </c>
      <c r="K28" s="470">
        <f t="shared" si="16"/>
        <v>0</v>
      </c>
      <c r="L28" s="471">
        <f t="shared" si="17"/>
        <v>0</v>
      </c>
      <c r="M28" s="459">
        <f t="shared" si="18"/>
        <v>0</v>
      </c>
      <c r="N28" s="470">
        <f t="shared" si="19"/>
        <v>1</v>
      </c>
      <c r="O28" s="459">
        <f t="shared" si="20"/>
        <v>25000</v>
      </c>
      <c r="P28" s="339"/>
      <c r="Q28" s="338"/>
      <c r="R28" s="388"/>
      <c r="S28" s="388"/>
      <c r="T28" s="339"/>
    </row>
    <row r="29" spans="1:20" x14ac:dyDescent="0.2">
      <c r="A29" s="454" t="s">
        <v>666</v>
      </c>
      <c r="B29" s="925" t="s">
        <v>922</v>
      </c>
      <c r="C29" s="926" t="s">
        <v>654</v>
      </c>
      <c r="D29" s="677">
        <v>1</v>
      </c>
      <c r="E29" s="677">
        <v>3450</v>
      </c>
      <c r="F29" s="678">
        <v>3450</v>
      </c>
      <c r="G29" s="449">
        <v>0</v>
      </c>
      <c r="H29" s="459">
        <f t="shared" si="14"/>
        <v>0</v>
      </c>
      <c r="I29" s="470">
        <v>0</v>
      </c>
      <c r="J29" s="459">
        <f t="shared" si="15"/>
        <v>0</v>
      </c>
      <c r="K29" s="470">
        <f t="shared" si="16"/>
        <v>0</v>
      </c>
      <c r="L29" s="471">
        <f t="shared" si="17"/>
        <v>0</v>
      </c>
      <c r="M29" s="459">
        <f t="shared" si="18"/>
        <v>0</v>
      </c>
      <c r="N29" s="470">
        <f t="shared" si="19"/>
        <v>1</v>
      </c>
      <c r="O29" s="459">
        <f t="shared" si="20"/>
        <v>3450</v>
      </c>
      <c r="P29" s="339"/>
      <c r="Q29" s="338"/>
      <c r="R29" s="388"/>
      <c r="S29" s="388"/>
      <c r="T29" s="339"/>
    </row>
    <row r="30" spans="1:20" x14ac:dyDescent="0.2">
      <c r="A30" s="454" t="s">
        <v>667</v>
      </c>
      <c r="B30" s="925" t="s">
        <v>923</v>
      </c>
      <c r="C30" s="926" t="s">
        <v>654</v>
      </c>
      <c r="D30" s="677">
        <v>1</v>
      </c>
      <c r="E30" s="677">
        <v>20550</v>
      </c>
      <c r="F30" s="678">
        <v>20550</v>
      </c>
      <c r="G30" s="449">
        <v>0</v>
      </c>
      <c r="H30" s="459">
        <f t="shared" si="14"/>
        <v>0</v>
      </c>
      <c r="I30" s="470">
        <v>0</v>
      </c>
      <c r="J30" s="459">
        <f t="shared" si="15"/>
        <v>0</v>
      </c>
      <c r="K30" s="470">
        <f t="shared" si="16"/>
        <v>0</v>
      </c>
      <c r="L30" s="471">
        <f t="shared" si="17"/>
        <v>0</v>
      </c>
      <c r="M30" s="459">
        <f t="shared" si="18"/>
        <v>0</v>
      </c>
      <c r="N30" s="470">
        <f t="shared" si="19"/>
        <v>1</v>
      </c>
      <c r="O30" s="459">
        <f t="shared" si="20"/>
        <v>20550</v>
      </c>
      <c r="P30" s="339"/>
      <c r="Q30" s="338"/>
      <c r="R30" s="388"/>
      <c r="S30" s="388"/>
      <c r="T30" s="339"/>
    </row>
    <row r="31" spans="1:20" x14ac:dyDescent="0.2">
      <c r="A31" s="454" t="s">
        <v>668</v>
      </c>
      <c r="B31" s="925" t="s">
        <v>924</v>
      </c>
      <c r="C31" s="926" t="s">
        <v>654</v>
      </c>
      <c r="D31" s="677">
        <v>2</v>
      </c>
      <c r="E31" s="677">
        <v>3500</v>
      </c>
      <c r="F31" s="678">
        <v>7000</v>
      </c>
      <c r="G31" s="449">
        <v>0</v>
      </c>
      <c r="H31" s="459">
        <f t="shared" si="14"/>
        <v>0</v>
      </c>
      <c r="I31" s="470">
        <v>0</v>
      </c>
      <c r="J31" s="459">
        <f t="shared" si="15"/>
        <v>0</v>
      </c>
      <c r="K31" s="470">
        <f t="shared" si="16"/>
        <v>0</v>
      </c>
      <c r="L31" s="471">
        <f t="shared" si="17"/>
        <v>0</v>
      </c>
      <c r="M31" s="459">
        <f t="shared" si="18"/>
        <v>0</v>
      </c>
      <c r="N31" s="470">
        <f t="shared" si="19"/>
        <v>2</v>
      </c>
      <c r="O31" s="459">
        <f t="shared" si="20"/>
        <v>7000</v>
      </c>
      <c r="P31" s="339"/>
      <c r="Q31" s="338"/>
      <c r="R31" s="388"/>
      <c r="S31" s="388"/>
      <c r="T31" s="339"/>
    </row>
    <row r="32" spans="1:20" x14ac:dyDescent="0.2">
      <c r="A32" s="454" t="s">
        <v>669</v>
      </c>
      <c r="B32" s="925" t="s">
        <v>925</v>
      </c>
      <c r="C32" s="926" t="s">
        <v>654</v>
      </c>
      <c r="D32" s="677">
        <v>2</v>
      </c>
      <c r="E32" s="677">
        <v>500</v>
      </c>
      <c r="F32" s="678">
        <v>1000</v>
      </c>
      <c r="G32" s="449">
        <v>0</v>
      </c>
      <c r="H32" s="459">
        <f t="shared" si="14"/>
        <v>0</v>
      </c>
      <c r="I32" s="470">
        <v>0</v>
      </c>
      <c r="J32" s="459">
        <f t="shared" si="15"/>
        <v>0</v>
      </c>
      <c r="K32" s="470">
        <f t="shared" si="16"/>
        <v>0</v>
      </c>
      <c r="L32" s="471">
        <f t="shared" si="17"/>
        <v>0</v>
      </c>
      <c r="M32" s="459">
        <f t="shared" si="18"/>
        <v>0</v>
      </c>
      <c r="N32" s="470">
        <f t="shared" si="19"/>
        <v>2</v>
      </c>
      <c r="O32" s="459">
        <f t="shared" si="20"/>
        <v>1000</v>
      </c>
      <c r="P32" s="339"/>
      <c r="Q32" s="338"/>
      <c r="R32" s="388"/>
      <c r="S32" s="388"/>
      <c r="T32" s="339"/>
    </row>
    <row r="33" spans="1:20" x14ac:dyDescent="0.2">
      <c r="A33" s="454" t="s">
        <v>670</v>
      </c>
      <c r="B33" s="925" t="s">
        <v>926</v>
      </c>
      <c r="C33" s="926" t="s">
        <v>654</v>
      </c>
      <c r="D33" s="677">
        <v>5</v>
      </c>
      <c r="E33" s="677">
        <v>4500</v>
      </c>
      <c r="F33" s="678">
        <v>22500</v>
      </c>
      <c r="G33" s="449">
        <v>0</v>
      </c>
      <c r="H33" s="459">
        <f t="shared" si="14"/>
        <v>0</v>
      </c>
      <c r="I33" s="470">
        <v>0</v>
      </c>
      <c r="J33" s="459">
        <f t="shared" si="15"/>
        <v>0</v>
      </c>
      <c r="K33" s="470">
        <f t="shared" si="16"/>
        <v>0</v>
      </c>
      <c r="L33" s="471">
        <f t="shared" si="17"/>
        <v>0</v>
      </c>
      <c r="M33" s="459">
        <f t="shared" si="18"/>
        <v>0</v>
      </c>
      <c r="N33" s="470">
        <f t="shared" si="19"/>
        <v>5</v>
      </c>
      <c r="O33" s="459">
        <f t="shared" si="20"/>
        <v>22500</v>
      </c>
      <c r="P33" s="339"/>
      <c r="Q33" s="338"/>
      <c r="R33" s="388"/>
      <c r="S33" s="388"/>
      <c r="T33" s="339"/>
    </row>
    <row r="34" spans="1:20" x14ac:dyDescent="0.2">
      <c r="A34" s="454" t="s">
        <v>671</v>
      </c>
      <c r="B34" s="925" t="s">
        <v>927</v>
      </c>
      <c r="C34" s="926" t="s">
        <v>654</v>
      </c>
      <c r="D34" s="677">
        <v>1</v>
      </c>
      <c r="E34" s="677">
        <v>5000</v>
      </c>
      <c r="F34" s="678">
        <v>5000</v>
      </c>
      <c r="G34" s="449">
        <v>0</v>
      </c>
      <c r="H34" s="459">
        <f t="shared" si="14"/>
        <v>0</v>
      </c>
      <c r="I34" s="470">
        <v>0</v>
      </c>
      <c r="J34" s="459">
        <f t="shared" si="15"/>
        <v>0</v>
      </c>
      <c r="K34" s="470">
        <f t="shared" si="16"/>
        <v>0</v>
      </c>
      <c r="L34" s="471">
        <f t="shared" si="17"/>
        <v>0</v>
      </c>
      <c r="M34" s="459">
        <f t="shared" si="18"/>
        <v>0</v>
      </c>
      <c r="N34" s="470">
        <f t="shared" si="19"/>
        <v>1</v>
      </c>
      <c r="O34" s="459">
        <f t="shared" si="20"/>
        <v>5000</v>
      </c>
      <c r="P34" s="339"/>
      <c r="Q34" s="338"/>
      <c r="R34" s="388"/>
      <c r="S34" s="388"/>
      <c r="T34" s="339"/>
    </row>
    <row r="35" spans="1:20" x14ac:dyDescent="0.2">
      <c r="A35" s="454" t="s">
        <v>672</v>
      </c>
      <c r="B35" s="925" t="s">
        <v>928</v>
      </c>
      <c r="C35" s="926" t="s">
        <v>654</v>
      </c>
      <c r="D35" s="677">
        <v>2</v>
      </c>
      <c r="E35" s="677">
        <v>5950</v>
      </c>
      <c r="F35" s="678">
        <v>11900</v>
      </c>
      <c r="G35" s="449">
        <v>0</v>
      </c>
      <c r="H35" s="459">
        <f t="shared" si="14"/>
        <v>0</v>
      </c>
      <c r="I35" s="470">
        <v>0</v>
      </c>
      <c r="J35" s="459">
        <f t="shared" si="15"/>
        <v>0</v>
      </c>
      <c r="K35" s="470">
        <f t="shared" si="16"/>
        <v>0</v>
      </c>
      <c r="L35" s="471">
        <f t="shared" si="17"/>
        <v>0</v>
      </c>
      <c r="M35" s="459">
        <f t="shared" si="18"/>
        <v>0</v>
      </c>
      <c r="N35" s="470">
        <f t="shared" si="19"/>
        <v>2</v>
      </c>
      <c r="O35" s="459">
        <f t="shared" si="20"/>
        <v>11900</v>
      </c>
      <c r="P35" s="339"/>
      <c r="Q35" s="338"/>
      <c r="R35" s="388"/>
      <c r="S35" s="388"/>
      <c r="T35" s="339"/>
    </row>
    <row r="36" spans="1:20" x14ac:dyDescent="0.2">
      <c r="A36" s="454" t="s">
        <v>673</v>
      </c>
      <c r="B36" s="925" t="s">
        <v>929</v>
      </c>
      <c r="C36" s="926" t="s">
        <v>654</v>
      </c>
      <c r="D36" s="677">
        <v>1</v>
      </c>
      <c r="E36" s="677">
        <v>15370</v>
      </c>
      <c r="F36" s="678">
        <v>15370</v>
      </c>
      <c r="G36" s="449">
        <v>0</v>
      </c>
      <c r="H36" s="459">
        <f t="shared" si="14"/>
        <v>0</v>
      </c>
      <c r="I36" s="470">
        <v>0</v>
      </c>
      <c r="J36" s="459">
        <f t="shared" si="15"/>
        <v>0</v>
      </c>
      <c r="K36" s="470">
        <f t="shared" si="16"/>
        <v>0</v>
      </c>
      <c r="L36" s="471">
        <f t="shared" si="17"/>
        <v>0</v>
      </c>
      <c r="M36" s="459">
        <f t="shared" si="18"/>
        <v>0</v>
      </c>
      <c r="N36" s="470">
        <f t="shared" si="19"/>
        <v>1</v>
      </c>
      <c r="O36" s="459">
        <f t="shared" si="20"/>
        <v>15370</v>
      </c>
      <c r="P36" s="339"/>
      <c r="Q36" s="338"/>
      <c r="R36" s="388"/>
      <c r="S36" s="388"/>
      <c r="T36" s="339"/>
    </row>
    <row r="37" spans="1:20" x14ac:dyDescent="0.2">
      <c r="A37" s="454" t="s">
        <v>674</v>
      </c>
      <c r="B37" s="925" t="s">
        <v>930</v>
      </c>
      <c r="C37" s="926" t="s">
        <v>654</v>
      </c>
      <c r="D37" s="677">
        <v>1</v>
      </c>
      <c r="E37" s="677">
        <v>16880</v>
      </c>
      <c r="F37" s="678">
        <v>16880</v>
      </c>
      <c r="G37" s="449">
        <v>0</v>
      </c>
      <c r="H37" s="459">
        <f t="shared" si="14"/>
        <v>0</v>
      </c>
      <c r="I37" s="470">
        <v>0</v>
      </c>
      <c r="J37" s="459">
        <f t="shared" si="15"/>
        <v>0</v>
      </c>
      <c r="K37" s="470">
        <f t="shared" si="16"/>
        <v>0</v>
      </c>
      <c r="L37" s="471">
        <f t="shared" si="17"/>
        <v>0</v>
      </c>
      <c r="M37" s="459">
        <f t="shared" si="18"/>
        <v>0</v>
      </c>
      <c r="N37" s="470">
        <f t="shared" si="19"/>
        <v>1</v>
      </c>
      <c r="O37" s="459">
        <f t="shared" si="20"/>
        <v>16880</v>
      </c>
      <c r="P37" s="339"/>
      <c r="Q37" s="338"/>
      <c r="R37" s="388"/>
      <c r="S37" s="388"/>
      <c r="T37" s="339"/>
    </row>
    <row r="38" spans="1:20" x14ac:dyDescent="0.2">
      <c r="A38" s="454" t="s">
        <v>675</v>
      </c>
      <c r="B38" s="925" t="s">
        <v>931</v>
      </c>
      <c r="C38" s="926" t="s">
        <v>654</v>
      </c>
      <c r="D38" s="677">
        <v>2</v>
      </c>
      <c r="E38" s="677">
        <v>8200</v>
      </c>
      <c r="F38" s="678">
        <v>16400</v>
      </c>
      <c r="G38" s="449">
        <v>0</v>
      </c>
      <c r="H38" s="459">
        <f t="shared" si="14"/>
        <v>0</v>
      </c>
      <c r="I38" s="470">
        <v>0</v>
      </c>
      <c r="J38" s="459">
        <f t="shared" si="15"/>
        <v>0</v>
      </c>
      <c r="K38" s="470">
        <f t="shared" si="16"/>
        <v>0</v>
      </c>
      <c r="L38" s="471">
        <f t="shared" si="17"/>
        <v>0</v>
      </c>
      <c r="M38" s="459">
        <f t="shared" si="18"/>
        <v>0</v>
      </c>
      <c r="N38" s="470">
        <f t="shared" si="19"/>
        <v>2</v>
      </c>
      <c r="O38" s="459">
        <f t="shared" si="20"/>
        <v>16400</v>
      </c>
      <c r="P38" s="339"/>
      <c r="Q38" s="338"/>
      <c r="R38" s="388"/>
      <c r="S38" s="388"/>
      <c r="T38" s="339"/>
    </row>
    <row r="39" spans="1:20" x14ac:dyDescent="0.2">
      <c r="A39" s="454" t="s">
        <v>676</v>
      </c>
      <c r="B39" s="925" t="s">
        <v>932</v>
      </c>
      <c r="C39" s="926" t="s">
        <v>654</v>
      </c>
      <c r="D39" s="677">
        <v>1</v>
      </c>
      <c r="E39" s="677">
        <v>10000</v>
      </c>
      <c r="F39" s="678">
        <v>10000</v>
      </c>
      <c r="G39" s="449">
        <v>0</v>
      </c>
      <c r="H39" s="459">
        <f t="shared" si="14"/>
        <v>0</v>
      </c>
      <c r="I39" s="470">
        <v>0</v>
      </c>
      <c r="J39" s="459">
        <f t="shared" si="15"/>
        <v>0</v>
      </c>
      <c r="K39" s="470">
        <f t="shared" si="16"/>
        <v>0</v>
      </c>
      <c r="L39" s="471">
        <f t="shared" si="17"/>
        <v>0</v>
      </c>
      <c r="M39" s="459">
        <f t="shared" si="18"/>
        <v>0</v>
      </c>
      <c r="N39" s="470">
        <f t="shared" si="19"/>
        <v>1</v>
      </c>
      <c r="O39" s="459">
        <f t="shared" si="20"/>
        <v>10000</v>
      </c>
      <c r="P39" s="339"/>
      <c r="Q39" s="338"/>
      <c r="R39" s="388"/>
      <c r="S39" s="388"/>
      <c r="T39" s="339"/>
    </row>
    <row r="40" spans="1:20" x14ac:dyDescent="0.2">
      <c r="A40" s="454" t="s">
        <v>677</v>
      </c>
      <c r="B40" s="925" t="s">
        <v>933</v>
      </c>
      <c r="C40" s="926" t="s">
        <v>654</v>
      </c>
      <c r="D40" s="677">
        <v>1</v>
      </c>
      <c r="E40" s="677">
        <v>70000</v>
      </c>
      <c r="F40" s="678">
        <v>70000</v>
      </c>
      <c r="G40" s="449">
        <v>0</v>
      </c>
      <c r="H40" s="459">
        <f t="shared" si="14"/>
        <v>0</v>
      </c>
      <c r="I40" s="470">
        <v>0</v>
      </c>
      <c r="J40" s="459">
        <f t="shared" si="15"/>
        <v>0</v>
      </c>
      <c r="K40" s="470">
        <f t="shared" si="16"/>
        <v>0</v>
      </c>
      <c r="L40" s="471">
        <f t="shared" si="17"/>
        <v>0</v>
      </c>
      <c r="M40" s="459">
        <f t="shared" si="18"/>
        <v>0</v>
      </c>
      <c r="N40" s="470">
        <f t="shared" si="19"/>
        <v>1</v>
      </c>
      <c r="O40" s="459">
        <f t="shared" si="20"/>
        <v>70000</v>
      </c>
      <c r="P40" s="339"/>
      <c r="Q40" s="338"/>
      <c r="R40" s="388"/>
      <c r="S40" s="388"/>
      <c r="T40" s="339"/>
    </row>
    <row r="41" spans="1:20" x14ac:dyDescent="0.2">
      <c r="A41" s="454" t="s">
        <v>678</v>
      </c>
      <c r="B41" s="925" t="s">
        <v>934</v>
      </c>
      <c r="C41" s="926" t="s">
        <v>654</v>
      </c>
      <c r="D41" s="677">
        <v>2</v>
      </c>
      <c r="E41" s="677">
        <v>2416</v>
      </c>
      <c r="F41" s="678">
        <v>4832</v>
      </c>
      <c r="G41" s="449">
        <v>0</v>
      </c>
      <c r="H41" s="459">
        <f t="shared" si="14"/>
        <v>0</v>
      </c>
      <c r="I41" s="470">
        <v>0</v>
      </c>
      <c r="J41" s="459">
        <f t="shared" si="15"/>
        <v>0</v>
      </c>
      <c r="K41" s="470">
        <f t="shared" si="16"/>
        <v>0</v>
      </c>
      <c r="L41" s="471">
        <f t="shared" si="17"/>
        <v>0</v>
      </c>
      <c r="M41" s="459">
        <f t="shared" si="18"/>
        <v>0</v>
      </c>
      <c r="N41" s="470">
        <f t="shared" si="19"/>
        <v>2</v>
      </c>
      <c r="O41" s="459">
        <f t="shared" si="20"/>
        <v>4832</v>
      </c>
      <c r="P41" s="339"/>
      <c r="Q41" s="338"/>
      <c r="R41" s="388"/>
      <c r="S41" s="388"/>
      <c r="T41" s="339"/>
    </row>
    <row r="42" spans="1:20" x14ac:dyDescent="0.2">
      <c r="A42" s="454" t="s">
        <v>679</v>
      </c>
      <c r="B42" s="925" t="s">
        <v>935</v>
      </c>
      <c r="C42" s="926" t="s">
        <v>654</v>
      </c>
      <c r="D42" s="677">
        <v>2</v>
      </c>
      <c r="E42" s="677">
        <v>16351.43</v>
      </c>
      <c r="F42" s="678">
        <v>32702.86</v>
      </c>
      <c r="G42" s="449">
        <v>0</v>
      </c>
      <c r="H42" s="459">
        <f t="shared" si="14"/>
        <v>0</v>
      </c>
      <c r="I42" s="470">
        <v>0</v>
      </c>
      <c r="J42" s="459">
        <f t="shared" si="15"/>
        <v>0</v>
      </c>
      <c r="K42" s="470">
        <f t="shared" si="16"/>
        <v>0</v>
      </c>
      <c r="L42" s="471">
        <f t="shared" si="17"/>
        <v>0</v>
      </c>
      <c r="M42" s="459">
        <f t="shared" si="18"/>
        <v>0</v>
      </c>
      <c r="N42" s="470">
        <f t="shared" si="19"/>
        <v>2</v>
      </c>
      <c r="O42" s="459">
        <f t="shared" si="20"/>
        <v>32702.86</v>
      </c>
      <c r="P42" s="339"/>
      <c r="Q42" s="338"/>
      <c r="R42" s="388"/>
      <c r="S42" s="388"/>
      <c r="T42" s="339"/>
    </row>
    <row r="43" spans="1:20" x14ac:dyDescent="0.2">
      <c r="A43" s="454" t="s">
        <v>680</v>
      </c>
      <c r="B43" s="925" t="s">
        <v>936</v>
      </c>
      <c r="C43" s="926" t="s">
        <v>654</v>
      </c>
      <c r="D43" s="677">
        <v>1</v>
      </c>
      <c r="E43" s="677">
        <v>37190</v>
      </c>
      <c r="F43" s="678">
        <v>37190</v>
      </c>
      <c r="G43" s="449">
        <v>0</v>
      </c>
      <c r="H43" s="459">
        <f t="shared" si="14"/>
        <v>0</v>
      </c>
      <c r="I43" s="470">
        <v>0</v>
      </c>
      <c r="J43" s="459">
        <f t="shared" si="15"/>
        <v>0</v>
      </c>
      <c r="K43" s="470">
        <f t="shared" si="16"/>
        <v>0</v>
      </c>
      <c r="L43" s="471">
        <f t="shared" si="17"/>
        <v>0</v>
      </c>
      <c r="M43" s="459">
        <f t="shared" si="18"/>
        <v>0</v>
      </c>
      <c r="N43" s="470">
        <f t="shared" si="19"/>
        <v>1</v>
      </c>
      <c r="O43" s="459">
        <f t="shared" si="20"/>
        <v>37190</v>
      </c>
      <c r="P43" s="339"/>
      <c r="Q43" s="338"/>
      <c r="R43" s="388"/>
      <c r="S43" s="388"/>
      <c r="T43" s="339"/>
    </row>
    <row r="44" spans="1:20" x14ac:dyDescent="0.2">
      <c r="A44" s="454" t="s">
        <v>681</v>
      </c>
      <c r="B44" s="925" t="s">
        <v>937</v>
      </c>
      <c r="C44" s="926" t="s">
        <v>654</v>
      </c>
      <c r="D44" s="677">
        <v>1</v>
      </c>
      <c r="E44" s="677">
        <v>25000</v>
      </c>
      <c r="F44" s="678">
        <v>25000</v>
      </c>
      <c r="G44" s="449">
        <v>0</v>
      </c>
      <c r="H44" s="459">
        <f t="shared" si="14"/>
        <v>0</v>
      </c>
      <c r="I44" s="470">
        <v>0</v>
      </c>
      <c r="J44" s="459">
        <f t="shared" si="15"/>
        <v>0</v>
      </c>
      <c r="K44" s="470">
        <f t="shared" si="16"/>
        <v>0</v>
      </c>
      <c r="L44" s="471">
        <f t="shared" si="17"/>
        <v>0</v>
      </c>
      <c r="M44" s="459">
        <f t="shared" si="18"/>
        <v>0</v>
      </c>
      <c r="N44" s="470">
        <f t="shared" si="19"/>
        <v>1</v>
      </c>
      <c r="O44" s="459">
        <f t="shared" si="20"/>
        <v>25000</v>
      </c>
      <c r="P44" s="339"/>
      <c r="Q44" s="338"/>
      <c r="R44" s="388"/>
      <c r="S44" s="388"/>
      <c r="T44" s="339"/>
    </row>
    <row r="45" spans="1:20" x14ac:dyDescent="0.2">
      <c r="A45" s="454" t="s">
        <v>682</v>
      </c>
      <c r="B45" s="925" t="s">
        <v>938</v>
      </c>
      <c r="C45" s="926" t="s">
        <v>654</v>
      </c>
      <c r="D45" s="677">
        <v>2</v>
      </c>
      <c r="E45" s="677">
        <v>2446.4</v>
      </c>
      <c r="F45" s="678">
        <v>4892.8</v>
      </c>
      <c r="G45" s="449">
        <v>0</v>
      </c>
      <c r="H45" s="459">
        <f t="shared" si="14"/>
        <v>0</v>
      </c>
      <c r="I45" s="470">
        <v>0</v>
      </c>
      <c r="J45" s="459">
        <f t="shared" si="15"/>
        <v>0</v>
      </c>
      <c r="K45" s="470">
        <f t="shared" si="16"/>
        <v>0</v>
      </c>
      <c r="L45" s="471">
        <f t="shared" si="17"/>
        <v>0</v>
      </c>
      <c r="M45" s="459">
        <f t="shared" si="18"/>
        <v>0</v>
      </c>
      <c r="N45" s="470">
        <f t="shared" si="19"/>
        <v>2</v>
      </c>
      <c r="O45" s="459">
        <f t="shared" si="20"/>
        <v>4892.8</v>
      </c>
      <c r="P45" s="339"/>
      <c r="Q45" s="338"/>
      <c r="R45" s="388"/>
      <c r="S45" s="388"/>
      <c r="T45" s="339"/>
    </row>
    <row r="46" spans="1:20" x14ac:dyDescent="0.2">
      <c r="A46" s="454" t="s">
        <v>683</v>
      </c>
      <c r="B46" s="925" t="s">
        <v>939</v>
      </c>
      <c r="C46" s="926" t="s">
        <v>654</v>
      </c>
      <c r="D46" s="677">
        <v>1</v>
      </c>
      <c r="E46" s="677">
        <v>7500</v>
      </c>
      <c r="F46" s="678">
        <v>7500</v>
      </c>
      <c r="G46" s="449">
        <v>0</v>
      </c>
      <c r="H46" s="459">
        <f t="shared" si="14"/>
        <v>0</v>
      </c>
      <c r="I46" s="470">
        <v>0</v>
      </c>
      <c r="J46" s="459">
        <f t="shared" si="15"/>
        <v>0</v>
      </c>
      <c r="K46" s="470">
        <f t="shared" si="16"/>
        <v>0</v>
      </c>
      <c r="L46" s="471">
        <f t="shared" si="17"/>
        <v>0</v>
      </c>
      <c r="M46" s="459">
        <f t="shared" si="18"/>
        <v>0</v>
      </c>
      <c r="N46" s="470">
        <f t="shared" si="19"/>
        <v>1</v>
      </c>
      <c r="O46" s="459">
        <f t="shared" si="20"/>
        <v>7500</v>
      </c>
      <c r="P46" s="339"/>
      <c r="Q46" s="338"/>
      <c r="R46" s="388"/>
      <c r="S46" s="388"/>
      <c r="T46" s="339"/>
    </row>
    <row r="47" spans="1:20" x14ac:dyDescent="0.2">
      <c r="A47" s="454" t="s">
        <v>684</v>
      </c>
      <c r="B47" s="925" t="s">
        <v>940</v>
      </c>
      <c r="C47" s="926" t="s">
        <v>654</v>
      </c>
      <c r="D47" s="677">
        <v>3</v>
      </c>
      <c r="E47" s="677">
        <v>4000</v>
      </c>
      <c r="F47" s="678">
        <v>12000</v>
      </c>
      <c r="G47" s="449">
        <v>0</v>
      </c>
      <c r="H47" s="459">
        <f t="shared" si="14"/>
        <v>0</v>
      </c>
      <c r="I47" s="470">
        <v>0</v>
      </c>
      <c r="J47" s="459">
        <f t="shared" si="15"/>
        <v>0</v>
      </c>
      <c r="K47" s="470">
        <f t="shared" si="16"/>
        <v>0</v>
      </c>
      <c r="L47" s="471">
        <f t="shared" si="17"/>
        <v>0</v>
      </c>
      <c r="M47" s="459">
        <f t="shared" si="18"/>
        <v>0</v>
      </c>
      <c r="N47" s="470">
        <f t="shared" si="19"/>
        <v>3</v>
      </c>
      <c r="O47" s="459">
        <f t="shared" si="20"/>
        <v>12000</v>
      </c>
      <c r="P47" s="339"/>
      <c r="Q47" s="338"/>
      <c r="R47" s="388"/>
      <c r="S47" s="388"/>
      <c r="T47" s="339"/>
    </row>
    <row r="48" spans="1:20" x14ac:dyDescent="0.2">
      <c r="A48" s="454" t="s">
        <v>685</v>
      </c>
      <c r="B48" s="925" t="s">
        <v>941</v>
      </c>
      <c r="C48" s="926" t="s">
        <v>654</v>
      </c>
      <c r="D48" s="677">
        <v>1</v>
      </c>
      <c r="E48" s="677">
        <v>12500</v>
      </c>
      <c r="F48" s="678">
        <v>12500</v>
      </c>
      <c r="G48" s="449">
        <v>0</v>
      </c>
      <c r="H48" s="459">
        <f t="shared" si="14"/>
        <v>0</v>
      </c>
      <c r="I48" s="470">
        <v>0</v>
      </c>
      <c r="J48" s="459">
        <f t="shared" si="15"/>
        <v>0</v>
      </c>
      <c r="K48" s="470">
        <f t="shared" si="16"/>
        <v>0</v>
      </c>
      <c r="L48" s="471">
        <f t="shared" si="17"/>
        <v>0</v>
      </c>
      <c r="M48" s="459">
        <f t="shared" si="18"/>
        <v>0</v>
      </c>
      <c r="N48" s="470">
        <f t="shared" si="19"/>
        <v>1</v>
      </c>
      <c r="O48" s="459">
        <f t="shared" si="20"/>
        <v>12500</v>
      </c>
      <c r="P48" s="339"/>
      <c r="Q48" s="338"/>
      <c r="R48" s="388"/>
      <c r="S48" s="388"/>
      <c r="T48" s="339"/>
    </row>
    <row r="49" spans="1:20" x14ac:dyDescent="0.2">
      <c r="A49" s="454" t="s">
        <v>686</v>
      </c>
      <c r="B49" s="925" t="s">
        <v>942</v>
      </c>
      <c r="C49" s="926" t="s">
        <v>654</v>
      </c>
      <c r="D49" s="677">
        <v>6</v>
      </c>
      <c r="E49" s="677">
        <v>978.42</v>
      </c>
      <c r="F49" s="678">
        <v>5870.5199999999995</v>
      </c>
      <c r="G49" s="449">
        <v>0</v>
      </c>
      <c r="H49" s="459">
        <f t="shared" si="14"/>
        <v>0</v>
      </c>
      <c r="I49" s="470">
        <v>0</v>
      </c>
      <c r="J49" s="459">
        <f t="shared" si="15"/>
        <v>0</v>
      </c>
      <c r="K49" s="470">
        <f t="shared" si="16"/>
        <v>0</v>
      </c>
      <c r="L49" s="471">
        <f t="shared" si="17"/>
        <v>0</v>
      </c>
      <c r="M49" s="459">
        <f t="shared" si="18"/>
        <v>0</v>
      </c>
      <c r="N49" s="470">
        <f t="shared" si="19"/>
        <v>6</v>
      </c>
      <c r="O49" s="459">
        <f t="shared" si="20"/>
        <v>5870.5199999999995</v>
      </c>
      <c r="P49" s="339"/>
      <c r="Q49" s="338"/>
      <c r="R49" s="388"/>
      <c r="S49" s="388"/>
      <c r="T49" s="339"/>
    </row>
    <row r="50" spans="1:20" x14ac:dyDescent="0.2">
      <c r="A50" s="454" t="s">
        <v>687</v>
      </c>
      <c r="B50" s="925" t="s">
        <v>943</v>
      </c>
      <c r="C50" s="926" t="s">
        <v>654</v>
      </c>
      <c r="D50" s="677">
        <v>3</v>
      </c>
      <c r="E50" s="677">
        <v>2749</v>
      </c>
      <c r="F50" s="678">
        <v>8247</v>
      </c>
      <c r="G50" s="449">
        <v>0</v>
      </c>
      <c r="H50" s="459">
        <f t="shared" si="14"/>
        <v>0</v>
      </c>
      <c r="I50" s="470">
        <v>0</v>
      </c>
      <c r="J50" s="459">
        <f t="shared" si="15"/>
        <v>0</v>
      </c>
      <c r="K50" s="470">
        <f t="shared" si="16"/>
        <v>0</v>
      </c>
      <c r="L50" s="471">
        <f t="shared" si="17"/>
        <v>0</v>
      </c>
      <c r="M50" s="459">
        <f t="shared" si="18"/>
        <v>0</v>
      </c>
      <c r="N50" s="470">
        <f t="shared" si="19"/>
        <v>3</v>
      </c>
      <c r="O50" s="459">
        <f t="shared" si="20"/>
        <v>8247</v>
      </c>
      <c r="P50" s="339"/>
      <c r="Q50" s="338"/>
      <c r="R50" s="388"/>
      <c r="S50" s="388"/>
      <c r="T50" s="339"/>
    </row>
    <row r="51" spans="1:20" x14ac:dyDescent="0.2">
      <c r="A51" s="454" t="s">
        <v>688</v>
      </c>
      <c r="B51" s="925" t="s">
        <v>944</v>
      </c>
      <c r="C51" s="926" t="s">
        <v>654</v>
      </c>
      <c r="D51" s="677">
        <v>3</v>
      </c>
      <c r="E51" s="677">
        <v>3500</v>
      </c>
      <c r="F51" s="678">
        <v>10500</v>
      </c>
      <c r="G51" s="449">
        <v>0</v>
      </c>
      <c r="H51" s="459">
        <f t="shared" si="14"/>
        <v>0</v>
      </c>
      <c r="I51" s="470">
        <v>0</v>
      </c>
      <c r="J51" s="459">
        <f t="shared" si="15"/>
        <v>0</v>
      </c>
      <c r="K51" s="470">
        <f t="shared" si="16"/>
        <v>0</v>
      </c>
      <c r="L51" s="471">
        <f t="shared" si="17"/>
        <v>0</v>
      </c>
      <c r="M51" s="459">
        <f t="shared" si="18"/>
        <v>0</v>
      </c>
      <c r="N51" s="470">
        <f t="shared" si="19"/>
        <v>3</v>
      </c>
      <c r="O51" s="459">
        <f t="shared" si="20"/>
        <v>10500</v>
      </c>
      <c r="P51" s="339"/>
      <c r="Q51" s="338"/>
      <c r="R51" s="388"/>
      <c r="S51" s="388"/>
      <c r="T51" s="339"/>
    </row>
    <row r="52" spans="1:20" x14ac:dyDescent="0.2">
      <c r="A52" s="454" t="s">
        <v>689</v>
      </c>
      <c r="B52" s="925" t="s">
        <v>945</v>
      </c>
      <c r="C52" s="926" t="s">
        <v>654</v>
      </c>
      <c r="D52" s="677">
        <v>1</v>
      </c>
      <c r="E52" s="677">
        <v>21000</v>
      </c>
      <c r="F52" s="678">
        <v>21000</v>
      </c>
      <c r="G52" s="449">
        <v>0</v>
      </c>
      <c r="H52" s="459">
        <f t="shared" si="14"/>
        <v>0</v>
      </c>
      <c r="I52" s="470">
        <v>0</v>
      </c>
      <c r="J52" s="459">
        <f t="shared" si="15"/>
        <v>0</v>
      </c>
      <c r="K52" s="470">
        <f t="shared" si="16"/>
        <v>0</v>
      </c>
      <c r="L52" s="471">
        <f t="shared" si="17"/>
        <v>0</v>
      </c>
      <c r="M52" s="459">
        <f t="shared" si="18"/>
        <v>0</v>
      </c>
      <c r="N52" s="470">
        <f t="shared" si="19"/>
        <v>1</v>
      </c>
      <c r="O52" s="459">
        <f t="shared" si="20"/>
        <v>21000</v>
      </c>
      <c r="P52" s="339"/>
      <c r="Q52" s="338"/>
      <c r="R52" s="388"/>
      <c r="S52" s="388"/>
      <c r="T52" s="339"/>
    </row>
    <row r="53" spans="1:20" x14ac:dyDescent="0.2">
      <c r="A53" s="454" t="s">
        <v>690</v>
      </c>
      <c r="B53" s="925" t="s">
        <v>946</v>
      </c>
      <c r="C53" s="926" t="s">
        <v>654</v>
      </c>
      <c r="D53" s="677">
        <v>1</v>
      </c>
      <c r="E53" s="677">
        <v>18500</v>
      </c>
      <c r="F53" s="678">
        <v>18500</v>
      </c>
      <c r="G53" s="449">
        <v>0</v>
      </c>
      <c r="H53" s="459">
        <f t="shared" si="14"/>
        <v>0</v>
      </c>
      <c r="I53" s="470">
        <v>0</v>
      </c>
      <c r="J53" s="459">
        <f t="shared" si="15"/>
        <v>0</v>
      </c>
      <c r="K53" s="470">
        <f t="shared" si="16"/>
        <v>0</v>
      </c>
      <c r="L53" s="471">
        <f t="shared" si="17"/>
        <v>0</v>
      </c>
      <c r="M53" s="459">
        <f t="shared" si="18"/>
        <v>0</v>
      </c>
      <c r="N53" s="470">
        <f t="shared" si="19"/>
        <v>1</v>
      </c>
      <c r="O53" s="459">
        <f t="shared" si="20"/>
        <v>18500</v>
      </c>
      <c r="P53" s="339"/>
      <c r="Q53" s="338"/>
      <c r="R53" s="388"/>
      <c r="S53" s="388"/>
      <c r="T53" s="339"/>
    </row>
    <row r="54" spans="1:20" s="933" customFormat="1" x14ac:dyDescent="0.2">
      <c r="A54" s="919" t="s">
        <v>691</v>
      </c>
      <c r="B54" s="927" t="s">
        <v>692</v>
      </c>
      <c r="C54" s="928"/>
      <c r="D54" s="920"/>
      <c r="E54" s="920"/>
      <c r="F54" s="921"/>
      <c r="G54" s="929"/>
      <c r="H54" s="923"/>
      <c r="I54" s="922"/>
      <c r="J54" s="923"/>
      <c r="K54" s="922"/>
      <c r="L54" s="924"/>
      <c r="M54" s="923"/>
      <c r="N54" s="922"/>
      <c r="O54" s="923"/>
      <c r="P54" s="930"/>
      <c r="Q54" s="931"/>
      <c r="R54" s="932"/>
      <c r="S54" s="932"/>
      <c r="T54" s="930"/>
    </row>
    <row r="55" spans="1:20" x14ac:dyDescent="0.2">
      <c r="A55" s="454" t="s">
        <v>693</v>
      </c>
      <c r="B55" s="925" t="s">
        <v>947</v>
      </c>
      <c r="C55" s="926" t="s">
        <v>654</v>
      </c>
      <c r="D55" s="677">
        <v>8</v>
      </c>
      <c r="E55" s="677">
        <v>123.1</v>
      </c>
      <c r="F55" s="678">
        <v>984.8</v>
      </c>
      <c r="G55" s="449">
        <v>0</v>
      </c>
      <c r="H55" s="459">
        <f t="shared" ref="H55:H59" si="21">+G55*E55</f>
        <v>0</v>
      </c>
      <c r="I55" s="470">
        <v>0</v>
      </c>
      <c r="J55" s="459">
        <f t="shared" ref="J55:J59" si="22">+I55*E55</f>
        <v>0</v>
      </c>
      <c r="K55" s="470">
        <f t="shared" ref="K55:K59" si="23">+G55+I55</f>
        <v>0</v>
      </c>
      <c r="L55" s="471">
        <f t="shared" ref="L55:L59" si="24">+K55*E55</f>
        <v>0</v>
      </c>
      <c r="M55" s="459">
        <f t="shared" ref="M55:M59" si="25">+K55*100/D55</f>
        <v>0</v>
      </c>
      <c r="N55" s="470">
        <f t="shared" ref="N55:N59" si="26">+D55-K55</f>
        <v>8</v>
      </c>
      <c r="O55" s="459">
        <f t="shared" ref="O55:O59" si="27">+F55-L55</f>
        <v>984.8</v>
      </c>
      <c r="P55" s="339"/>
      <c r="Q55" s="338"/>
      <c r="R55" s="388"/>
      <c r="S55" s="388"/>
      <c r="T55" s="339"/>
    </row>
    <row r="56" spans="1:20" x14ac:dyDescent="0.2">
      <c r="A56" s="454" t="s">
        <v>694</v>
      </c>
      <c r="B56" s="925" t="s">
        <v>948</v>
      </c>
      <c r="C56" s="926" t="s">
        <v>654</v>
      </c>
      <c r="D56" s="677">
        <v>15</v>
      </c>
      <c r="E56" s="677">
        <v>139</v>
      </c>
      <c r="F56" s="678">
        <v>2085</v>
      </c>
      <c r="G56" s="449">
        <v>0</v>
      </c>
      <c r="H56" s="459">
        <f t="shared" si="21"/>
        <v>0</v>
      </c>
      <c r="I56" s="470">
        <v>0</v>
      </c>
      <c r="J56" s="459">
        <f t="shared" si="22"/>
        <v>0</v>
      </c>
      <c r="K56" s="470">
        <f t="shared" si="23"/>
        <v>0</v>
      </c>
      <c r="L56" s="471">
        <f t="shared" si="24"/>
        <v>0</v>
      </c>
      <c r="M56" s="459">
        <f t="shared" si="25"/>
        <v>0</v>
      </c>
      <c r="N56" s="470">
        <f t="shared" si="26"/>
        <v>15</v>
      </c>
      <c r="O56" s="459">
        <f t="shared" si="27"/>
        <v>2085</v>
      </c>
      <c r="P56" s="339"/>
      <c r="Q56" s="338"/>
      <c r="R56" s="388"/>
      <c r="S56" s="388"/>
      <c r="T56" s="339"/>
    </row>
    <row r="57" spans="1:20" x14ac:dyDescent="0.2">
      <c r="A57" s="454" t="s">
        <v>695</v>
      </c>
      <c r="B57" s="925" t="s">
        <v>949</v>
      </c>
      <c r="C57" s="926" t="s">
        <v>654</v>
      </c>
      <c r="D57" s="677">
        <v>15</v>
      </c>
      <c r="E57" s="677">
        <v>139</v>
      </c>
      <c r="F57" s="678">
        <v>2085</v>
      </c>
      <c r="G57" s="449">
        <v>0</v>
      </c>
      <c r="H57" s="459">
        <f t="shared" si="21"/>
        <v>0</v>
      </c>
      <c r="I57" s="470">
        <v>0</v>
      </c>
      <c r="J57" s="459">
        <f t="shared" si="22"/>
        <v>0</v>
      </c>
      <c r="K57" s="470">
        <f t="shared" si="23"/>
        <v>0</v>
      </c>
      <c r="L57" s="471">
        <f t="shared" si="24"/>
        <v>0</v>
      </c>
      <c r="M57" s="459">
        <f t="shared" si="25"/>
        <v>0</v>
      </c>
      <c r="N57" s="470">
        <f t="shared" si="26"/>
        <v>15</v>
      </c>
      <c r="O57" s="459">
        <f t="shared" si="27"/>
        <v>2085</v>
      </c>
      <c r="P57" s="339"/>
      <c r="Q57" s="338"/>
      <c r="R57" s="388"/>
      <c r="S57" s="388"/>
      <c r="T57" s="339"/>
    </row>
    <row r="58" spans="1:20" x14ac:dyDescent="0.2">
      <c r="A58" s="454" t="s">
        <v>696</v>
      </c>
      <c r="B58" s="925" t="s">
        <v>950</v>
      </c>
      <c r="C58" s="926" t="s">
        <v>654</v>
      </c>
      <c r="D58" s="677">
        <v>10</v>
      </c>
      <c r="E58" s="677">
        <v>885</v>
      </c>
      <c r="F58" s="678">
        <v>8850</v>
      </c>
      <c r="G58" s="449">
        <v>0</v>
      </c>
      <c r="H58" s="459">
        <f t="shared" si="21"/>
        <v>0</v>
      </c>
      <c r="I58" s="470">
        <v>0</v>
      </c>
      <c r="J58" s="459">
        <f t="shared" si="22"/>
        <v>0</v>
      </c>
      <c r="K58" s="470">
        <f t="shared" si="23"/>
        <v>0</v>
      </c>
      <c r="L58" s="471">
        <f t="shared" si="24"/>
        <v>0</v>
      </c>
      <c r="M58" s="459">
        <f t="shared" si="25"/>
        <v>0</v>
      </c>
      <c r="N58" s="470">
        <f t="shared" si="26"/>
        <v>10</v>
      </c>
      <c r="O58" s="459">
        <f t="shared" si="27"/>
        <v>8850</v>
      </c>
      <c r="P58" s="339"/>
      <c r="Q58" s="338"/>
      <c r="R58" s="388"/>
      <c r="S58" s="388"/>
      <c r="T58" s="339"/>
    </row>
    <row r="59" spans="1:20" x14ac:dyDescent="0.2">
      <c r="A59" s="454" t="s">
        <v>697</v>
      </c>
      <c r="B59" s="925" t="s">
        <v>951</v>
      </c>
      <c r="C59" s="926" t="s">
        <v>654</v>
      </c>
      <c r="D59" s="677">
        <v>15</v>
      </c>
      <c r="E59" s="677">
        <v>50</v>
      </c>
      <c r="F59" s="678">
        <v>750</v>
      </c>
      <c r="G59" s="449">
        <v>0</v>
      </c>
      <c r="H59" s="459">
        <f t="shared" si="21"/>
        <v>0</v>
      </c>
      <c r="I59" s="470">
        <v>0</v>
      </c>
      <c r="J59" s="459">
        <f t="shared" si="22"/>
        <v>0</v>
      </c>
      <c r="K59" s="470">
        <f t="shared" si="23"/>
        <v>0</v>
      </c>
      <c r="L59" s="471">
        <f t="shared" si="24"/>
        <v>0</v>
      </c>
      <c r="M59" s="459">
        <f t="shared" si="25"/>
        <v>0</v>
      </c>
      <c r="N59" s="470">
        <f t="shared" si="26"/>
        <v>15</v>
      </c>
      <c r="O59" s="459">
        <f t="shared" si="27"/>
        <v>750</v>
      </c>
      <c r="P59" s="339"/>
      <c r="Q59" s="338"/>
      <c r="R59" s="388"/>
      <c r="S59" s="388"/>
      <c r="T59" s="339"/>
    </row>
    <row r="60" spans="1:20" x14ac:dyDescent="0.2">
      <c r="A60" s="454" t="s">
        <v>698</v>
      </c>
      <c r="B60" s="925" t="s">
        <v>952</v>
      </c>
      <c r="C60" s="926" t="s">
        <v>654</v>
      </c>
      <c r="D60" s="677">
        <v>10</v>
      </c>
      <c r="E60" s="677">
        <v>1549</v>
      </c>
      <c r="F60" s="678">
        <v>15490</v>
      </c>
      <c r="G60" s="449">
        <v>0</v>
      </c>
      <c r="H60" s="459">
        <f t="shared" ref="H60:H116" si="28">+G60*E60</f>
        <v>0</v>
      </c>
      <c r="I60" s="470">
        <v>0</v>
      </c>
      <c r="J60" s="459">
        <f t="shared" ref="J60:J116" si="29">+I60*E60</f>
        <v>0</v>
      </c>
      <c r="K60" s="470">
        <f t="shared" ref="K60:K116" si="30">+G60+I60</f>
        <v>0</v>
      </c>
      <c r="L60" s="471">
        <f t="shared" ref="L60:L116" si="31">+K60*E60</f>
        <v>0</v>
      </c>
      <c r="M60" s="459">
        <f t="shared" ref="M60:M116" si="32">+K60*100/D60</f>
        <v>0</v>
      </c>
      <c r="N60" s="470">
        <f t="shared" ref="N60:N116" si="33">+D60-K60</f>
        <v>10</v>
      </c>
      <c r="O60" s="459">
        <f t="shared" ref="O60:O116" si="34">+F60-L60</f>
        <v>15490</v>
      </c>
      <c r="P60" s="339"/>
      <c r="Q60" s="338"/>
      <c r="R60" s="388"/>
      <c r="S60" s="388"/>
      <c r="T60" s="339"/>
    </row>
    <row r="61" spans="1:20" x14ac:dyDescent="0.2">
      <c r="A61" s="454" t="s">
        <v>699</v>
      </c>
      <c r="B61" s="925" t="s">
        <v>953</v>
      </c>
      <c r="C61" s="926" t="s">
        <v>654</v>
      </c>
      <c r="D61" s="677">
        <v>5</v>
      </c>
      <c r="E61" s="677">
        <v>5000</v>
      </c>
      <c r="F61" s="678">
        <v>25000</v>
      </c>
      <c r="G61" s="449">
        <v>0</v>
      </c>
      <c r="H61" s="459">
        <f t="shared" si="28"/>
        <v>0</v>
      </c>
      <c r="I61" s="470">
        <v>0</v>
      </c>
      <c r="J61" s="459">
        <f t="shared" si="29"/>
        <v>0</v>
      </c>
      <c r="K61" s="470">
        <f t="shared" si="30"/>
        <v>0</v>
      </c>
      <c r="L61" s="471">
        <f t="shared" si="31"/>
        <v>0</v>
      </c>
      <c r="M61" s="459">
        <f t="shared" si="32"/>
        <v>0</v>
      </c>
      <c r="N61" s="470">
        <f t="shared" si="33"/>
        <v>5</v>
      </c>
      <c r="O61" s="459">
        <f t="shared" si="34"/>
        <v>25000</v>
      </c>
      <c r="P61" s="339"/>
      <c r="Q61" s="338"/>
      <c r="R61" s="388"/>
      <c r="S61" s="388"/>
      <c r="T61" s="339"/>
    </row>
    <row r="62" spans="1:20" x14ac:dyDescent="0.2">
      <c r="A62" s="454" t="s">
        <v>700</v>
      </c>
      <c r="B62" s="925" t="s">
        <v>954</v>
      </c>
      <c r="C62" s="926" t="s">
        <v>654</v>
      </c>
      <c r="D62" s="677">
        <v>10</v>
      </c>
      <c r="E62" s="677">
        <v>300</v>
      </c>
      <c r="F62" s="678">
        <v>3000</v>
      </c>
      <c r="G62" s="449">
        <v>0</v>
      </c>
      <c r="H62" s="459">
        <f t="shared" si="28"/>
        <v>0</v>
      </c>
      <c r="I62" s="470">
        <v>0</v>
      </c>
      <c r="J62" s="459">
        <f t="shared" si="29"/>
        <v>0</v>
      </c>
      <c r="K62" s="470">
        <f t="shared" si="30"/>
        <v>0</v>
      </c>
      <c r="L62" s="471">
        <f t="shared" si="31"/>
        <v>0</v>
      </c>
      <c r="M62" s="459">
        <f t="shared" si="32"/>
        <v>0</v>
      </c>
      <c r="N62" s="470">
        <f t="shared" si="33"/>
        <v>10</v>
      </c>
      <c r="O62" s="459">
        <f t="shared" si="34"/>
        <v>3000</v>
      </c>
      <c r="P62" s="339"/>
      <c r="Q62" s="338"/>
      <c r="R62" s="388"/>
      <c r="S62" s="388"/>
      <c r="T62" s="339"/>
    </row>
    <row r="63" spans="1:20" x14ac:dyDescent="0.2">
      <c r="A63" s="454" t="s">
        <v>701</v>
      </c>
      <c r="B63" s="925" t="s">
        <v>955</v>
      </c>
      <c r="C63" s="926" t="s">
        <v>654</v>
      </c>
      <c r="D63" s="677">
        <v>10</v>
      </c>
      <c r="E63" s="677">
        <v>1000</v>
      </c>
      <c r="F63" s="678">
        <v>10000</v>
      </c>
      <c r="G63" s="449">
        <v>0</v>
      </c>
      <c r="H63" s="459">
        <f t="shared" si="28"/>
        <v>0</v>
      </c>
      <c r="I63" s="470">
        <v>0</v>
      </c>
      <c r="J63" s="459">
        <f t="shared" si="29"/>
        <v>0</v>
      </c>
      <c r="K63" s="470">
        <f t="shared" si="30"/>
        <v>0</v>
      </c>
      <c r="L63" s="471">
        <f t="shared" si="31"/>
        <v>0</v>
      </c>
      <c r="M63" s="459">
        <f t="shared" si="32"/>
        <v>0</v>
      </c>
      <c r="N63" s="470">
        <f t="shared" si="33"/>
        <v>10</v>
      </c>
      <c r="O63" s="459">
        <f t="shared" si="34"/>
        <v>10000</v>
      </c>
      <c r="P63" s="339"/>
      <c r="Q63" s="338"/>
      <c r="R63" s="388"/>
      <c r="S63" s="388"/>
      <c r="T63" s="339"/>
    </row>
    <row r="64" spans="1:20" x14ac:dyDescent="0.2">
      <c r="A64" s="454" t="s">
        <v>702</v>
      </c>
      <c r="B64" s="925" t="s">
        <v>956</v>
      </c>
      <c r="C64" s="926" t="s">
        <v>654</v>
      </c>
      <c r="D64" s="677">
        <v>7</v>
      </c>
      <c r="E64" s="677">
        <v>1500</v>
      </c>
      <c r="F64" s="678">
        <v>10500</v>
      </c>
      <c r="G64" s="449">
        <v>0</v>
      </c>
      <c r="H64" s="459">
        <f t="shared" si="28"/>
        <v>0</v>
      </c>
      <c r="I64" s="470">
        <v>0</v>
      </c>
      <c r="J64" s="459">
        <f t="shared" si="29"/>
        <v>0</v>
      </c>
      <c r="K64" s="470">
        <f t="shared" si="30"/>
        <v>0</v>
      </c>
      <c r="L64" s="471">
        <f t="shared" si="31"/>
        <v>0</v>
      </c>
      <c r="M64" s="459">
        <f t="shared" si="32"/>
        <v>0</v>
      </c>
      <c r="N64" s="470">
        <f t="shared" si="33"/>
        <v>7</v>
      </c>
      <c r="O64" s="459">
        <f t="shared" si="34"/>
        <v>10500</v>
      </c>
      <c r="P64" s="339"/>
      <c r="Q64" s="338"/>
      <c r="R64" s="388"/>
      <c r="S64" s="388"/>
      <c r="T64" s="339"/>
    </row>
    <row r="65" spans="1:20" x14ac:dyDescent="0.2">
      <c r="A65" s="454" t="s">
        <v>703</v>
      </c>
      <c r="B65" s="925" t="s">
        <v>957</v>
      </c>
      <c r="C65" s="926" t="s">
        <v>654</v>
      </c>
      <c r="D65" s="677">
        <v>7</v>
      </c>
      <c r="E65" s="677">
        <v>2017.75</v>
      </c>
      <c r="F65" s="678">
        <v>14124.25</v>
      </c>
      <c r="G65" s="449">
        <v>0</v>
      </c>
      <c r="H65" s="459">
        <f t="shared" si="28"/>
        <v>0</v>
      </c>
      <c r="I65" s="470">
        <v>0</v>
      </c>
      <c r="J65" s="459">
        <f t="shared" si="29"/>
        <v>0</v>
      </c>
      <c r="K65" s="470">
        <f t="shared" si="30"/>
        <v>0</v>
      </c>
      <c r="L65" s="471">
        <f t="shared" si="31"/>
        <v>0</v>
      </c>
      <c r="M65" s="459">
        <f t="shared" si="32"/>
        <v>0</v>
      </c>
      <c r="N65" s="470">
        <f t="shared" si="33"/>
        <v>7</v>
      </c>
      <c r="O65" s="459">
        <f t="shared" si="34"/>
        <v>14124.25</v>
      </c>
      <c r="P65" s="339"/>
      <c r="Q65" s="338"/>
      <c r="R65" s="388"/>
      <c r="S65" s="388"/>
      <c r="T65" s="339"/>
    </row>
    <row r="66" spans="1:20" x14ac:dyDescent="0.2">
      <c r="A66" s="454" t="s">
        <v>704</v>
      </c>
      <c r="B66" s="925" t="s">
        <v>958</v>
      </c>
      <c r="C66" s="926" t="s">
        <v>654</v>
      </c>
      <c r="D66" s="677">
        <v>5</v>
      </c>
      <c r="E66" s="677">
        <v>600</v>
      </c>
      <c r="F66" s="678">
        <v>3000</v>
      </c>
      <c r="G66" s="449">
        <v>0</v>
      </c>
      <c r="H66" s="459">
        <f t="shared" si="28"/>
        <v>0</v>
      </c>
      <c r="I66" s="470">
        <v>0</v>
      </c>
      <c r="J66" s="459">
        <f t="shared" si="29"/>
        <v>0</v>
      </c>
      <c r="K66" s="470">
        <f t="shared" si="30"/>
        <v>0</v>
      </c>
      <c r="L66" s="471">
        <f t="shared" si="31"/>
        <v>0</v>
      </c>
      <c r="M66" s="459">
        <f t="shared" si="32"/>
        <v>0</v>
      </c>
      <c r="N66" s="470">
        <f t="shared" si="33"/>
        <v>5</v>
      </c>
      <c r="O66" s="459">
        <f t="shared" si="34"/>
        <v>3000</v>
      </c>
      <c r="P66" s="339"/>
      <c r="Q66" s="338"/>
      <c r="R66" s="388"/>
      <c r="S66" s="388"/>
      <c r="T66" s="339"/>
    </row>
    <row r="67" spans="1:20" x14ac:dyDescent="0.2">
      <c r="A67" s="454" t="s">
        <v>705</v>
      </c>
      <c r="B67" s="925" t="s">
        <v>959</v>
      </c>
      <c r="C67" s="926" t="s">
        <v>654</v>
      </c>
      <c r="D67" s="677">
        <v>4</v>
      </c>
      <c r="E67" s="677">
        <v>500</v>
      </c>
      <c r="F67" s="678">
        <v>2000</v>
      </c>
      <c r="G67" s="449">
        <v>0</v>
      </c>
      <c r="H67" s="459">
        <f t="shared" si="28"/>
        <v>0</v>
      </c>
      <c r="I67" s="470">
        <v>0</v>
      </c>
      <c r="J67" s="459">
        <f t="shared" si="29"/>
        <v>0</v>
      </c>
      <c r="K67" s="470">
        <f t="shared" si="30"/>
        <v>0</v>
      </c>
      <c r="L67" s="471">
        <f t="shared" si="31"/>
        <v>0</v>
      </c>
      <c r="M67" s="459">
        <f t="shared" si="32"/>
        <v>0</v>
      </c>
      <c r="N67" s="470">
        <f t="shared" si="33"/>
        <v>4</v>
      </c>
      <c r="O67" s="459">
        <f t="shared" si="34"/>
        <v>2000</v>
      </c>
      <c r="P67" s="339"/>
      <c r="Q67" s="338"/>
      <c r="R67" s="388"/>
      <c r="S67" s="388"/>
      <c r="T67" s="339"/>
    </row>
    <row r="68" spans="1:20" x14ac:dyDescent="0.2">
      <c r="A68" s="454" t="s">
        <v>706</v>
      </c>
      <c r="B68" s="925" t="s">
        <v>960</v>
      </c>
      <c r="C68" s="926" t="s">
        <v>654</v>
      </c>
      <c r="D68" s="677">
        <v>2</v>
      </c>
      <c r="E68" s="677">
        <v>187.62</v>
      </c>
      <c r="F68" s="678">
        <v>375.24</v>
      </c>
      <c r="G68" s="449">
        <v>0</v>
      </c>
      <c r="H68" s="459">
        <f t="shared" si="28"/>
        <v>0</v>
      </c>
      <c r="I68" s="470">
        <v>0</v>
      </c>
      <c r="J68" s="459">
        <f t="shared" si="29"/>
        <v>0</v>
      </c>
      <c r="K68" s="470">
        <f t="shared" si="30"/>
        <v>0</v>
      </c>
      <c r="L68" s="471">
        <f t="shared" si="31"/>
        <v>0</v>
      </c>
      <c r="M68" s="459">
        <f t="shared" si="32"/>
        <v>0</v>
      </c>
      <c r="N68" s="470">
        <f t="shared" si="33"/>
        <v>2</v>
      </c>
      <c r="O68" s="459">
        <f t="shared" si="34"/>
        <v>375.24</v>
      </c>
      <c r="P68" s="339"/>
      <c r="Q68" s="338"/>
      <c r="R68" s="388"/>
      <c r="S68" s="388"/>
      <c r="T68" s="339"/>
    </row>
    <row r="69" spans="1:20" x14ac:dyDescent="0.2">
      <c r="A69" s="454" t="s">
        <v>707</v>
      </c>
      <c r="B69" s="925" t="s">
        <v>961</v>
      </c>
      <c r="C69" s="926" t="s">
        <v>654</v>
      </c>
      <c r="D69" s="677">
        <v>10</v>
      </c>
      <c r="E69" s="677">
        <v>300</v>
      </c>
      <c r="F69" s="678">
        <v>3000</v>
      </c>
      <c r="G69" s="449">
        <v>0</v>
      </c>
      <c r="H69" s="459">
        <f t="shared" si="28"/>
        <v>0</v>
      </c>
      <c r="I69" s="470">
        <v>0</v>
      </c>
      <c r="J69" s="459">
        <f t="shared" si="29"/>
        <v>0</v>
      </c>
      <c r="K69" s="470">
        <f t="shared" si="30"/>
        <v>0</v>
      </c>
      <c r="L69" s="471">
        <f t="shared" si="31"/>
        <v>0</v>
      </c>
      <c r="M69" s="459">
        <f t="shared" si="32"/>
        <v>0</v>
      </c>
      <c r="N69" s="470">
        <f t="shared" si="33"/>
        <v>10</v>
      </c>
      <c r="O69" s="459">
        <f t="shared" si="34"/>
        <v>3000</v>
      </c>
      <c r="P69" s="339"/>
      <c r="Q69" s="338"/>
      <c r="R69" s="388"/>
      <c r="S69" s="388"/>
      <c r="T69" s="339"/>
    </row>
    <row r="70" spans="1:20" x14ac:dyDescent="0.2">
      <c r="A70" s="454" t="s">
        <v>708</v>
      </c>
      <c r="B70" s="925" t="s">
        <v>962</v>
      </c>
      <c r="C70" s="926" t="s">
        <v>654</v>
      </c>
      <c r="D70" s="677">
        <v>10</v>
      </c>
      <c r="E70" s="677">
        <v>750</v>
      </c>
      <c r="F70" s="678">
        <v>7500</v>
      </c>
      <c r="G70" s="449">
        <v>0</v>
      </c>
      <c r="H70" s="459">
        <f t="shared" si="28"/>
        <v>0</v>
      </c>
      <c r="I70" s="470">
        <v>0</v>
      </c>
      <c r="J70" s="459">
        <f t="shared" si="29"/>
        <v>0</v>
      </c>
      <c r="K70" s="470">
        <f t="shared" si="30"/>
        <v>0</v>
      </c>
      <c r="L70" s="471">
        <f t="shared" si="31"/>
        <v>0</v>
      </c>
      <c r="M70" s="459">
        <f t="shared" si="32"/>
        <v>0</v>
      </c>
      <c r="N70" s="470">
        <f t="shared" si="33"/>
        <v>10</v>
      </c>
      <c r="O70" s="459">
        <f t="shared" si="34"/>
        <v>7500</v>
      </c>
      <c r="P70" s="339"/>
      <c r="Q70" s="338"/>
      <c r="R70" s="388"/>
      <c r="S70" s="388"/>
      <c r="T70" s="339"/>
    </row>
    <row r="71" spans="1:20" x14ac:dyDescent="0.2">
      <c r="A71" s="454" t="s">
        <v>709</v>
      </c>
      <c r="B71" s="925" t="s">
        <v>963</v>
      </c>
      <c r="C71" s="926" t="s">
        <v>654</v>
      </c>
      <c r="D71" s="677">
        <v>15</v>
      </c>
      <c r="E71" s="677">
        <v>350</v>
      </c>
      <c r="F71" s="678">
        <v>5250</v>
      </c>
      <c r="G71" s="449">
        <v>0</v>
      </c>
      <c r="H71" s="459">
        <f t="shared" si="28"/>
        <v>0</v>
      </c>
      <c r="I71" s="470">
        <v>0</v>
      </c>
      <c r="J71" s="459">
        <f t="shared" si="29"/>
        <v>0</v>
      </c>
      <c r="K71" s="470">
        <f t="shared" si="30"/>
        <v>0</v>
      </c>
      <c r="L71" s="471">
        <f t="shared" si="31"/>
        <v>0</v>
      </c>
      <c r="M71" s="459">
        <f t="shared" si="32"/>
        <v>0</v>
      </c>
      <c r="N71" s="470">
        <f t="shared" si="33"/>
        <v>15</v>
      </c>
      <c r="O71" s="459">
        <f t="shared" si="34"/>
        <v>5250</v>
      </c>
      <c r="P71" s="339"/>
      <c r="Q71" s="338"/>
      <c r="R71" s="388"/>
      <c r="S71" s="388"/>
      <c r="T71" s="339"/>
    </row>
    <row r="72" spans="1:20" x14ac:dyDescent="0.2">
      <c r="A72" s="454" t="s">
        <v>710</v>
      </c>
      <c r="B72" s="925" t="s">
        <v>964</v>
      </c>
      <c r="C72" s="926" t="s">
        <v>654</v>
      </c>
      <c r="D72" s="677">
        <v>1</v>
      </c>
      <c r="E72" s="677">
        <v>1500</v>
      </c>
      <c r="F72" s="678">
        <v>1500</v>
      </c>
      <c r="G72" s="449">
        <v>0</v>
      </c>
      <c r="H72" s="459">
        <f t="shared" si="28"/>
        <v>0</v>
      </c>
      <c r="I72" s="470">
        <v>0</v>
      </c>
      <c r="J72" s="459">
        <f t="shared" si="29"/>
        <v>0</v>
      </c>
      <c r="K72" s="470">
        <f t="shared" si="30"/>
        <v>0</v>
      </c>
      <c r="L72" s="471">
        <f t="shared" si="31"/>
        <v>0</v>
      </c>
      <c r="M72" s="459">
        <f t="shared" si="32"/>
        <v>0</v>
      </c>
      <c r="N72" s="470">
        <f t="shared" si="33"/>
        <v>1</v>
      </c>
      <c r="O72" s="459">
        <f t="shared" si="34"/>
        <v>1500</v>
      </c>
      <c r="P72" s="339"/>
      <c r="Q72" s="338"/>
      <c r="R72" s="388"/>
      <c r="S72" s="388"/>
      <c r="T72" s="339"/>
    </row>
    <row r="73" spans="1:20" x14ac:dyDescent="0.2">
      <c r="A73" s="454" t="s">
        <v>711</v>
      </c>
      <c r="B73" s="925" t="s">
        <v>965</v>
      </c>
      <c r="C73" s="926" t="s">
        <v>654</v>
      </c>
      <c r="D73" s="677">
        <v>5</v>
      </c>
      <c r="E73" s="677">
        <v>700</v>
      </c>
      <c r="F73" s="678">
        <v>3500</v>
      </c>
      <c r="G73" s="449">
        <v>0</v>
      </c>
      <c r="H73" s="459">
        <f t="shared" si="28"/>
        <v>0</v>
      </c>
      <c r="I73" s="470">
        <v>0</v>
      </c>
      <c r="J73" s="459">
        <f t="shared" si="29"/>
        <v>0</v>
      </c>
      <c r="K73" s="470">
        <f t="shared" si="30"/>
        <v>0</v>
      </c>
      <c r="L73" s="471">
        <f t="shared" si="31"/>
        <v>0</v>
      </c>
      <c r="M73" s="459">
        <f t="shared" si="32"/>
        <v>0</v>
      </c>
      <c r="N73" s="470">
        <f t="shared" si="33"/>
        <v>5</v>
      </c>
      <c r="O73" s="459">
        <f t="shared" si="34"/>
        <v>3500</v>
      </c>
      <c r="P73" s="339"/>
      <c r="Q73" s="338"/>
      <c r="R73" s="388"/>
      <c r="S73" s="388"/>
      <c r="T73" s="339"/>
    </row>
    <row r="74" spans="1:20" x14ac:dyDescent="0.2">
      <c r="A74" s="454" t="s">
        <v>712</v>
      </c>
      <c r="B74" s="925" t="s">
        <v>966</v>
      </c>
      <c r="C74" s="926" t="s">
        <v>654</v>
      </c>
      <c r="D74" s="677">
        <v>14</v>
      </c>
      <c r="E74" s="677">
        <v>320</v>
      </c>
      <c r="F74" s="678">
        <v>4480</v>
      </c>
      <c r="G74" s="449">
        <v>0</v>
      </c>
      <c r="H74" s="459">
        <f t="shared" si="28"/>
        <v>0</v>
      </c>
      <c r="I74" s="470">
        <v>0</v>
      </c>
      <c r="J74" s="459">
        <f t="shared" si="29"/>
        <v>0</v>
      </c>
      <c r="K74" s="470">
        <f t="shared" si="30"/>
        <v>0</v>
      </c>
      <c r="L74" s="471">
        <f t="shared" si="31"/>
        <v>0</v>
      </c>
      <c r="M74" s="459">
        <f t="shared" si="32"/>
        <v>0</v>
      </c>
      <c r="N74" s="470">
        <f t="shared" si="33"/>
        <v>14</v>
      </c>
      <c r="O74" s="459">
        <f t="shared" si="34"/>
        <v>4480</v>
      </c>
      <c r="P74" s="339"/>
      <c r="Q74" s="338"/>
      <c r="R74" s="388"/>
      <c r="S74" s="388"/>
      <c r="T74" s="339"/>
    </row>
    <row r="75" spans="1:20" x14ac:dyDescent="0.2">
      <c r="A75" s="454" t="s">
        <v>713</v>
      </c>
      <c r="B75" s="925" t="s">
        <v>967</v>
      </c>
      <c r="C75" s="926" t="s">
        <v>654</v>
      </c>
      <c r="D75" s="677">
        <v>4</v>
      </c>
      <c r="E75" s="677">
        <v>4562.93</v>
      </c>
      <c r="F75" s="678">
        <v>18251.72</v>
      </c>
      <c r="G75" s="449">
        <v>0</v>
      </c>
      <c r="H75" s="459">
        <f t="shared" si="28"/>
        <v>0</v>
      </c>
      <c r="I75" s="470">
        <v>0</v>
      </c>
      <c r="J75" s="459">
        <f t="shared" si="29"/>
        <v>0</v>
      </c>
      <c r="K75" s="470">
        <f t="shared" si="30"/>
        <v>0</v>
      </c>
      <c r="L75" s="471">
        <f t="shared" si="31"/>
        <v>0</v>
      </c>
      <c r="M75" s="459">
        <f t="shared" si="32"/>
        <v>0</v>
      </c>
      <c r="N75" s="470">
        <f t="shared" si="33"/>
        <v>4</v>
      </c>
      <c r="O75" s="459">
        <f t="shared" si="34"/>
        <v>18251.72</v>
      </c>
      <c r="P75" s="339"/>
      <c r="Q75" s="338"/>
      <c r="R75" s="388"/>
      <c r="S75" s="388"/>
      <c r="T75" s="339"/>
    </row>
    <row r="76" spans="1:20" x14ac:dyDescent="0.2">
      <c r="A76" s="454" t="s">
        <v>714</v>
      </c>
      <c r="B76" s="925" t="s">
        <v>968</v>
      </c>
      <c r="C76" s="926" t="s">
        <v>654</v>
      </c>
      <c r="D76" s="677">
        <v>28</v>
      </c>
      <c r="E76" s="677">
        <v>936.06</v>
      </c>
      <c r="F76" s="678">
        <v>26209.68</v>
      </c>
      <c r="G76" s="449">
        <v>0</v>
      </c>
      <c r="H76" s="459">
        <f t="shared" si="28"/>
        <v>0</v>
      </c>
      <c r="I76" s="470">
        <v>0</v>
      </c>
      <c r="J76" s="459">
        <f t="shared" si="29"/>
        <v>0</v>
      </c>
      <c r="K76" s="470">
        <f t="shared" si="30"/>
        <v>0</v>
      </c>
      <c r="L76" s="471">
        <f t="shared" si="31"/>
        <v>0</v>
      </c>
      <c r="M76" s="459">
        <f t="shared" si="32"/>
        <v>0</v>
      </c>
      <c r="N76" s="470">
        <f t="shared" si="33"/>
        <v>28</v>
      </c>
      <c r="O76" s="459">
        <f t="shared" si="34"/>
        <v>26209.68</v>
      </c>
      <c r="P76" s="339"/>
      <c r="Q76" s="338"/>
      <c r="R76" s="388"/>
      <c r="S76" s="388"/>
      <c r="T76" s="339"/>
    </row>
    <row r="77" spans="1:20" x14ac:dyDescent="0.2">
      <c r="A77" s="454" t="s">
        <v>715</v>
      </c>
      <c r="B77" s="925" t="s">
        <v>969</v>
      </c>
      <c r="C77" s="926" t="s">
        <v>654</v>
      </c>
      <c r="D77" s="677">
        <v>4</v>
      </c>
      <c r="E77" s="677">
        <v>3250</v>
      </c>
      <c r="F77" s="678">
        <v>13000</v>
      </c>
      <c r="G77" s="449">
        <v>0</v>
      </c>
      <c r="H77" s="459">
        <f t="shared" si="28"/>
        <v>0</v>
      </c>
      <c r="I77" s="470">
        <v>0</v>
      </c>
      <c r="J77" s="459">
        <f t="shared" si="29"/>
        <v>0</v>
      </c>
      <c r="K77" s="470">
        <f t="shared" si="30"/>
        <v>0</v>
      </c>
      <c r="L77" s="471">
        <f t="shared" si="31"/>
        <v>0</v>
      </c>
      <c r="M77" s="459">
        <f t="shared" si="32"/>
        <v>0</v>
      </c>
      <c r="N77" s="470">
        <f t="shared" si="33"/>
        <v>4</v>
      </c>
      <c r="O77" s="459">
        <f t="shared" si="34"/>
        <v>13000</v>
      </c>
      <c r="P77" s="339"/>
      <c r="Q77" s="338"/>
      <c r="R77" s="388"/>
      <c r="S77" s="388"/>
      <c r="T77" s="339"/>
    </row>
    <row r="78" spans="1:20" x14ac:dyDescent="0.2">
      <c r="A78" s="454" t="s">
        <v>716</v>
      </c>
      <c r="B78" s="925" t="s">
        <v>970</v>
      </c>
      <c r="C78" s="926" t="s">
        <v>654</v>
      </c>
      <c r="D78" s="677">
        <v>2</v>
      </c>
      <c r="E78" s="677">
        <v>18000</v>
      </c>
      <c r="F78" s="678">
        <v>36000</v>
      </c>
      <c r="G78" s="449">
        <v>0</v>
      </c>
      <c r="H78" s="459">
        <f t="shared" si="28"/>
        <v>0</v>
      </c>
      <c r="I78" s="470">
        <v>0</v>
      </c>
      <c r="J78" s="459">
        <f t="shared" si="29"/>
        <v>0</v>
      </c>
      <c r="K78" s="470">
        <f t="shared" si="30"/>
        <v>0</v>
      </c>
      <c r="L78" s="471">
        <f t="shared" si="31"/>
        <v>0</v>
      </c>
      <c r="M78" s="459">
        <f t="shared" si="32"/>
        <v>0</v>
      </c>
      <c r="N78" s="470">
        <f t="shared" si="33"/>
        <v>2</v>
      </c>
      <c r="O78" s="459">
        <f t="shared" si="34"/>
        <v>36000</v>
      </c>
      <c r="P78" s="339"/>
      <c r="Q78" s="338"/>
      <c r="R78" s="388"/>
      <c r="S78" s="388"/>
      <c r="T78" s="339"/>
    </row>
    <row r="79" spans="1:20" x14ac:dyDescent="0.2">
      <c r="A79" s="454" t="s">
        <v>717</v>
      </c>
      <c r="B79" s="925" t="s">
        <v>971</v>
      </c>
      <c r="C79" s="926" t="s">
        <v>654</v>
      </c>
      <c r="D79" s="677">
        <v>5</v>
      </c>
      <c r="E79" s="677">
        <v>500</v>
      </c>
      <c r="F79" s="678">
        <v>2500</v>
      </c>
      <c r="G79" s="449">
        <v>0</v>
      </c>
      <c r="H79" s="459">
        <f t="shared" si="28"/>
        <v>0</v>
      </c>
      <c r="I79" s="470">
        <v>0</v>
      </c>
      <c r="J79" s="459">
        <f t="shared" si="29"/>
        <v>0</v>
      </c>
      <c r="K79" s="470">
        <f t="shared" si="30"/>
        <v>0</v>
      </c>
      <c r="L79" s="471">
        <f t="shared" si="31"/>
        <v>0</v>
      </c>
      <c r="M79" s="459">
        <f t="shared" si="32"/>
        <v>0</v>
      </c>
      <c r="N79" s="470">
        <f t="shared" si="33"/>
        <v>5</v>
      </c>
      <c r="O79" s="459">
        <f t="shared" si="34"/>
        <v>2500</v>
      </c>
      <c r="P79" s="339"/>
      <c r="Q79" s="338"/>
      <c r="R79" s="388"/>
      <c r="S79" s="388"/>
      <c r="T79" s="339"/>
    </row>
    <row r="80" spans="1:20" x14ac:dyDescent="0.2">
      <c r="A80" s="454" t="s">
        <v>718</v>
      </c>
      <c r="B80" s="925" t="s">
        <v>972</v>
      </c>
      <c r="C80" s="926" t="s">
        <v>654</v>
      </c>
      <c r="D80" s="677">
        <v>10</v>
      </c>
      <c r="E80" s="677">
        <v>5768</v>
      </c>
      <c r="F80" s="678">
        <v>57680</v>
      </c>
      <c r="G80" s="449">
        <v>0</v>
      </c>
      <c r="H80" s="459">
        <f t="shared" si="28"/>
        <v>0</v>
      </c>
      <c r="I80" s="470">
        <v>0</v>
      </c>
      <c r="J80" s="459">
        <f t="shared" si="29"/>
        <v>0</v>
      </c>
      <c r="K80" s="470">
        <f t="shared" si="30"/>
        <v>0</v>
      </c>
      <c r="L80" s="471">
        <f t="shared" si="31"/>
        <v>0</v>
      </c>
      <c r="M80" s="459">
        <f t="shared" si="32"/>
        <v>0</v>
      </c>
      <c r="N80" s="470">
        <f t="shared" si="33"/>
        <v>10</v>
      </c>
      <c r="O80" s="459">
        <f t="shared" si="34"/>
        <v>57680</v>
      </c>
      <c r="P80" s="339"/>
      <c r="Q80" s="338"/>
      <c r="R80" s="388"/>
      <c r="S80" s="388"/>
      <c r="T80" s="339"/>
    </row>
    <row r="81" spans="1:20" x14ac:dyDescent="0.2">
      <c r="A81" s="454" t="s">
        <v>719</v>
      </c>
      <c r="B81" s="925" t="s">
        <v>973</v>
      </c>
      <c r="C81" s="926" t="s">
        <v>654</v>
      </c>
      <c r="D81" s="677">
        <v>4</v>
      </c>
      <c r="E81" s="677">
        <v>8500</v>
      </c>
      <c r="F81" s="678">
        <v>34000</v>
      </c>
      <c r="G81" s="449">
        <v>0</v>
      </c>
      <c r="H81" s="459">
        <f t="shared" si="28"/>
        <v>0</v>
      </c>
      <c r="I81" s="470">
        <v>0</v>
      </c>
      <c r="J81" s="459">
        <f t="shared" si="29"/>
        <v>0</v>
      </c>
      <c r="K81" s="470">
        <f t="shared" si="30"/>
        <v>0</v>
      </c>
      <c r="L81" s="471">
        <f t="shared" si="31"/>
        <v>0</v>
      </c>
      <c r="M81" s="459">
        <f t="shared" si="32"/>
        <v>0</v>
      </c>
      <c r="N81" s="470">
        <f t="shared" si="33"/>
        <v>4</v>
      </c>
      <c r="O81" s="459">
        <f t="shared" si="34"/>
        <v>34000</v>
      </c>
      <c r="P81" s="339"/>
      <c r="Q81" s="338"/>
      <c r="R81" s="388"/>
      <c r="S81" s="388"/>
      <c r="T81" s="339"/>
    </row>
    <row r="82" spans="1:20" x14ac:dyDescent="0.2">
      <c r="A82" s="454" t="s">
        <v>720</v>
      </c>
      <c r="B82" s="925" t="s">
        <v>974</v>
      </c>
      <c r="C82" s="926" t="s">
        <v>654</v>
      </c>
      <c r="D82" s="677">
        <v>9</v>
      </c>
      <c r="E82" s="677">
        <v>4450</v>
      </c>
      <c r="F82" s="678">
        <v>40050</v>
      </c>
      <c r="G82" s="449">
        <v>0</v>
      </c>
      <c r="H82" s="459">
        <f t="shared" si="28"/>
        <v>0</v>
      </c>
      <c r="I82" s="470">
        <v>0</v>
      </c>
      <c r="J82" s="459">
        <f t="shared" si="29"/>
        <v>0</v>
      </c>
      <c r="K82" s="470">
        <f t="shared" si="30"/>
        <v>0</v>
      </c>
      <c r="L82" s="471">
        <f t="shared" si="31"/>
        <v>0</v>
      </c>
      <c r="M82" s="459">
        <f t="shared" si="32"/>
        <v>0</v>
      </c>
      <c r="N82" s="470">
        <f t="shared" si="33"/>
        <v>9</v>
      </c>
      <c r="O82" s="459">
        <f t="shared" si="34"/>
        <v>40050</v>
      </c>
      <c r="P82" s="339"/>
      <c r="Q82" s="338"/>
      <c r="R82" s="388"/>
      <c r="S82" s="388"/>
      <c r="T82" s="339"/>
    </row>
    <row r="83" spans="1:20" x14ac:dyDescent="0.2">
      <c r="A83" s="454" t="s">
        <v>721</v>
      </c>
      <c r="B83" s="925" t="s">
        <v>975</v>
      </c>
      <c r="C83" s="926" t="s">
        <v>654</v>
      </c>
      <c r="D83" s="677">
        <v>2</v>
      </c>
      <c r="E83" s="677">
        <v>600</v>
      </c>
      <c r="F83" s="678">
        <v>1200</v>
      </c>
      <c r="G83" s="449">
        <v>0</v>
      </c>
      <c r="H83" s="459">
        <f t="shared" si="28"/>
        <v>0</v>
      </c>
      <c r="I83" s="470">
        <v>0</v>
      </c>
      <c r="J83" s="459">
        <f t="shared" si="29"/>
        <v>0</v>
      </c>
      <c r="K83" s="470">
        <f t="shared" si="30"/>
        <v>0</v>
      </c>
      <c r="L83" s="471">
        <f t="shared" si="31"/>
        <v>0</v>
      </c>
      <c r="M83" s="459">
        <f t="shared" si="32"/>
        <v>0</v>
      </c>
      <c r="N83" s="470">
        <f t="shared" si="33"/>
        <v>2</v>
      </c>
      <c r="O83" s="459">
        <f t="shared" si="34"/>
        <v>1200</v>
      </c>
      <c r="P83" s="339"/>
      <c r="Q83" s="338"/>
      <c r="R83" s="388"/>
      <c r="S83" s="388"/>
      <c r="T83" s="339"/>
    </row>
    <row r="84" spans="1:20" x14ac:dyDescent="0.2">
      <c r="A84" s="454" t="s">
        <v>722</v>
      </c>
      <c r="B84" s="925" t="s">
        <v>976</v>
      </c>
      <c r="C84" s="926" t="s">
        <v>654</v>
      </c>
      <c r="D84" s="677">
        <v>8</v>
      </c>
      <c r="E84" s="677">
        <v>2437.5</v>
      </c>
      <c r="F84" s="678">
        <v>19500</v>
      </c>
      <c r="G84" s="449">
        <v>0</v>
      </c>
      <c r="H84" s="459">
        <f t="shared" si="28"/>
        <v>0</v>
      </c>
      <c r="I84" s="470">
        <v>0</v>
      </c>
      <c r="J84" s="459">
        <f t="shared" si="29"/>
        <v>0</v>
      </c>
      <c r="K84" s="470">
        <f t="shared" si="30"/>
        <v>0</v>
      </c>
      <c r="L84" s="471">
        <f t="shared" si="31"/>
        <v>0</v>
      </c>
      <c r="M84" s="459">
        <f t="shared" si="32"/>
        <v>0</v>
      </c>
      <c r="N84" s="470">
        <f t="shared" si="33"/>
        <v>8</v>
      </c>
      <c r="O84" s="459">
        <f t="shared" si="34"/>
        <v>19500</v>
      </c>
      <c r="P84" s="339"/>
      <c r="Q84" s="338"/>
      <c r="R84" s="388"/>
      <c r="S84" s="388"/>
      <c r="T84" s="339"/>
    </row>
    <row r="85" spans="1:20" x14ac:dyDescent="0.2">
      <c r="A85" s="454" t="s">
        <v>723</v>
      </c>
      <c r="B85" s="925" t="s">
        <v>977</v>
      </c>
      <c r="C85" s="926" t="s">
        <v>654</v>
      </c>
      <c r="D85" s="677">
        <v>4</v>
      </c>
      <c r="E85" s="677">
        <v>3000</v>
      </c>
      <c r="F85" s="678">
        <v>12000</v>
      </c>
      <c r="G85" s="449">
        <v>0</v>
      </c>
      <c r="H85" s="459">
        <f t="shared" si="28"/>
        <v>0</v>
      </c>
      <c r="I85" s="470">
        <v>0</v>
      </c>
      <c r="J85" s="459">
        <f t="shared" si="29"/>
        <v>0</v>
      </c>
      <c r="K85" s="470">
        <f t="shared" si="30"/>
        <v>0</v>
      </c>
      <c r="L85" s="471">
        <f t="shared" si="31"/>
        <v>0</v>
      </c>
      <c r="M85" s="459">
        <f t="shared" si="32"/>
        <v>0</v>
      </c>
      <c r="N85" s="470">
        <f t="shared" si="33"/>
        <v>4</v>
      </c>
      <c r="O85" s="459">
        <f t="shared" si="34"/>
        <v>12000</v>
      </c>
      <c r="P85" s="339"/>
      <c r="Q85" s="338"/>
      <c r="R85" s="388"/>
      <c r="S85" s="388"/>
      <c r="T85" s="339"/>
    </row>
    <row r="86" spans="1:20" x14ac:dyDescent="0.2">
      <c r="A86" s="454" t="s">
        <v>724</v>
      </c>
      <c r="B86" s="925" t="s">
        <v>978</v>
      </c>
      <c r="C86" s="926" t="s">
        <v>654</v>
      </c>
      <c r="D86" s="677">
        <v>15</v>
      </c>
      <c r="E86" s="677">
        <v>80</v>
      </c>
      <c r="F86" s="678">
        <v>1200</v>
      </c>
      <c r="G86" s="449">
        <v>0</v>
      </c>
      <c r="H86" s="459">
        <f t="shared" si="28"/>
        <v>0</v>
      </c>
      <c r="I86" s="470">
        <v>0</v>
      </c>
      <c r="J86" s="459">
        <f t="shared" si="29"/>
        <v>0</v>
      </c>
      <c r="K86" s="470">
        <f t="shared" si="30"/>
        <v>0</v>
      </c>
      <c r="L86" s="471">
        <f t="shared" si="31"/>
        <v>0</v>
      </c>
      <c r="M86" s="459">
        <f t="shared" si="32"/>
        <v>0</v>
      </c>
      <c r="N86" s="470">
        <f t="shared" si="33"/>
        <v>15</v>
      </c>
      <c r="O86" s="459">
        <f t="shared" si="34"/>
        <v>1200</v>
      </c>
      <c r="P86" s="339"/>
      <c r="Q86" s="338"/>
      <c r="R86" s="388"/>
      <c r="S86" s="388"/>
      <c r="T86" s="339"/>
    </row>
    <row r="87" spans="1:20" x14ac:dyDescent="0.2">
      <c r="A87" s="454" t="s">
        <v>725</v>
      </c>
      <c r="B87" s="925" t="s">
        <v>979</v>
      </c>
      <c r="C87" s="926" t="s">
        <v>654</v>
      </c>
      <c r="D87" s="677">
        <v>2</v>
      </c>
      <c r="E87" s="677">
        <v>3790</v>
      </c>
      <c r="F87" s="678">
        <v>7580</v>
      </c>
      <c r="G87" s="449">
        <v>0</v>
      </c>
      <c r="H87" s="459">
        <f t="shared" si="28"/>
        <v>0</v>
      </c>
      <c r="I87" s="470">
        <v>0</v>
      </c>
      <c r="J87" s="459">
        <f t="shared" si="29"/>
        <v>0</v>
      </c>
      <c r="K87" s="470">
        <f t="shared" si="30"/>
        <v>0</v>
      </c>
      <c r="L87" s="471">
        <f t="shared" si="31"/>
        <v>0</v>
      </c>
      <c r="M87" s="459">
        <f t="shared" si="32"/>
        <v>0</v>
      </c>
      <c r="N87" s="470">
        <f t="shared" si="33"/>
        <v>2</v>
      </c>
      <c r="O87" s="459">
        <f t="shared" si="34"/>
        <v>7580</v>
      </c>
      <c r="P87" s="339"/>
      <c r="Q87" s="338"/>
      <c r="R87" s="388"/>
      <c r="S87" s="388"/>
      <c r="T87" s="339"/>
    </row>
    <row r="88" spans="1:20" x14ac:dyDescent="0.2">
      <c r="A88" s="454" t="s">
        <v>726</v>
      </c>
      <c r="B88" s="925" t="s">
        <v>980</v>
      </c>
      <c r="C88" s="926" t="s">
        <v>654</v>
      </c>
      <c r="D88" s="677">
        <v>2</v>
      </c>
      <c r="E88" s="677">
        <v>3790</v>
      </c>
      <c r="F88" s="678">
        <v>7580</v>
      </c>
      <c r="G88" s="449">
        <v>0</v>
      </c>
      <c r="H88" s="459">
        <f t="shared" si="28"/>
        <v>0</v>
      </c>
      <c r="I88" s="470">
        <v>0</v>
      </c>
      <c r="J88" s="459">
        <f t="shared" si="29"/>
        <v>0</v>
      </c>
      <c r="K88" s="470">
        <f t="shared" si="30"/>
        <v>0</v>
      </c>
      <c r="L88" s="471">
        <f t="shared" si="31"/>
        <v>0</v>
      </c>
      <c r="M88" s="459">
        <f t="shared" si="32"/>
        <v>0</v>
      </c>
      <c r="N88" s="470">
        <f t="shared" si="33"/>
        <v>2</v>
      </c>
      <c r="O88" s="459">
        <f t="shared" si="34"/>
        <v>7580</v>
      </c>
      <c r="P88" s="339"/>
      <c r="Q88" s="338"/>
      <c r="R88" s="388"/>
      <c r="S88" s="388"/>
      <c r="T88" s="339"/>
    </row>
    <row r="89" spans="1:20" x14ac:dyDescent="0.2">
      <c r="A89" s="454" t="s">
        <v>727</v>
      </c>
      <c r="B89" s="925" t="s">
        <v>981</v>
      </c>
      <c r="C89" s="926" t="s">
        <v>654</v>
      </c>
      <c r="D89" s="677">
        <v>2</v>
      </c>
      <c r="E89" s="677">
        <v>3790</v>
      </c>
      <c r="F89" s="678">
        <v>7580</v>
      </c>
      <c r="G89" s="449">
        <v>0</v>
      </c>
      <c r="H89" s="459">
        <f t="shared" si="28"/>
        <v>0</v>
      </c>
      <c r="I89" s="470">
        <v>0</v>
      </c>
      <c r="J89" s="459">
        <f t="shared" si="29"/>
        <v>0</v>
      </c>
      <c r="K89" s="470">
        <f t="shared" si="30"/>
        <v>0</v>
      </c>
      <c r="L89" s="471">
        <f t="shared" si="31"/>
        <v>0</v>
      </c>
      <c r="M89" s="459">
        <f t="shared" si="32"/>
        <v>0</v>
      </c>
      <c r="N89" s="470">
        <f t="shared" si="33"/>
        <v>2</v>
      </c>
      <c r="O89" s="459">
        <f t="shared" si="34"/>
        <v>7580</v>
      </c>
      <c r="P89" s="339"/>
      <c r="Q89" s="338"/>
      <c r="R89" s="388"/>
      <c r="S89" s="388"/>
      <c r="T89" s="339"/>
    </row>
    <row r="90" spans="1:20" x14ac:dyDescent="0.2">
      <c r="A90" s="454" t="s">
        <v>728</v>
      </c>
      <c r="B90" s="925" t="s">
        <v>982</v>
      </c>
      <c r="C90" s="926" t="s">
        <v>654</v>
      </c>
      <c r="D90" s="677">
        <v>6</v>
      </c>
      <c r="E90" s="677">
        <v>120</v>
      </c>
      <c r="F90" s="678">
        <v>720</v>
      </c>
      <c r="G90" s="449">
        <v>0</v>
      </c>
      <c r="H90" s="459">
        <f t="shared" si="28"/>
        <v>0</v>
      </c>
      <c r="I90" s="470">
        <v>0</v>
      </c>
      <c r="J90" s="459">
        <f t="shared" si="29"/>
        <v>0</v>
      </c>
      <c r="K90" s="470">
        <f t="shared" si="30"/>
        <v>0</v>
      </c>
      <c r="L90" s="471">
        <f t="shared" si="31"/>
        <v>0</v>
      </c>
      <c r="M90" s="459">
        <f t="shared" si="32"/>
        <v>0</v>
      </c>
      <c r="N90" s="470">
        <f t="shared" si="33"/>
        <v>6</v>
      </c>
      <c r="O90" s="459">
        <f t="shared" si="34"/>
        <v>720</v>
      </c>
      <c r="P90" s="339"/>
      <c r="Q90" s="338"/>
      <c r="R90" s="388"/>
      <c r="S90" s="388"/>
      <c r="T90" s="339"/>
    </row>
    <row r="91" spans="1:20" x14ac:dyDescent="0.2">
      <c r="A91" s="454" t="s">
        <v>729</v>
      </c>
      <c r="B91" s="925" t="s">
        <v>983</v>
      </c>
      <c r="C91" s="926" t="s">
        <v>654</v>
      </c>
      <c r="D91" s="677">
        <v>4</v>
      </c>
      <c r="E91" s="677">
        <v>700</v>
      </c>
      <c r="F91" s="678">
        <v>2800</v>
      </c>
      <c r="G91" s="449">
        <v>0</v>
      </c>
      <c r="H91" s="459">
        <f t="shared" si="28"/>
        <v>0</v>
      </c>
      <c r="I91" s="470">
        <v>0</v>
      </c>
      <c r="J91" s="459">
        <f t="shared" si="29"/>
        <v>0</v>
      </c>
      <c r="K91" s="470">
        <f t="shared" si="30"/>
        <v>0</v>
      </c>
      <c r="L91" s="471">
        <f t="shared" si="31"/>
        <v>0</v>
      </c>
      <c r="M91" s="459">
        <f t="shared" si="32"/>
        <v>0</v>
      </c>
      <c r="N91" s="470">
        <f t="shared" si="33"/>
        <v>4</v>
      </c>
      <c r="O91" s="459">
        <f t="shared" si="34"/>
        <v>2800</v>
      </c>
      <c r="P91" s="339"/>
      <c r="Q91" s="338"/>
      <c r="R91" s="388"/>
      <c r="S91" s="388"/>
      <c r="T91" s="339"/>
    </row>
    <row r="92" spans="1:20" x14ac:dyDescent="0.2">
      <c r="A92" s="454" t="s">
        <v>730</v>
      </c>
      <c r="B92" s="925" t="s">
        <v>984</v>
      </c>
      <c r="C92" s="926" t="s">
        <v>654</v>
      </c>
      <c r="D92" s="677">
        <v>5</v>
      </c>
      <c r="E92" s="677">
        <v>499</v>
      </c>
      <c r="F92" s="678">
        <v>2495</v>
      </c>
      <c r="G92" s="449">
        <v>0</v>
      </c>
      <c r="H92" s="459">
        <f t="shared" si="28"/>
        <v>0</v>
      </c>
      <c r="I92" s="470">
        <v>0</v>
      </c>
      <c r="J92" s="459">
        <f t="shared" si="29"/>
        <v>0</v>
      </c>
      <c r="K92" s="470">
        <f t="shared" si="30"/>
        <v>0</v>
      </c>
      <c r="L92" s="471">
        <f t="shared" si="31"/>
        <v>0</v>
      </c>
      <c r="M92" s="459">
        <f t="shared" si="32"/>
        <v>0</v>
      </c>
      <c r="N92" s="470">
        <f t="shared" si="33"/>
        <v>5</v>
      </c>
      <c r="O92" s="459">
        <f t="shared" si="34"/>
        <v>2495</v>
      </c>
      <c r="P92" s="339"/>
      <c r="Q92" s="338"/>
      <c r="R92" s="388"/>
      <c r="S92" s="388"/>
      <c r="T92" s="339"/>
    </row>
    <row r="93" spans="1:20" x14ac:dyDescent="0.2">
      <c r="A93" s="454" t="s">
        <v>731</v>
      </c>
      <c r="B93" s="925" t="s">
        <v>985</v>
      </c>
      <c r="C93" s="926" t="s">
        <v>654</v>
      </c>
      <c r="D93" s="677">
        <v>3</v>
      </c>
      <c r="E93" s="677">
        <v>100</v>
      </c>
      <c r="F93" s="678">
        <v>300</v>
      </c>
      <c r="G93" s="449">
        <v>0</v>
      </c>
      <c r="H93" s="459">
        <f t="shared" si="28"/>
        <v>0</v>
      </c>
      <c r="I93" s="470">
        <v>0</v>
      </c>
      <c r="J93" s="459">
        <f t="shared" si="29"/>
        <v>0</v>
      </c>
      <c r="K93" s="470">
        <f t="shared" si="30"/>
        <v>0</v>
      </c>
      <c r="L93" s="471">
        <f t="shared" si="31"/>
        <v>0</v>
      </c>
      <c r="M93" s="459">
        <f t="shared" si="32"/>
        <v>0</v>
      </c>
      <c r="N93" s="470">
        <f t="shared" si="33"/>
        <v>3</v>
      </c>
      <c r="O93" s="459">
        <f t="shared" si="34"/>
        <v>300</v>
      </c>
      <c r="P93" s="339"/>
      <c r="Q93" s="338"/>
      <c r="R93" s="388"/>
      <c r="S93" s="388"/>
      <c r="T93" s="339"/>
    </row>
    <row r="94" spans="1:20" x14ac:dyDescent="0.2">
      <c r="A94" s="454" t="s">
        <v>732</v>
      </c>
      <c r="B94" s="925" t="s">
        <v>986</v>
      </c>
      <c r="C94" s="926" t="s">
        <v>654</v>
      </c>
      <c r="D94" s="677">
        <v>2</v>
      </c>
      <c r="E94" s="677">
        <v>618.41</v>
      </c>
      <c r="F94" s="678">
        <v>1236.82</v>
      </c>
      <c r="G94" s="449">
        <v>0</v>
      </c>
      <c r="H94" s="459">
        <f t="shared" si="28"/>
        <v>0</v>
      </c>
      <c r="I94" s="470">
        <v>0</v>
      </c>
      <c r="J94" s="459">
        <f t="shared" si="29"/>
        <v>0</v>
      </c>
      <c r="K94" s="470">
        <f t="shared" si="30"/>
        <v>0</v>
      </c>
      <c r="L94" s="471">
        <f t="shared" si="31"/>
        <v>0</v>
      </c>
      <c r="M94" s="459">
        <f t="shared" si="32"/>
        <v>0</v>
      </c>
      <c r="N94" s="470">
        <f t="shared" si="33"/>
        <v>2</v>
      </c>
      <c r="O94" s="459">
        <f t="shared" si="34"/>
        <v>1236.82</v>
      </c>
      <c r="P94" s="339"/>
      <c r="Q94" s="338"/>
      <c r="R94" s="388"/>
      <c r="S94" s="388"/>
      <c r="T94" s="339"/>
    </row>
    <row r="95" spans="1:20" x14ac:dyDescent="0.2">
      <c r="A95" s="454" t="s">
        <v>733</v>
      </c>
      <c r="B95" s="925" t="s">
        <v>987</v>
      </c>
      <c r="C95" s="926" t="s">
        <v>654</v>
      </c>
      <c r="D95" s="677">
        <v>5</v>
      </c>
      <c r="E95" s="677">
        <v>1000</v>
      </c>
      <c r="F95" s="678">
        <v>5000</v>
      </c>
      <c r="G95" s="449">
        <v>0</v>
      </c>
      <c r="H95" s="459">
        <f t="shared" si="28"/>
        <v>0</v>
      </c>
      <c r="I95" s="470">
        <v>0</v>
      </c>
      <c r="J95" s="459">
        <f t="shared" si="29"/>
        <v>0</v>
      </c>
      <c r="K95" s="470">
        <f t="shared" si="30"/>
        <v>0</v>
      </c>
      <c r="L95" s="471">
        <f t="shared" si="31"/>
        <v>0</v>
      </c>
      <c r="M95" s="459">
        <f t="shared" si="32"/>
        <v>0</v>
      </c>
      <c r="N95" s="470">
        <f t="shared" si="33"/>
        <v>5</v>
      </c>
      <c r="O95" s="459">
        <f t="shared" si="34"/>
        <v>5000</v>
      </c>
      <c r="P95" s="339"/>
      <c r="Q95" s="338"/>
      <c r="R95" s="388"/>
      <c r="S95" s="388"/>
      <c r="T95" s="339"/>
    </row>
    <row r="96" spans="1:20" x14ac:dyDescent="0.2">
      <c r="A96" s="454" t="s">
        <v>734</v>
      </c>
      <c r="B96" s="925" t="s">
        <v>988</v>
      </c>
      <c r="C96" s="926" t="s">
        <v>654</v>
      </c>
      <c r="D96" s="677">
        <v>10</v>
      </c>
      <c r="E96" s="677">
        <v>80</v>
      </c>
      <c r="F96" s="678">
        <v>800</v>
      </c>
      <c r="G96" s="449">
        <v>0</v>
      </c>
      <c r="H96" s="459">
        <f t="shared" si="28"/>
        <v>0</v>
      </c>
      <c r="I96" s="470">
        <v>0</v>
      </c>
      <c r="J96" s="459">
        <f t="shared" si="29"/>
        <v>0</v>
      </c>
      <c r="K96" s="470">
        <f t="shared" si="30"/>
        <v>0</v>
      </c>
      <c r="L96" s="471">
        <f t="shared" si="31"/>
        <v>0</v>
      </c>
      <c r="M96" s="459">
        <f t="shared" si="32"/>
        <v>0</v>
      </c>
      <c r="N96" s="470">
        <f t="shared" si="33"/>
        <v>10</v>
      </c>
      <c r="O96" s="459">
        <f t="shared" si="34"/>
        <v>800</v>
      </c>
      <c r="P96" s="339"/>
      <c r="Q96" s="338"/>
      <c r="R96" s="388"/>
      <c r="S96" s="388"/>
      <c r="T96" s="339"/>
    </row>
    <row r="97" spans="1:20" x14ac:dyDescent="0.2">
      <c r="A97" s="454" t="s">
        <v>735</v>
      </c>
      <c r="B97" s="925" t="s">
        <v>989</v>
      </c>
      <c r="C97" s="926" t="s">
        <v>654</v>
      </c>
      <c r="D97" s="677">
        <v>4</v>
      </c>
      <c r="E97" s="677">
        <v>1500</v>
      </c>
      <c r="F97" s="678">
        <v>6000</v>
      </c>
      <c r="G97" s="449">
        <v>0</v>
      </c>
      <c r="H97" s="459">
        <f t="shared" si="28"/>
        <v>0</v>
      </c>
      <c r="I97" s="470">
        <v>0</v>
      </c>
      <c r="J97" s="459">
        <f t="shared" si="29"/>
        <v>0</v>
      </c>
      <c r="K97" s="470">
        <f t="shared" si="30"/>
        <v>0</v>
      </c>
      <c r="L97" s="471">
        <f t="shared" si="31"/>
        <v>0</v>
      </c>
      <c r="M97" s="459">
        <f t="shared" si="32"/>
        <v>0</v>
      </c>
      <c r="N97" s="470">
        <f t="shared" si="33"/>
        <v>4</v>
      </c>
      <c r="O97" s="459">
        <f t="shared" si="34"/>
        <v>6000</v>
      </c>
      <c r="P97" s="339"/>
      <c r="Q97" s="338"/>
      <c r="R97" s="388"/>
      <c r="S97" s="388"/>
      <c r="T97" s="339"/>
    </row>
    <row r="98" spans="1:20" x14ac:dyDescent="0.2">
      <c r="A98" s="454" t="s">
        <v>736</v>
      </c>
      <c r="B98" s="925" t="s">
        <v>990</v>
      </c>
      <c r="C98" s="926" t="s">
        <v>654</v>
      </c>
      <c r="D98" s="677">
        <v>2</v>
      </c>
      <c r="E98" s="677">
        <v>800</v>
      </c>
      <c r="F98" s="678">
        <v>1600</v>
      </c>
      <c r="G98" s="449">
        <v>0</v>
      </c>
      <c r="H98" s="459">
        <f t="shared" si="28"/>
        <v>0</v>
      </c>
      <c r="I98" s="470">
        <v>0</v>
      </c>
      <c r="J98" s="459">
        <f t="shared" si="29"/>
        <v>0</v>
      </c>
      <c r="K98" s="470">
        <f t="shared" si="30"/>
        <v>0</v>
      </c>
      <c r="L98" s="471">
        <f t="shared" si="31"/>
        <v>0</v>
      </c>
      <c r="M98" s="459">
        <f t="shared" si="32"/>
        <v>0</v>
      </c>
      <c r="N98" s="470">
        <f t="shared" si="33"/>
        <v>2</v>
      </c>
      <c r="O98" s="459">
        <f t="shared" si="34"/>
        <v>1600</v>
      </c>
      <c r="P98" s="339"/>
      <c r="Q98" s="338"/>
      <c r="R98" s="388"/>
      <c r="S98" s="388"/>
      <c r="T98" s="339"/>
    </row>
    <row r="99" spans="1:20" x14ac:dyDescent="0.2">
      <c r="A99" s="454" t="s">
        <v>737</v>
      </c>
      <c r="B99" s="925" t="s">
        <v>991</v>
      </c>
      <c r="C99" s="926" t="s">
        <v>654</v>
      </c>
      <c r="D99" s="677">
        <v>10</v>
      </c>
      <c r="E99" s="677">
        <v>500</v>
      </c>
      <c r="F99" s="678">
        <v>5000</v>
      </c>
      <c r="G99" s="449">
        <v>0</v>
      </c>
      <c r="H99" s="459">
        <f t="shared" si="28"/>
        <v>0</v>
      </c>
      <c r="I99" s="470">
        <v>0</v>
      </c>
      <c r="J99" s="459">
        <f t="shared" si="29"/>
        <v>0</v>
      </c>
      <c r="K99" s="470">
        <f t="shared" si="30"/>
        <v>0</v>
      </c>
      <c r="L99" s="471">
        <f t="shared" si="31"/>
        <v>0</v>
      </c>
      <c r="M99" s="459">
        <f t="shared" si="32"/>
        <v>0</v>
      </c>
      <c r="N99" s="470">
        <f t="shared" si="33"/>
        <v>10</v>
      </c>
      <c r="O99" s="459">
        <f t="shared" si="34"/>
        <v>5000</v>
      </c>
      <c r="P99" s="339"/>
      <c r="Q99" s="338"/>
      <c r="R99" s="388"/>
      <c r="S99" s="388"/>
      <c r="T99" s="339"/>
    </row>
    <row r="100" spans="1:20" x14ac:dyDescent="0.2">
      <c r="A100" s="454" t="s">
        <v>738</v>
      </c>
      <c r="B100" s="925" t="s">
        <v>992</v>
      </c>
      <c r="C100" s="926" t="s">
        <v>654</v>
      </c>
      <c r="D100" s="677">
        <v>4</v>
      </c>
      <c r="E100" s="677">
        <v>270</v>
      </c>
      <c r="F100" s="678">
        <v>1080</v>
      </c>
      <c r="G100" s="449">
        <v>0</v>
      </c>
      <c r="H100" s="459">
        <f t="shared" si="28"/>
        <v>0</v>
      </c>
      <c r="I100" s="470">
        <v>0</v>
      </c>
      <c r="J100" s="459">
        <f t="shared" si="29"/>
        <v>0</v>
      </c>
      <c r="K100" s="470">
        <f t="shared" si="30"/>
        <v>0</v>
      </c>
      <c r="L100" s="471">
        <f t="shared" si="31"/>
        <v>0</v>
      </c>
      <c r="M100" s="459">
        <f t="shared" si="32"/>
        <v>0</v>
      </c>
      <c r="N100" s="470">
        <f t="shared" si="33"/>
        <v>4</v>
      </c>
      <c r="O100" s="459">
        <f t="shared" si="34"/>
        <v>1080</v>
      </c>
      <c r="P100" s="339"/>
      <c r="Q100" s="338"/>
      <c r="R100" s="388"/>
      <c r="S100" s="388"/>
      <c r="T100" s="339"/>
    </row>
    <row r="101" spans="1:20" x14ac:dyDescent="0.2">
      <c r="A101" s="454" t="s">
        <v>739</v>
      </c>
      <c r="B101" s="925" t="s">
        <v>993</v>
      </c>
      <c r="C101" s="926" t="s">
        <v>654</v>
      </c>
      <c r="D101" s="677">
        <v>5</v>
      </c>
      <c r="E101" s="677">
        <v>1500</v>
      </c>
      <c r="F101" s="678">
        <v>7500</v>
      </c>
      <c r="G101" s="449">
        <v>0</v>
      </c>
      <c r="H101" s="459">
        <f t="shared" si="28"/>
        <v>0</v>
      </c>
      <c r="I101" s="470">
        <v>0</v>
      </c>
      <c r="J101" s="459">
        <f t="shared" si="29"/>
        <v>0</v>
      </c>
      <c r="K101" s="470">
        <f t="shared" si="30"/>
        <v>0</v>
      </c>
      <c r="L101" s="471">
        <f t="shared" si="31"/>
        <v>0</v>
      </c>
      <c r="M101" s="459">
        <f t="shared" si="32"/>
        <v>0</v>
      </c>
      <c r="N101" s="470">
        <f t="shared" si="33"/>
        <v>5</v>
      </c>
      <c r="O101" s="459">
        <f t="shared" si="34"/>
        <v>7500</v>
      </c>
      <c r="P101" s="339"/>
      <c r="Q101" s="338"/>
      <c r="R101" s="388"/>
      <c r="S101" s="388"/>
      <c r="T101" s="339"/>
    </row>
    <row r="102" spans="1:20" ht="20.399999999999999" x14ac:dyDescent="0.2">
      <c r="A102" s="454" t="s">
        <v>740</v>
      </c>
      <c r="B102" s="925" t="s">
        <v>994</v>
      </c>
      <c r="C102" s="926" t="s">
        <v>654</v>
      </c>
      <c r="D102" s="677">
        <v>1</v>
      </c>
      <c r="E102" s="677">
        <v>3000</v>
      </c>
      <c r="F102" s="678">
        <v>3000</v>
      </c>
      <c r="G102" s="449">
        <v>0</v>
      </c>
      <c r="H102" s="459">
        <f t="shared" si="28"/>
        <v>0</v>
      </c>
      <c r="I102" s="470">
        <v>0</v>
      </c>
      <c r="J102" s="459">
        <f t="shared" si="29"/>
        <v>0</v>
      </c>
      <c r="K102" s="470">
        <f t="shared" si="30"/>
        <v>0</v>
      </c>
      <c r="L102" s="471">
        <f t="shared" si="31"/>
        <v>0</v>
      </c>
      <c r="M102" s="459">
        <f t="shared" si="32"/>
        <v>0</v>
      </c>
      <c r="N102" s="470">
        <f t="shared" si="33"/>
        <v>1</v>
      </c>
      <c r="O102" s="459">
        <f t="shared" si="34"/>
        <v>3000</v>
      </c>
      <c r="P102" s="339"/>
      <c r="Q102" s="338"/>
      <c r="R102" s="388"/>
      <c r="S102" s="388"/>
      <c r="T102" s="339"/>
    </row>
    <row r="103" spans="1:20" x14ac:dyDescent="0.2">
      <c r="A103" s="454" t="s">
        <v>741</v>
      </c>
      <c r="B103" s="925" t="s">
        <v>995</v>
      </c>
      <c r="C103" s="926" t="s">
        <v>654</v>
      </c>
      <c r="D103" s="677">
        <v>40</v>
      </c>
      <c r="E103" s="677">
        <v>80</v>
      </c>
      <c r="F103" s="678">
        <v>3200</v>
      </c>
      <c r="G103" s="449">
        <v>0</v>
      </c>
      <c r="H103" s="459">
        <f t="shared" si="28"/>
        <v>0</v>
      </c>
      <c r="I103" s="470">
        <v>0</v>
      </c>
      <c r="J103" s="459">
        <f t="shared" si="29"/>
        <v>0</v>
      </c>
      <c r="K103" s="470">
        <f t="shared" si="30"/>
        <v>0</v>
      </c>
      <c r="L103" s="471">
        <f t="shared" si="31"/>
        <v>0</v>
      </c>
      <c r="M103" s="459">
        <f t="shared" si="32"/>
        <v>0</v>
      </c>
      <c r="N103" s="470">
        <f t="shared" si="33"/>
        <v>40</v>
      </c>
      <c r="O103" s="459">
        <f t="shared" si="34"/>
        <v>3200</v>
      </c>
      <c r="P103" s="339"/>
      <c r="Q103" s="338"/>
      <c r="R103" s="388"/>
      <c r="S103" s="388"/>
      <c r="T103" s="339"/>
    </row>
    <row r="104" spans="1:20" x14ac:dyDescent="0.2">
      <c r="A104" s="454" t="s">
        <v>742</v>
      </c>
      <c r="B104" s="925" t="s">
        <v>996</v>
      </c>
      <c r="C104" s="926" t="s">
        <v>654</v>
      </c>
      <c r="D104" s="677">
        <v>30</v>
      </c>
      <c r="E104" s="677">
        <v>250</v>
      </c>
      <c r="F104" s="678">
        <v>7500</v>
      </c>
      <c r="G104" s="449">
        <v>0</v>
      </c>
      <c r="H104" s="459">
        <f t="shared" si="28"/>
        <v>0</v>
      </c>
      <c r="I104" s="470">
        <v>0</v>
      </c>
      <c r="J104" s="459">
        <f t="shared" si="29"/>
        <v>0</v>
      </c>
      <c r="K104" s="470">
        <f t="shared" si="30"/>
        <v>0</v>
      </c>
      <c r="L104" s="471">
        <f t="shared" si="31"/>
        <v>0</v>
      </c>
      <c r="M104" s="459">
        <f t="shared" si="32"/>
        <v>0</v>
      </c>
      <c r="N104" s="470">
        <f t="shared" si="33"/>
        <v>30</v>
      </c>
      <c r="O104" s="459">
        <f t="shared" si="34"/>
        <v>7500</v>
      </c>
      <c r="P104" s="339"/>
      <c r="Q104" s="338"/>
      <c r="R104" s="388"/>
      <c r="S104" s="388"/>
      <c r="T104" s="339"/>
    </row>
    <row r="105" spans="1:20" x14ac:dyDescent="0.2">
      <c r="A105" s="454" t="s">
        <v>743</v>
      </c>
      <c r="B105" s="925" t="s">
        <v>997</v>
      </c>
      <c r="C105" s="926" t="s">
        <v>654</v>
      </c>
      <c r="D105" s="677">
        <v>4</v>
      </c>
      <c r="E105" s="677">
        <v>1145.1469999999999</v>
      </c>
      <c r="F105" s="678">
        <v>4580.5879999999997</v>
      </c>
      <c r="G105" s="449">
        <v>0</v>
      </c>
      <c r="H105" s="459">
        <f t="shared" si="28"/>
        <v>0</v>
      </c>
      <c r="I105" s="470">
        <v>0</v>
      </c>
      <c r="J105" s="459">
        <f t="shared" si="29"/>
        <v>0</v>
      </c>
      <c r="K105" s="470">
        <f t="shared" si="30"/>
        <v>0</v>
      </c>
      <c r="L105" s="471">
        <f t="shared" si="31"/>
        <v>0</v>
      </c>
      <c r="M105" s="459">
        <f t="shared" si="32"/>
        <v>0</v>
      </c>
      <c r="N105" s="470">
        <f t="shared" si="33"/>
        <v>4</v>
      </c>
      <c r="O105" s="459">
        <f t="shared" si="34"/>
        <v>4580.5879999999997</v>
      </c>
      <c r="P105" s="339"/>
      <c r="Q105" s="338"/>
      <c r="R105" s="388"/>
      <c r="S105" s="388"/>
      <c r="T105" s="339"/>
    </row>
    <row r="106" spans="1:20" x14ac:dyDescent="0.2">
      <c r="A106" s="454" t="s">
        <v>744</v>
      </c>
      <c r="B106" s="925" t="s">
        <v>998</v>
      </c>
      <c r="C106" s="926" t="s">
        <v>654</v>
      </c>
      <c r="D106" s="677">
        <v>1</v>
      </c>
      <c r="E106" s="677">
        <v>500</v>
      </c>
      <c r="F106" s="678">
        <v>500</v>
      </c>
      <c r="G106" s="449">
        <v>0</v>
      </c>
      <c r="H106" s="459">
        <f t="shared" si="28"/>
        <v>0</v>
      </c>
      <c r="I106" s="470">
        <v>0</v>
      </c>
      <c r="J106" s="459">
        <f t="shared" si="29"/>
        <v>0</v>
      </c>
      <c r="K106" s="470">
        <f t="shared" si="30"/>
        <v>0</v>
      </c>
      <c r="L106" s="471">
        <f t="shared" si="31"/>
        <v>0</v>
      </c>
      <c r="M106" s="459">
        <f t="shared" si="32"/>
        <v>0</v>
      </c>
      <c r="N106" s="470">
        <f t="shared" si="33"/>
        <v>1</v>
      </c>
      <c r="O106" s="459">
        <f t="shared" si="34"/>
        <v>500</v>
      </c>
      <c r="P106" s="339"/>
      <c r="Q106" s="338"/>
      <c r="R106" s="388"/>
      <c r="S106" s="388"/>
      <c r="T106" s="339"/>
    </row>
    <row r="107" spans="1:20" x14ac:dyDescent="0.2">
      <c r="A107" s="454" t="s">
        <v>745</v>
      </c>
      <c r="B107" s="925" t="s">
        <v>999</v>
      </c>
      <c r="C107" s="926" t="s">
        <v>654</v>
      </c>
      <c r="D107" s="677">
        <v>3</v>
      </c>
      <c r="E107" s="677">
        <v>500</v>
      </c>
      <c r="F107" s="678">
        <v>1500</v>
      </c>
      <c r="G107" s="449">
        <v>0</v>
      </c>
      <c r="H107" s="459">
        <f t="shared" si="28"/>
        <v>0</v>
      </c>
      <c r="I107" s="470">
        <v>0</v>
      </c>
      <c r="J107" s="459">
        <f t="shared" si="29"/>
        <v>0</v>
      </c>
      <c r="K107" s="470">
        <f t="shared" si="30"/>
        <v>0</v>
      </c>
      <c r="L107" s="471">
        <f t="shared" si="31"/>
        <v>0</v>
      </c>
      <c r="M107" s="459">
        <f t="shared" si="32"/>
        <v>0</v>
      </c>
      <c r="N107" s="470">
        <f t="shared" si="33"/>
        <v>3</v>
      </c>
      <c r="O107" s="459">
        <f t="shared" si="34"/>
        <v>1500</v>
      </c>
      <c r="P107" s="339"/>
      <c r="Q107" s="338"/>
      <c r="R107" s="388"/>
      <c r="S107" s="388"/>
      <c r="T107" s="339"/>
    </row>
    <row r="108" spans="1:20" x14ac:dyDescent="0.2">
      <c r="A108" s="454" t="s">
        <v>746</v>
      </c>
      <c r="B108" s="925" t="s">
        <v>1000</v>
      </c>
      <c r="C108" s="926" t="s">
        <v>654</v>
      </c>
      <c r="D108" s="677">
        <v>1</v>
      </c>
      <c r="E108" s="677">
        <v>500</v>
      </c>
      <c r="F108" s="678">
        <v>500</v>
      </c>
      <c r="G108" s="449">
        <v>0</v>
      </c>
      <c r="H108" s="459">
        <f t="shared" si="28"/>
        <v>0</v>
      </c>
      <c r="I108" s="470">
        <v>0</v>
      </c>
      <c r="J108" s="459">
        <f t="shared" si="29"/>
        <v>0</v>
      </c>
      <c r="K108" s="470">
        <f t="shared" si="30"/>
        <v>0</v>
      </c>
      <c r="L108" s="471">
        <f t="shared" si="31"/>
        <v>0</v>
      </c>
      <c r="M108" s="459">
        <f t="shared" si="32"/>
        <v>0</v>
      </c>
      <c r="N108" s="470">
        <f t="shared" si="33"/>
        <v>1</v>
      </c>
      <c r="O108" s="459">
        <f t="shared" si="34"/>
        <v>500</v>
      </c>
      <c r="P108" s="339"/>
      <c r="Q108" s="338"/>
      <c r="R108" s="388"/>
      <c r="S108" s="388"/>
      <c r="T108" s="339"/>
    </row>
    <row r="109" spans="1:20" x14ac:dyDescent="0.2">
      <c r="A109" s="454" t="s">
        <v>747</v>
      </c>
      <c r="B109" s="925" t="s">
        <v>1001</v>
      </c>
      <c r="C109" s="926" t="s">
        <v>654</v>
      </c>
      <c r="D109" s="677">
        <v>2</v>
      </c>
      <c r="E109" s="677">
        <v>500</v>
      </c>
      <c r="F109" s="678">
        <v>1000</v>
      </c>
      <c r="G109" s="449">
        <v>0</v>
      </c>
      <c r="H109" s="459">
        <f t="shared" si="28"/>
        <v>0</v>
      </c>
      <c r="I109" s="470">
        <v>0</v>
      </c>
      <c r="J109" s="459">
        <f t="shared" si="29"/>
        <v>0</v>
      </c>
      <c r="K109" s="470">
        <f t="shared" si="30"/>
        <v>0</v>
      </c>
      <c r="L109" s="471">
        <f t="shared" si="31"/>
        <v>0</v>
      </c>
      <c r="M109" s="459">
        <f t="shared" si="32"/>
        <v>0</v>
      </c>
      <c r="N109" s="470">
        <f t="shared" si="33"/>
        <v>2</v>
      </c>
      <c r="O109" s="459">
        <f t="shared" si="34"/>
        <v>1000</v>
      </c>
      <c r="P109" s="339"/>
      <c r="Q109" s="338"/>
      <c r="R109" s="388"/>
      <c r="S109" s="388"/>
      <c r="T109" s="339"/>
    </row>
    <row r="110" spans="1:20" x14ac:dyDescent="0.2">
      <c r="A110" s="454" t="s">
        <v>748</v>
      </c>
      <c r="B110" s="925" t="s">
        <v>1002</v>
      </c>
      <c r="C110" s="926" t="s">
        <v>654</v>
      </c>
      <c r="D110" s="677">
        <v>4</v>
      </c>
      <c r="E110" s="677">
        <v>500</v>
      </c>
      <c r="F110" s="678">
        <v>2000</v>
      </c>
      <c r="G110" s="449">
        <v>0</v>
      </c>
      <c r="H110" s="459">
        <f t="shared" si="28"/>
        <v>0</v>
      </c>
      <c r="I110" s="470">
        <v>0</v>
      </c>
      <c r="J110" s="459">
        <f t="shared" si="29"/>
        <v>0</v>
      </c>
      <c r="K110" s="470">
        <f t="shared" si="30"/>
        <v>0</v>
      </c>
      <c r="L110" s="471">
        <f t="shared" si="31"/>
        <v>0</v>
      </c>
      <c r="M110" s="459">
        <f t="shared" si="32"/>
        <v>0</v>
      </c>
      <c r="N110" s="470">
        <f t="shared" si="33"/>
        <v>4</v>
      </c>
      <c r="O110" s="459">
        <f t="shared" si="34"/>
        <v>2000</v>
      </c>
      <c r="P110" s="339"/>
      <c r="Q110" s="338"/>
      <c r="R110" s="388"/>
      <c r="S110" s="388"/>
      <c r="T110" s="339"/>
    </row>
    <row r="111" spans="1:20" x14ac:dyDescent="0.2">
      <c r="A111" s="454" t="s">
        <v>749</v>
      </c>
      <c r="B111" s="925" t="s">
        <v>1003</v>
      </c>
      <c r="C111" s="926" t="s">
        <v>654</v>
      </c>
      <c r="D111" s="677">
        <v>3</v>
      </c>
      <c r="E111" s="677">
        <v>500</v>
      </c>
      <c r="F111" s="678">
        <v>1500</v>
      </c>
      <c r="G111" s="449">
        <v>0</v>
      </c>
      <c r="H111" s="459">
        <f t="shared" si="28"/>
        <v>0</v>
      </c>
      <c r="I111" s="470">
        <v>0</v>
      </c>
      <c r="J111" s="459">
        <f t="shared" si="29"/>
        <v>0</v>
      </c>
      <c r="K111" s="470">
        <f t="shared" si="30"/>
        <v>0</v>
      </c>
      <c r="L111" s="471">
        <f t="shared" si="31"/>
        <v>0</v>
      </c>
      <c r="M111" s="459">
        <f t="shared" si="32"/>
        <v>0</v>
      </c>
      <c r="N111" s="470">
        <f t="shared" si="33"/>
        <v>3</v>
      </c>
      <c r="O111" s="459">
        <f t="shared" si="34"/>
        <v>1500</v>
      </c>
      <c r="P111" s="339"/>
      <c r="Q111" s="338"/>
      <c r="R111" s="388"/>
      <c r="S111" s="388"/>
      <c r="T111" s="339"/>
    </row>
    <row r="112" spans="1:20" x14ac:dyDescent="0.2">
      <c r="A112" s="454" t="s">
        <v>750</v>
      </c>
      <c r="B112" s="925" t="s">
        <v>1004</v>
      </c>
      <c r="C112" s="926" t="s">
        <v>654</v>
      </c>
      <c r="D112" s="677">
        <v>2</v>
      </c>
      <c r="E112" s="677">
        <v>500</v>
      </c>
      <c r="F112" s="678">
        <v>1000</v>
      </c>
      <c r="G112" s="449">
        <v>0</v>
      </c>
      <c r="H112" s="459">
        <f t="shared" si="28"/>
        <v>0</v>
      </c>
      <c r="I112" s="470">
        <v>0</v>
      </c>
      <c r="J112" s="459">
        <f t="shared" si="29"/>
        <v>0</v>
      </c>
      <c r="K112" s="470">
        <f t="shared" si="30"/>
        <v>0</v>
      </c>
      <c r="L112" s="471">
        <f t="shared" si="31"/>
        <v>0</v>
      </c>
      <c r="M112" s="459">
        <f t="shared" si="32"/>
        <v>0</v>
      </c>
      <c r="N112" s="470">
        <f t="shared" si="33"/>
        <v>2</v>
      </c>
      <c r="O112" s="459">
        <f t="shared" si="34"/>
        <v>1000</v>
      </c>
      <c r="P112" s="339"/>
      <c r="Q112" s="338"/>
      <c r="R112" s="388"/>
      <c r="S112" s="388"/>
      <c r="T112" s="339"/>
    </row>
    <row r="113" spans="1:20" x14ac:dyDescent="0.2">
      <c r="A113" s="454" t="s">
        <v>751</v>
      </c>
      <c r="B113" s="925" t="s">
        <v>1005</v>
      </c>
      <c r="C113" s="926" t="s">
        <v>654</v>
      </c>
      <c r="D113" s="677">
        <v>10</v>
      </c>
      <c r="E113" s="677">
        <v>200</v>
      </c>
      <c r="F113" s="678">
        <v>2000</v>
      </c>
      <c r="G113" s="449">
        <v>0</v>
      </c>
      <c r="H113" s="459">
        <f t="shared" si="28"/>
        <v>0</v>
      </c>
      <c r="I113" s="470">
        <v>0</v>
      </c>
      <c r="J113" s="459">
        <f t="shared" si="29"/>
        <v>0</v>
      </c>
      <c r="K113" s="470">
        <f t="shared" si="30"/>
        <v>0</v>
      </c>
      <c r="L113" s="471">
        <f t="shared" si="31"/>
        <v>0</v>
      </c>
      <c r="M113" s="459">
        <f t="shared" si="32"/>
        <v>0</v>
      </c>
      <c r="N113" s="470">
        <f t="shared" si="33"/>
        <v>10</v>
      </c>
      <c r="O113" s="459">
        <f t="shared" si="34"/>
        <v>2000</v>
      </c>
      <c r="P113" s="339"/>
      <c r="Q113" s="338"/>
      <c r="R113" s="388"/>
      <c r="S113" s="388"/>
      <c r="T113" s="339"/>
    </row>
    <row r="114" spans="1:20" x14ac:dyDescent="0.2">
      <c r="A114" s="454" t="s">
        <v>752</v>
      </c>
      <c r="B114" s="925" t="s">
        <v>1006</v>
      </c>
      <c r="C114" s="926" t="s">
        <v>654</v>
      </c>
      <c r="D114" s="677">
        <v>15</v>
      </c>
      <c r="E114" s="677">
        <v>100</v>
      </c>
      <c r="F114" s="678">
        <v>1500</v>
      </c>
      <c r="G114" s="449">
        <v>0</v>
      </c>
      <c r="H114" s="459">
        <f t="shared" si="28"/>
        <v>0</v>
      </c>
      <c r="I114" s="470">
        <v>0</v>
      </c>
      <c r="J114" s="459">
        <f t="shared" si="29"/>
        <v>0</v>
      </c>
      <c r="K114" s="470">
        <f t="shared" si="30"/>
        <v>0</v>
      </c>
      <c r="L114" s="471">
        <f t="shared" si="31"/>
        <v>0</v>
      </c>
      <c r="M114" s="459">
        <f t="shared" si="32"/>
        <v>0</v>
      </c>
      <c r="N114" s="470">
        <f t="shared" si="33"/>
        <v>15</v>
      </c>
      <c r="O114" s="459">
        <f t="shared" si="34"/>
        <v>1500</v>
      </c>
      <c r="P114" s="339"/>
      <c r="Q114" s="338"/>
      <c r="R114" s="388"/>
      <c r="S114" s="388"/>
      <c r="T114" s="339"/>
    </row>
    <row r="115" spans="1:20" x14ac:dyDescent="0.2">
      <c r="A115" s="454" t="s">
        <v>753</v>
      </c>
      <c r="B115" s="925" t="s">
        <v>1007</v>
      </c>
      <c r="C115" s="926" t="s">
        <v>654</v>
      </c>
      <c r="D115" s="677">
        <v>3</v>
      </c>
      <c r="E115" s="677">
        <v>800</v>
      </c>
      <c r="F115" s="678">
        <v>2400</v>
      </c>
      <c r="G115" s="449">
        <v>0</v>
      </c>
      <c r="H115" s="459">
        <f t="shared" si="28"/>
        <v>0</v>
      </c>
      <c r="I115" s="470">
        <v>0</v>
      </c>
      <c r="J115" s="459">
        <f t="shared" si="29"/>
        <v>0</v>
      </c>
      <c r="K115" s="470">
        <f t="shared" si="30"/>
        <v>0</v>
      </c>
      <c r="L115" s="471">
        <f t="shared" si="31"/>
        <v>0</v>
      </c>
      <c r="M115" s="459">
        <f t="shared" si="32"/>
        <v>0</v>
      </c>
      <c r="N115" s="470">
        <f t="shared" si="33"/>
        <v>3</v>
      </c>
      <c r="O115" s="459">
        <f t="shared" si="34"/>
        <v>2400</v>
      </c>
      <c r="P115" s="339"/>
      <c r="Q115" s="338"/>
      <c r="R115" s="388"/>
      <c r="S115" s="388"/>
      <c r="T115" s="339"/>
    </row>
    <row r="116" spans="1:20" x14ac:dyDescent="0.2">
      <c r="A116" s="454" t="s">
        <v>754</v>
      </c>
      <c r="B116" s="925" t="s">
        <v>1008</v>
      </c>
      <c r="C116" s="926" t="s">
        <v>654</v>
      </c>
      <c r="D116" s="677">
        <v>3</v>
      </c>
      <c r="E116" s="677">
        <v>800</v>
      </c>
      <c r="F116" s="678">
        <v>2400</v>
      </c>
      <c r="G116" s="449">
        <v>0</v>
      </c>
      <c r="H116" s="459">
        <f t="shared" si="28"/>
        <v>0</v>
      </c>
      <c r="I116" s="470">
        <v>0</v>
      </c>
      <c r="J116" s="459">
        <f t="shared" si="29"/>
        <v>0</v>
      </c>
      <c r="K116" s="470">
        <f t="shared" si="30"/>
        <v>0</v>
      </c>
      <c r="L116" s="471">
        <f t="shared" si="31"/>
        <v>0</v>
      </c>
      <c r="M116" s="459">
        <f t="shared" si="32"/>
        <v>0</v>
      </c>
      <c r="N116" s="470">
        <f t="shared" si="33"/>
        <v>3</v>
      </c>
      <c r="O116" s="459">
        <f t="shared" si="34"/>
        <v>2400</v>
      </c>
      <c r="P116" s="339"/>
      <c r="Q116" s="338"/>
      <c r="R116" s="388"/>
      <c r="S116" s="388"/>
      <c r="T116" s="339"/>
    </row>
    <row r="117" spans="1:20" s="933" customFormat="1" x14ac:dyDescent="0.2">
      <c r="A117" s="919" t="s">
        <v>755</v>
      </c>
      <c r="B117" s="927" t="s">
        <v>756</v>
      </c>
      <c r="C117" s="928"/>
      <c r="D117" s="920"/>
      <c r="E117" s="920"/>
      <c r="F117" s="921"/>
      <c r="G117" s="929"/>
      <c r="H117" s="923"/>
      <c r="I117" s="922"/>
      <c r="J117" s="923"/>
      <c r="K117" s="922"/>
      <c r="L117" s="924"/>
      <c r="M117" s="923"/>
      <c r="N117" s="922"/>
      <c r="O117" s="923"/>
      <c r="P117" s="930"/>
      <c r="Q117" s="931"/>
      <c r="R117" s="932"/>
      <c r="S117" s="932"/>
      <c r="T117" s="930"/>
    </row>
    <row r="118" spans="1:20" x14ac:dyDescent="0.2">
      <c r="A118" s="454" t="s">
        <v>757</v>
      </c>
      <c r="B118" s="925" t="s">
        <v>1009</v>
      </c>
      <c r="C118" s="926" t="s">
        <v>654</v>
      </c>
      <c r="D118" s="677">
        <v>4</v>
      </c>
      <c r="E118" s="677">
        <v>500</v>
      </c>
      <c r="F118" s="678">
        <v>2000</v>
      </c>
      <c r="G118" s="449">
        <v>0</v>
      </c>
      <c r="H118" s="459">
        <f t="shared" ref="H118:H122" si="35">+G118*E118</f>
        <v>0</v>
      </c>
      <c r="I118" s="470">
        <v>0</v>
      </c>
      <c r="J118" s="459">
        <f t="shared" ref="J118:J122" si="36">+I118*E118</f>
        <v>0</v>
      </c>
      <c r="K118" s="470">
        <f t="shared" ref="K118:K122" si="37">+G118+I118</f>
        <v>0</v>
      </c>
      <c r="L118" s="471">
        <f t="shared" ref="L118:L122" si="38">+K118*E118</f>
        <v>0</v>
      </c>
      <c r="M118" s="459">
        <f t="shared" ref="M118:M122" si="39">+K118*100/D118</f>
        <v>0</v>
      </c>
      <c r="N118" s="470">
        <f t="shared" ref="N118:N122" si="40">+D118-K118</f>
        <v>4</v>
      </c>
      <c r="O118" s="459">
        <f t="shared" ref="O118:O122" si="41">+F118-L118</f>
        <v>2000</v>
      </c>
      <c r="P118" s="339"/>
      <c r="Q118" s="338"/>
      <c r="R118" s="388"/>
      <c r="S118" s="388"/>
      <c r="T118" s="339"/>
    </row>
    <row r="119" spans="1:20" x14ac:dyDescent="0.2">
      <c r="A119" s="454" t="s">
        <v>758</v>
      </c>
      <c r="B119" s="925" t="s">
        <v>1010</v>
      </c>
      <c r="C119" s="926" t="s">
        <v>654</v>
      </c>
      <c r="D119" s="677">
        <v>3</v>
      </c>
      <c r="E119" s="677">
        <v>25750</v>
      </c>
      <c r="F119" s="678">
        <v>77250</v>
      </c>
      <c r="G119" s="449">
        <v>0</v>
      </c>
      <c r="H119" s="459">
        <f t="shared" si="35"/>
        <v>0</v>
      </c>
      <c r="I119" s="470">
        <v>0</v>
      </c>
      <c r="J119" s="459">
        <f t="shared" si="36"/>
        <v>0</v>
      </c>
      <c r="K119" s="470">
        <f t="shared" si="37"/>
        <v>0</v>
      </c>
      <c r="L119" s="471">
        <f t="shared" si="38"/>
        <v>0</v>
      </c>
      <c r="M119" s="459">
        <f t="shared" si="39"/>
        <v>0</v>
      </c>
      <c r="N119" s="470">
        <f t="shared" si="40"/>
        <v>3</v>
      </c>
      <c r="O119" s="459">
        <f t="shared" si="41"/>
        <v>77250</v>
      </c>
      <c r="P119" s="339"/>
      <c r="Q119" s="338"/>
      <c r="R119" s="388"/>
      <c r="S119" s="388"/>
      <c r="T119" s="339"/>
    </row>
    <row r="120" spans="1:20" x14ac:dyDescent="0.2">
      <c r="A120" s="454" t="s">
        <v>759</v>
      </c>
      <c r="B120" s="925" t="s">
        <v>1011</v>
      </c>
      <c r="C120" s="926" t="s">
        <v>654</v>
      </c>
      <c r="D120" s="677">
        <v>1</v>
      </c>
      <c r="E120" s="677">
        <v>48750</v>
      </c>
      <c r="F120" s="678">
        <v>48750</v>
      </c>
      <c r="G120" s="449">
        <v>0</v>
      </c>
      <c r="H120" s="459">
        <f t="shared" si="35"/>
        <v>0</v>
      </c>
      <c r="I120" s="470">
        <v>0</v>
      </c>
      <c r="J120" s="459">
        <f t="shared" si="36"/>
        <v>0</v>
      </c>
      <c r="K120" s="470">
        <f t="shared" si="37"/>
        <v>0</v>
      </c>
      <c r="L120" s="471">
        <f t="shared" si="38"/>
        <v>0</v>
      </c>
      <c r="M120" s="459">
        <f t="shared" si="39"/>
        <v>0</v>
      </c>
      <c r="N120" s="470">
        <f t="shared" si="40"/>
        <v>1</v>
      </c>
      <c r="O120" s="459">
        <f t="shared" si="41"/>
        <v>48750</v>
      </c>
      <c r="P120" s="339"/>
      <c r="Q120" s="338"/>
      <c r="R120" s="388"/>
      <c r="S120" s="388"/>
      <c r="T120" s="339"/>
    </row>
    <row r="121" spans="1:20" x14ac:dyDescent="0.2">
      <c r="A121" s="454" t="s">
        <v>760</v>
      </c>
      <c r="B121" s="925" t="s">
        <v>1012</v>
      </c>
      <c r="C121" s="926" t="s">
        <v>654</v>
      </c>
      <c r="D121" s="677">
        <v>2</v>
      </c>
      <c r="E121" s="677">
        <v>28000</v>
      </c>
      <c r="F121" s="678">
        <v>56000</v>
      </c>
      <c r="G121" s="449">
        <v>0</v>
      </c>
      <c r="H121" s="459">
        <f t="shared" si="35"/>
        <v>0</v>
      </c>
      <c r="I121" s="470">
        <v>0</v>
      </c>
      <c r="J121" s="459">
        <f t="shared" si="36"/>
        <v>0</v>
      </c>
      <c r="K121" s="470">
        <f t="shared" si="37"/>
        <v>0</v>
      </c>
      <c r="L121" s="471">
        <f t="shared" si="38"/>
        <v>0</v>
      </c>
      <c r="M121" s="459">
        <f t="shared" si="39"/>
        <v>0</v>
      </c>
      <c r="N121" s="470">
        <f t="shared" si="40"/>
        <v>2</v>
      </c>
      <c r="O121" s="459">
        <f t="shared" si="41"/>
        <v>56000</v>
      </c>
      <c r="P121" s="339"/>
      <c r="Q121" s="338"/>
      <c r="R121" s="388"/>
      <c r="S121" s="388"/>
      <c r="T121" s="339"/>
    </row>
    <row r="122" spans="1:20" x14ac:dyDescent="0.2">
      <c r="A122" s="454" t="s">
        <v>761</v>
      </c>
      <c r="B122" s="925" t="s">
        <v>1013</v>
      </c>
      <c r="C122" s="926" t="s">
        <v>654</v>
      </c>
      <c r="D122" s="677">
        <v>1</v>
      </c>
      <c r="E122" s="677">
        <v>33900</v>
      </c>
      <c r="F122" s="678">
        <v>33900</v>
      </c>
      <c r="G122" s="449">
        <v>0</v>
      </c>
      <c r="H122" s="459">
        <f t="shared" si="35"/>
        <v>0</v>
      </c>
      <c r="I122" s="470">
        <v>0</v>
      </c>
      <c r="J122" s="459">
        <f t="shared" si="36"/>
        <v>0</v>
      </c>
      <c r="K122" s="470">
        <f t="shared" si="37"/>
        <v>0</v>
      </c>
      <c r="L122" s="471">
        <f t="shared" si="38"/>
        <v>0</v>
      </c>
      <c r="M122" s="459">
        <f t="shared" si="39"/>
        <v>0</v>
      </c>
      <c r="N122" s="470">
        <f t="shared" si="40"/>
        <v>1</v>
      </c>
      <c r="O122" s="459">
        <f t="shared" si="41"/>
        <v>33900</v>
      </c>
      <c r="P122" s="339"/>
      <c r="Q122" s="338"/>
      <c r="R122" s="388"/>
      <c r="S122" s="388"/>
      <c r="T122" s="339"/>
    </row>
    <row r="123" spans="1:20" x14ac:dyDescent="0.2">
      <c r="A123" s="454" t="s">
        <v>762</v>
      </c>
      <c r="B123" s="925" t="s">
        <v>1014</v>
      </c>
      <c r="C123" s="926" t="s">
        <v>654</v>
      </c>
      <c r="D123" s="677">
        <v>2</v>
      </c>
      <c r="E123" s="677">
        <v>25000</v>
      </c>
      <c r="F123" s="678">
        <v>50000</v>
      </c>
      <c r="G123" s="449">
        <v>0</v>
      </c>
      <c r="H123" s="459">
        <f t="shared" ref="H123:H150" si="42">+G123*E123</f>
        <v>0</v>
      </c>
      <c r="I123" s="470">
        <v>0</v>
      </c>
      <c r="J123" s="459">
        <f t="shared" ref="J123:J150" si="43">+I123*E123</f>
        <v>0</v>
      </c>
      <c r="K123" s="470">
        <f t="shared" ref="K123:K150" si="44">+G123+I123</f>
        <v>0</v>
      </c>
      <c r="L123" s="471">
        <f t="shared" ref="L123:L150" si="45">+K123*E123</f>
        <v>0</v>
      </c>
      <c r="M123" s="459">
        <f t="shared" ref="M123:M150" si="46">+K123*100/D123</f>
        <v>0</v>
      </c>
      <c r="N123" s="470">
        <f t="shared" ref="N123:N150" si="47">+D123-K123</f>
        <v>2</v>
      </c>
      <c r="O123" s="459">
        <f t="shared" ref="O123:O150" si="48">+F123-L123</f>
        <v>50000</v>
      </c>
      <c r="P123" s="339"/>
      <c r="Q123" s="338"/>
      <c r="R123" s="388"/>
      <c r="S123" s="388"/>
      <c r="T123" s="339"/>
    </row>
    <row r="124" spans="1:20" x14ac:dyDescent="0.2">
      <c r="A124" s="454" t="s">
        <v>763</v>
      </c>
      <c r="B124" s="925" t="s">
        <v>1015</v>
      </c>
      <c r="C124" s="926" t="s">
        <v>654</v>
      </c>
      <c r="D124" s="677">
        <v>2</v>
      </c>
      <c r="E124" s="677">
        <v>19450</v>
      </c>
      <c r="F124" s="678">
        <v>38900</v>
      </c>
      <c r="G124" s="449">
        <v>0</v>
      </c>
      <c r="H124" s="459">
        <f t="shared" si="42"/>
        <v>0</v>
      </c>
      <c r="I124" s="470">
        <v>0</v>
      </c>
      <c r="J124" s="459">
        <f t="shared" si="43"/>
        <v>0</v>
      </c>
      <c r="K124" s="470">
        <f t="shared" si="44"/>
        <v>0</v>
      </c>
      <c r="L124" s="471">
        <f t="shared" si="45"/>
        <v>0</v>
      </c>
      <c r="M124" s="459">
        <f t="shared" si="46"/>
        <v>0</v>
      </c>
      <c r="N124" s="470">
        <f t="shared" si="47"/>
        <v>2</v>
      </c>
      <c r="O124" s="459">
        <f t="shared" si="48"/>
        <v>38900</v>
      </c>
      <c r="P124" s="339"/>
      <c r="Q124" s="338"/>
      <c r="R124" s="388"/>
      <c r="S124" s="388"/>
      <c r="T124" s="339"/>
    </row>
    <row r="125" spans="1:20" x14ac:dyDescent="0.2">
      <c r="A125" s="454" t="s">
        <v>764</v>
      </c>
      <c r="B125" s="925" t="s">
        <v>1016</v>
      </c>
      <c r="C125" s="926" t="s">
        <v>654</v>
      </c>
      <c r="D125" s="677">
        <v>2</v>
      </c>
      <c r="E125" s="677">
        <v>27800</v>
      </c>
      <c r="F125" s="678">
        <v>55600</v>
      </c>
      <c r="G125" s="449">
        <v>0</v>
      </c>
      <c r="H125" s="459">
        <f t="shared" si="42"/>
        <v>0</v>
      </c>
      <c r="I125" s="470">
        <v>0</v>
      </c>
      <c r="J125" s="459">
        <f t="shared" si="43"/>
        <v>0</v>
      </c>
      <c r="K125" s="470">
        <f t="shared" si="44"/>
        <v>0</v>
      </c>
      <c r="L125" s="471">
        <f t="shared" si="45"/>
        <v>0</v>
      </c>
      <c r="M125" s="459">
        <f t="shared" si="46"/>
        <v>0</v>
      </c>
      <c r="N125" s="470">
        <f t="shared" si="47"/>
        <v>2</v>
      </c>
      <c r="O125" s="459">
        <f t="shared" si="48"/>
        <v>55600</v>
      </c>
      <c r="P125" s="339"/>
      <c r="Q125" s="338"/>
      <c r="R125" s="388"/>
      <c r="S125" s="388"/>
      <c r="T125" s="339"/>
    </row>
    <row r="126" spans="1:20" x14ac:dyDescent="0.2">
      <c r="A126" s="454" t="s">
        <v>765</v>
      </c>
      <c r="B126" s="925" t="s">
        <v>1017</v>
      </c>
      <c r="C126" s="926" t="s">
        <v>654</v>
      </c>
      <c r="D126" s="677">
        <v>2</v>
      </c>
      <c r="E126" s="677">
        <v>21500</v>
      </c>
      <c r="F126" s="678">
        <v>43000</v>
      </c>
      <c r="G126" s="449">
        <v>0</v>
      </c>
      <c r="H126" s="459">
        <f t="shared" si="42"/>
        <v>0</v>
      </c>
      <c r="I126" s="470">
        <v>0</v>
      </c>
      <c r="J126" s="459">
        <f t="shared" si="43"/>
        <v>0</v>
      </c>
      <c r="K126" s="470">
        <f t="shared" si="44"/>
        <v>0</v>
      </c>
      <c r="L126" s="471">
        <f t="shared" si="45"/>
        <v>0</v>
      </c>
      <c r="M126" s="459">
        <f t="shared" si="46"/>
        <v>0</v>
      </c>
      <c r="N126" s="470">
        <f t="shared" si="47"/>
        <v>2</v>
      </c>
      <c r="O126" s="459">
        <f t="shared" si="48"/>
        <v>43000</v>
      </c>
      <c r="P126" s="339"/>
      <c r="Q126" s="338"/>
      <c r="R126" s="388"/>
      <c r="S126" s="388"/>
      <c r="T126" s="339"/>
    </row>
    <row r="127" spans="1:20" x14ac:dyDescent="0.2">
      <c r="A127" s="454" t="s">
        <v>766</v>
      </c>
      <c r="B127" s="925" t="s">
        <v>1018</v>
      </c>
      <c r="C127" s="926" t="s">
        <v>654</v>
      </c>
      <c r="D127" s="677">
        <v>1</v>
      </c>
      <c r="E127" s="677">
        <v>1500</v>
      </c>
      <c r="F127" s="678">
        <v>1500</v>
      </c>
      <c r="G127" s="449">
        <v>0</v>
      </c>
      <c r="H127" s="459">
        <f t="shared" si="42"/>
        <v>0</v>
      </c>
      <c r="I127" s="470">
        <v>0</v>
      </c>
      <c r="J127" s="459">
        <f t="shared" si="43"/>
        <v>0</v>
      </c>
      <c r="K127" s="470">
        <f t="shared" si="44"/>
        <v>0</v>
      </c>
      <c r="L127" s="471">
        <f t="shared" si="45"/>
        <v>0</v>
      </c>
      <c r="M127" s="459">
        <f t="shared" si="46"/>
        <v>0</v>
      </c>
      <c r="N127" s="470">
        <f t="shared" si="47"/>
        <v>1</v>
      </c>
      <c r="O127" s="459">
        <f t="shared" si="48"/>
        <v>1500</v>
      </c>
      <c r="P127" s="339"/>
      <c r="Q127" s="338"/>
      <c r="R127" s="388"/>
      <c r="S127" s="388"/>
      <c r="T127" s="339"/>
    </row>
    <row r="128" spans="1:20" x14ac:dyDescent="0.2">
      <c r="A128" s="454" t="s">
        <v>767</v>
      </c>
      <c r="B128" s="925" t="s">
        <v>1019</v>
      </c>
      <c r="C128" s="926" t="s">
        <v>654</v>
      </c>
      <c r="D128" s="677">
        <v>3</v>
      </c>
      <c r="E128" s="677">
        <v>12500</v>
      </c>
      <c r="F128" s="678">
        <v>37500</v>
      </c>
      <c r="G128" s="449">
        <v>0</v>
      </c>
      <c r="H128" s="459">
        <f t="shared" si="42"/>
        <v>0</v>
      </c>
      <c r="I128" s="470">
        <v>0</v>
      </c>
      <c r="J128" s="459">
        <f t="shared" si="43"/>
        <v>0</v>
      </c>
      <c r="K128" s="470">
        <f t="shared" si="44"/>
        <v>0</v>
      </c>
      <c r="L128" s="471">
        <f t="shared" si="45"/>
        <v>0</v>
      </c>
      <c r="M128" s="459">
        <f t="shared" si="46"/>
        <v>0</v>
      </c>
      <c r="N128" s="470">
        <f t="shared" si="47"/>
        <v>3</v>
      </c>
      <c r="O128" s="459">
        <f t="shared" si="48"/>
        <v>37500</v>
      </c>
      <c r="P128" s="339"/>
      <c r="Q128" s="338"/>
      <c r="R128" s="388"/>
      <c r="S128" s="388"/>
      <c r="T128" s="339"/>
    </row>
    <row r="129" spans="1:20" x14ac:dyDescent="0.2">
      <c r="A129" s="454" t="s">
        <v>768</v>
      </c>
      <c r="B129" s="925" t="s">
        <v>1020</v>
      </c>
      <c r="C129" s="926" t="s">
        <v>654</v>
      </c>
      <c r="D129" s="677">
        <v>10</v>
      </c>
      <c r="E129" s="677">
        <v>1200</v>
      </c>
      <c r="F129" s="678">
        <v>12000</v>
      </c>
      <c r="G129" s="449">
        <v>0</v>
      </c>
      <c r="H129" s="459">
        <f t="shared" si="42"/>
        <v>0</v>
      </c>
      <c r="I129" s="470">
        <v>0</v>
      </c>
      <c r="J129" s="459">
        <f t="shared" si="43"/>
        <v>0</v>
      </c>
      <c r="K129" s="470">
        <f t="shared" si="44"/>
        <v>0</v>
      </c>
      <c r="L129" s="471">
        <f t="shared" si="45"/>
        <v>0</v>
      </c>
      <c r="M129" s="459">
        <f t="shared" si="46"/>
        <v>0</v>
      </c>
      <c r="N129" s="470">
        <f t="shared" si="47"/>
        <v>10</v>
      </c>
      <c r="O129" s="459">
        <f t="shared" si="48"/>
        <v>12000</v>
      </c>
      <c r="P129" s="339"/>
      <c r="Q129" s="338"/>
      <c r="R129" s="388"/>
      <c r="S129" s="388"/>
      <c r="T129" s="339"/>
    </row>
    <row r="130" spans="1:20" x14ac:dyDescent="0.2">
      <c r="A130" s="454" t="s">
        <v>769</v>
      </c>
      <c r="B130" s="925" t="s">
        <v>1021</v>
      </c>
      <c r="C130" s="926" t="s">
        <v>654</v>
      </c>
      <c r="D130" s="677">
        <v>1</v>
      </c>
      <c r="E130" s="677">
        <v>1800</v>
      </c>
      <c r="F130" s="678">
        <v>1800</v>
      </c>
      <c r="G130" s="449">
        <v>0</v>
      </c>
      <c r="H130" s="459">
        <f t="shared" si="42"/>
        <v>0</v>
      </c>
      <c r="I130" s="470">
        <v>0</v>
      </c>
      <c r="J130" s="459">
        <f t="shared" si="43"/>
        <v>0</v>
      </c>
      <c r="K130" s="470">
        <f t="shared" si="44"/>
        <v>0</v>
      </c>
      <c r="L130" s="471">
        <f t="shared" si="45"/>
        <v>0</v>
      </c>
      <c r="M130" s="459">
        <f t="shared" si="46"/>
        <v>0</v>
      </c>
      <c r="N130" s="470">
        <f t="shared" si="47"/>
        <v>1</v>
      </c>
      <c r="O130" s="459">
        <f t="shared" si="48"/>
        <v>1800</v>
      </c>
      <c r="P130" s="339"/>
      <c r="Q130" s="338"/>
      <c r="R130" s="388"/>
      <c r="S130" s="388"/>
      <c r="T130" s="339"/>
    </row>
    <row r="131" spans="1:20" x14ac:dyDescent="0.2">
      <c r="A131" s="454" t="s">
        <v>770</v>
      </c>
      <c r="B131" s="925" t="s">
        <v>1022</v>
      </c>
      <c r="C131" s="926" t="s">
        <v>654</v>
      </c>
      <c r="D131" s="677">
        <v>1</v>
      </c>
      <c r="E131" s="677">
        <v>1200</v>
      </c>
      <c r="F131" s="678">
        <v>1200</v>
      </c>
      <c r="G131" s="449">
        <v>0</v>
      </c>
      <c r="H131" s="459">
        <f t="shared" si="42"/>
        <v>0</v>
      </c>
      <c r="I131" s="470">
        <v>0</v>
      </c>
      <c r="J131" s="459">
        <f t="shared" si="43"/>
        <v>0</v>
      </c>
      <c r="K131" s="470">
        <f t="shared" si="44"/>
        <v>0</v>
      </c>
      <c r="L131" s="471">
        <f t="shared" si="45"/>
        <v>0</v>
      </c>
      <c r="M131" s="459">
        <f t="shared" si="46"/>
        <v>0</v>
      </c>
      <c r="N131" s="470">
        <f t="shared" si="47"/>
        <v>1</v>
      </c>
      <c r="O131" s="459">
        <f t="shared" si="48"/>
        <v>1200</v>
      </c>
      <c r="P131" s="339"/>
      <c r="Q131" s="338"/>
      <c r="R131" s="388"/>
      <c r="S131" s="388"/>
      <c r="T131" s="339"/>
    </row>
    <row r="132" spans="1:20" x14ac:dyDescent="0.2">
      <c r="A132" s="454" t="s">
        <v>771</v>
      </c>
      <c r="B132" s="925" t="s">
        <v>1023</v>
      </c>
      <c r="C132" s="926" t="s">
        <v>654</v>
      </c>
      <c r="D132" s="677">
        <v>2</v>
      </c>
      <c r="E132" s="677">
        <v>27433.84</v>
      </c>
      <c r="F132" s="678">
        <v>54867.68</v>
      </c>
      <c r="G132" s="449">
        <v>0</v>
      </c>
      <c r="H132" s="459">
        <f t="shared" si="42"/>
        <v>0</v>
      </c>
      <c r="I132" s="470">
        <v>0</v>
      </c>
      <c r="J132" s="459">
        <f t="shared" si="43"/>
        <v>0</v>
      </c>
      <c r="K132" s="470">
        <f t="shared" si="44"/>
        <v>0</v>
      </c>
      <c r="L132" s="471">
        <f t="shared" si="45"/>
        <v>0</v>
      </c>
      <c r="M132" s="459">
        <f t="shared" si="46"/>
        <v>0</v>
      </c>
      <c r="N132" s="470">
        <f t="shared" si="47"/>
        <v>2</v>
      </c>
      <c r="O132" s="459">
        <f t="shared" si="48"/>
        <v>54867.68</v>
      </c>
      <c r="P132" s="339"/>
      <c r="Q132" s="338"/>
      <c r="R132" s="388"/>
      <c r="S132" s="388"/>
      <c r="T132" s="339"/>
    </row>
    <row r="133" spans="1:20" x14ac:dyDescent="0.2">
      <c r="A133" s="454" t="s">
        <v>772</v>
      </c>
      <c r="B133" s="925" t="s">
        <v>1024</v>
      </c>
      <c r="C133" s="926" t="s">
        <v>654</v>
      </c>
      <c r="D133" s="677">
        <v>2</v>
      </c>
      <c r="E133" s="677">
        <v>33900</v>
      </c>
      <c r="F133" s="678">
        <v>67800</v>
      </c>
      <c r="G133" s="449">
        <v>0</v>
      </c>
      <c r="H133" s="459">
        <f t="shared" si="42"/>
        <v>0</v>
      </c>
      <c r="I133" s="470">
        <v>0</v>
      </c>
      <c r="J133" s="459">
        <f t="shared" si="43"/>
        <v>0</v>
      </c>
      <c r="K133" s="470">
        <f t="shared" si="44"/>
        <v>0</v>
      </c>
      <c r="L133" s="471">
        <f t="shared" si="45"/>
        <v>0</v>
      </c>
      <c r="M133" s="459">
        <f t="shared" si="46"/>
        <v>0</v>
      </c>
      <c r="N133" s="470">
        <f t="shared" si="47"/>
        <v>2</v>
      </c>
      <c r="O133" s="459">
        <f t="shared" si="48"/>
        <v>67800</v>
      </c>
      <c r="P133" s="339"/>
      <c r="Q133" s="338"/>
      <c r="R133" s="388"/>
      <c r="S133" s="388"/>
      <c r="T133" s="339"/>
    </row>
    <row r="134" spans="1:20" x14ac:dyDescent="0.2">
      <c r="A134" s="454" t="s">
        <v>773</v>
      </c>
      <c r="B134" s="925" t="s">
        <v>1025</v>
      </c>
      <c r="C134" s="926" t="s">
        <v>654</v>
      </c>
      <c r="D134" s="677">
        <v>1</v>
      </c>
      <c r="E134" s="677">
        <v>500</v>
      </c>
      <c r="F134" s="678">
        <v>500</v>
      </c>
      <c r="G134" s="449">
        <v>0</v>
      </c>
      <c r="H134" s="459">
        <f t="shared" si="42"/>
        <v>0</v>
      </c>
      <c r="I134" s="470">
        <v>0</v>
      </c>
      <c r="J134" s="459">
        <f t="shared" si="43"/>
        <v>0</v>
      </c>
      <c r="K134" s="470">
        <f t="shared" si="44"/>
        <v>0</v>
      </c>
      <c r="L134" s="471">
        <f t="shared" si="45"/>
        <v>0</v>
      </c>
      <c r="M134" s="459">
        <f t="shared" si="46"/>
        <v>0</v>
      </c>
      <c r="N134" s="470">
        <f t="shared" si="47"/>
        <v>1</v>
      </c>
      <c r="O134" s="459">
        <f t="shared" si="48"/>
        <v>500</v>
      </c>
      <c r="P134" s="339"/>
      <c r="Q134" s="338"/>
      <c r="R134" s="388"/>
      <c r="S134" s="388"/>
      <c r="T134" s="339"/>
    </row>
    <row r="135" spans="1:20" x14ac:dyDescent="0.2">
      <c r="A135" s="454" t="s">
        <v>774</v>
      </c>
      <c r="B135" s="925" t="s">
        <v>1026</v>
      </c>
      <c r="C135" s="926" t="s">
        <v>654</v>
      </c>
      <c r="D135" s="677">
        <v>2</v>
      </c>
      <c r="E135" s="677">
        <v>115000</v>
      </c>
      <c r="F135" s="678">
        <v>230000</v>
      </c>
      <c r="G135" s="449">
        <v>0</v>
      </c>
      <c r="H135" s="459">
        <f t="shared" si="42"/>
        <v>0</v>
      </c>
      <c r="I135" s="470">
        <v>0</v>
      </c>
      <c r="J135" s="459">
        <f t="shared" si="43"/>
        <v>0</v>
      </c>
      <c r="K135" s="470">
        <f t="shared" si="44"/>
        <v>0</v>
      </c>
      <c r="L135" s="471">
        <f t="shared" si="45"/>
        <v>0</v>
      </c>
      <c r="M135" s="459">
        <f t="shared" si="46"/>
        <v>0</v>
      </c>
      <c r="N135" s="470">
        <f t="shared" si="47"/>
        <v>2</v>
      </c>
      <c r="O135" s="459">
        <f t="shared" si="48"/>
        <v>230000</v>
      </c>
      <c r="P135" s="339"/>
      <c r="Q135" s="338"/>
      <c r="R135" s="388"/>
      <c r="S135" s="388"/>
      <c r="T135" s="339"/>
    </row>
    <row r="136" spans="1:20" x14ac:dyDescent="0.2">
      <c r="A136" s="454" t="s">
        <v>775</v>
      </c>
      <c r="B136" s="925" t="s">
        <v>1027</v>
      </c>
      <c r="C136" s="926" t="s">
        <v>654</v>
      </c>
      <c r="D136" s="677">
        <v>2</v>
      </c>
      <c r="E136" s="677">
        <v>200</v>
      </c>
      <c r="F136" s="678">
        <v>400</v>
      </c>
      <c r="G136" s="449">
        <v>0</v>
      </c>
      <c r="H136" s="459">
        <f t="shared" si="42"/>
        <v>0</v>
      </c>
      <c r="I136" s="470">
        <v>0</v>
      </c>
      <c r="J136" s="459">
        <f t="shared" si="43"/>
        <v>0</v>
      </c>
      <c r="K136" s="470">
        <f t="shared" si="44"/>
        <v>0</v>
      </c>
      <c r="L136" s="471">
        <f t="shared" si="45"/>
        <v>0</v>
      </c>
      <c r="M136" s="459">
        <f t="shared" si="46"/>
        <v>0</v>
      </c>
      <c r="N136" s="470">
        <f t="shared" si="47"/>
        <v>2</v>
      </c>
      <c r="O136" s="459">
        <f t="shared" si="48"/>
        <v>400</v>
      </c>
      <c r="P136" s="339"/>
      <c r="Q136" s="338"/>
      <c r="R136" s="388"/>
      <c r="S136" s="388"/>
      <c r="T136" s="339"/>
    </row>
    <row r="137" spans="1:20" x14ac:dyDescent="0.2">
      <c r="A137" s="454" t="s">
        <v>776</v>
      </c>
      <c r="B137" s="925" t="s">
        <v>1028</v>
      </c>
      <c r="C137" s="926" t="s">
        <v>654</v>
      </c>
      <c r="D137" s="677">
        <v>1</v>
      </c>
      <c r="E137" s="677">
        <v>4500</v>
      </c>
      <c r="F137" s="678">
        <v>4500</v>
      </c>
      <c r="G137" s="449">
        <v>0</v>
      </c>
      <c r="H137" s="459">
        <f t="shared" si="42"/>
        <v>0</v>
      </c>
      <c r="I137" s="470">
        <v>0</v>
      </c>
      <c r="J137" s="459">
        <f t="shared" si="43"/>
        <v>0</v>
      </c>
      <c r="K137" s="470">
        <f t="shared" si="44"/>
        <v>0</v>
      </c>
      <c r="L137" s="471">
        <f t="shared" si="45"/>
        <v>0</v>
      </c>
      <c r="M137" s="459">
        <f t="shared" si="46"/>
        <v>0</v>
      </c>
      <c r="N137" s="470">
        <f t="shared" si="47"/>
        <v>1</v>
      </c>
      <c r="O137" s="459">
        <f t="shared" si="48"/>
        <v>4500</v>
      </c>
      <c r="P137" s="339"/>
      <c r="Q137" s="338"/>
      <c r="R137" s="388"/>
      <c r="S137" s="388"/>
      <c r="T137" s="339"/>
    </row>
    <row r="138" spans="1:20" x14ac:dyDescent="0.2">
      <c r="A138" s="454" t="s">
        <v>777</v>
      </c>
      <c r="B138" s="925" t="s">
        <v>1029</v>
      </c>
      <c r="C138" s="926" t="s">
        <v>654</v>
      </c>
      <c r="D138" s="677">
        <v>1</v>
      </c>
      <c r="E138" s="677">
        <v>130000</v>
      </c>
      <c r="F138" s="678">
        <v>130000</v>
      </c>
      <c r="G138" s="449">
        <v>0</v>
      </c>
      <c r="H138" s="459">
        <f t="shared" si="42"/>
        <v>0</v>
      </c>
      <c r="I138" s="470">
        <v>0</v>
      </c>
      <c r="J138" s="459">
        <f t="shared" si="43"/>
        <v>0</v>
      </c>
      <c r="K138" s="470">
        <f t="shared" si="44"/>
        <v>0</v>
      </c>
      <c r="L138" s="471">
        <f t="shared" si="45"/>
        <v>0</v>
      </c>
      <c r="M138" s="459">
        <f t="shared" si="46"/>
        <v>0</v>
      </c>
      <c r="N138" s="470">
        <f t="shared" si="47"/>
        <v>1</v>
      </c>
      <c r="O138" s="459">
        <f t="shared" si="48"/>
        <v>130000</v>
      </c>
      <c r="P138" s="339"/>
      <c r="Q138" s="338"/>
      <c r="R138" s="388"/>
      <c r="S138" s="388"/>
      <c r="T138" s="339"/>
    </row>
    <row r="139" spans="1:20" x14ac:dyDescent="0.2">
      <c r="A139" s="454" t="s">
        <v>778</v>
      </c>
      <c r="B139" s="925" t="s">
        <v>1030</v>
      </c>
      <c r="C139" s="926" t="s">
        <v>654</v>
      </c>
      <c r="D139" s="677">
        <v>1</v>
      </c>
      <c r="E139" s="677">
        <v>75000</v>
      </c>
      <c r="F139" s="678">
        <v>75000</v>
      </c>
      <c r="G139" s="449">
        <v>0</v>
      </c>
      <c r="H139" s="459">
        <f t="shared" si="42"/>
        <v>0</v>
      </c>
      <c r="I139" s="470">
        <v>0</v>
      </c>
      <c r="J139" s="459">
        <f t="shared" si="43"/>
        <v>0</v>
      </c>
      <c r="K139" s="470">
        <f t="shared" si="44"/>
        <v>0</v>
      </c>
      <c r="L139" s="471">
        <f t="shared" si="45"/>
        <v>0</v>
      </c>
      <c r="M139" s="459">
        <f t="shared" si="46"/>
        <v>0</v>
      </c>
      <c r="N139" s="470">
        <f t="shared" si="47"/>
        <v>1</v>
      </c>
      <c r="O139" s="459">
        <f t="shared" si="48"/>
        <v>75000</v>
      </c>
      <c r="P139" s="339"/>
      <c r="Q139" s="338"/>
      <c r="R139" s="388"/>
      <c r="S139" s="388"/>
      <c r="T139" s="339"/>
    </row>
    <row r="140" spans="1:20" x14ac:dyDescent="0.2">
      <c r="A140" s="454" t="s">
        <v>779</v>
      </c>
      <c r="B140" s="925" t="s">
        <v>1031</v>
      </c>
      <c r="C140" s="926" t="s">
        <v>654</v>
      </c>
      <c r="D140" s="677">
        <v>2</v>
      </c>
      <c r="E140" s="677">
        <v>300</v>
      </c>
      <c r="F140" s="678">
        <v>600</v>
      </c>
      <c r="G140" s="449">
        <v>0</v>
      </c>
      <c r="H140" s="459">
        <f t="shared" si="42"/>
        <v>0</v>
      </c>
      <c r="I140" s="470">
        <v>0</v>
      </c>
      <c r="J140" s="459">
        <f t="shared" si="43"/>
        <v>0</v>
      </c>
      <c r="K140" s="470">
        <f t="shared" si="44"/>
        <v>0</v>
      </c>
      <c r="L140" s="471">
        <f t="shared" si="45"/>
        <v>0</v>
      </c>
      <c r="M140" s="459">
        <f t="shared" si="46"/>
        <v>0</v>
      </c>
      <c r="N140" s="470">
        <f t="shared" si="47"/>
        <v>2</v>
      </c>
      <c r="O140" s="459">
        <f t="shared" si="48"/>
        <v>600</v>
      </c>
      <c r="P140" s="339"/>
      <c r="Q140" s="338"/>
      <c r="R140" s="388"/>
      <c r="S140" s="388"/>
      <c r="T140" s="339"/>
    </row>
    <row r="141" spans="1:20" x14ac:dyDescent="0.2">
      <c r="A141" s="454" t="s">
        <v>780</v>
      </c>
      <c r="B141" s="925" t="s">
        <v>1032</v>
      </c>
      <c r="C141" s="926" t="s">
        <v>654</v>
      </c>
      <c r="D141" s="677">
        <v>8</v>
      </c>
      <c r="E141" s="677">
        <v>4248.125</v>
      </c>
      <c r="F141" s="678">
        <v>33985</v>
      </c>
      <c r="G141" s="449">
        <v>0</v>
      </c>
      <c r="H141" s="459">
        <f t="shared" si="42"/>
        <v>0</v>
      </c>
      <c r="I141" s="470">
        <v>0</v>
      </c>
      <c r="J141" s="459">
        <f t="shared" si="43"/>
        <v>0</v>
      </c>
      <c r="K141" s="470">
        <f t="shared" si="44"/>
        <v>0</v>
      </c>
      <c r="L141" s="471">
        <f t="shared" si="45"/>
        <v>0</v>
      </c>
      <c r="M141" s="459">
        <f t="shared" si="46"/>
        <v>0</v>
      </c>
      <c r="N141" s="470">
        <f t="shared" si="47"/>
        <v>8</v>
      </c>
      <c r="O141" s="459">
        <f t="shared" si="48"/>
        <v>33985</v>
      </c>
      <c r="P141" s="339"/>
      <c r="Q141" s="338"/>
      <c r="R141" s="388"/>
      <c r="S141" s="388"/>
      <c r="T141" s="339"/>
    </row>
    <row r="142" spans="1:20" x14ac:dyDescent="0.2">
      <c r="A142" s="454" t="s">
        <v>781</v>
      </c>
      <c r="B142" s="925" t="s">
        <v>1033</v>
      </c>
      <c r="C142" s="926" t="s">
        <v>654</v>
      </c>
      <c r="D142" s="677">
        <v>2</v>
      </c>
      <c r="E142" s="677">
        <v>7300</v>
      </c>
      <c r="F142" s="678">
        <v>14600</v>
      </c>
      <c r="G142" s="449">
        <v>0</v>
      </c>
      <c r="H142" s="459">
        <f t="shared" si="42"/>
        <v>0</v>
      </c>
      <c r="I142" s="470">
        <v>0</v>
      </c>
      <c r="J142" s="459">
        <f t="shared" si="43"/>
        <v>0</v>
      </c>
      <c r="K142" s="470">
        <f t="shared" si="44"/>
        <v>0</v>
      </c>
      <c r="L142" s="471">
        <f t="shared" si="45"/>
        <v>0</v>
      </c>
      <c r="M142" s="459">
        <f t="shared" si="46"/>
        <v>0</v>
      </c>
      <c r="N142" s="470">
        <f t="shared" si="47"/>
        <v>2</v>
      </c>
      <c r="O142" s="459">
        <f t="shared" si="48"/>
        <v>14600</v>
      </c>
      <c r="P142" s="339"/>
      <c r="Q142" s="338"/>
      <c r="R142" s="388"/>
      <c r="S142" s="388"/>
      <c r="T142" s="339"/>
    </row>
    <row r="143" spans="1:20" x14ac:dyDescent="0.2">
      <c r="A143" s="454" t="s">
        <v>782</v>
      </c>
      <c r="B143" s="925" t="s">
        <v>1034</v>
      </c>
      <c r="C143" s="926" t="s">
        <v>654</v>
      </c>
      <c r="D143" s="677">
        <v>2</v>
      </c>
      <c r="E143" s="677">
        <v>500</v>
      </c>
      <c r="F143" s="678">
        <v>1000</v>
      </c>
      <c r="G143" s="449">
        <v>0</v>
      </c>
      <c r="H143" s="459">
        <f t="shared" si="42"/>
        <v>0</v>
      </c>
      <c r="I143" s="470">
        <v>0</v>
      </c>
      <c r="J143" s="459">
        <f t="shared" si="43"/>
        <v>0</v>
      </c>
      <c r="K143" s="470">
        <f t="shared" si="44"/>
        <v>0</v>
      </c>
      <c r="L143" s="471">
        <f t="shared" si="45"/>
        <v>0</v>
      </c>
      <c r="M143" s="459">
        <f t="shared" si="46"/>
        <v>0</v>
      </c>
      <c r="N143" s="470">
        <f t="shared" si="47"/>
        <v>2</v>
      </c>
      <c r="O143" s="459">
        <f t="shared" si="48"/>
        <v>1000</v>
      </c>
      <c r="P143" s="339"/>
      <c r="Q143" s="338"/>
      <c r="R143" s="388"/>
      <c r="S143" s="388"/>
      <c r="T143" s="339"/>
    </row>
    <row r="144" spans="1:20" x14ac:dyDescent="0.2">
      <c r="A144" s="454" t="s">
        <v>783</v>
      </c>
      <c r="B144" s="925" t="s">
        <v>1035</v>
      </c>
      <c r="C144" s="926" t="s">
        <v>654</v>
      </c>
      <c r="D144" s="677">
        <v>4</v>
      </c>
      <c r="E144" s="677">
        <v>1237.5</v>
      </c>
      <c r="F144" s="678">
        <v>4950</v>
      </c>
      <c r="G144" s="449">
        <v>0</v>
      </c>
      <c r="H144" s="459">
        <f t="shared" si="42"/>
        <v>0</v>
      </c>
      <c r="I144" s="470">
        <v>0</v>
      </c>
      <c r="J144" s="459">
        <f t="shared" si="43"/>
        <v>0</v>
      </c>
      <c r="K144" s="470">
        <f t="shared" si="44"/>
        <v>0</v>
      </c>
      <c r="L144" s="471">
        <f t="shared" si="45"/>
        <v>0</v>
      </c>
      <c r="M144" s="459">
        <f t="shared" si="46"/>
        <v>0</v>
      </c>
      <c r="N144" s="470">
        <f t="shared" si="47"/>
        <v>4</v>
      </c>
      <c r="O144" s="459">
        <f t="shared" si="48"/>
        <v>4950</v>
      </c>
      <c r="P144" s="339"/>
      <c r="Q144" s="338"/>
      <c r="R144" s="388"/>
      <c r="S144" s="388"/>
      <c r="T144" s="339"/>
    </row>
    <row r="145" spans="1:20" x14ac:dyDescent="0.2">
      <c r="A145" s="454" t="s">
        <v>784</v>
      </c>
      <c r="B145" s="925" t="s">
        <v>1036</v>
      </c>
      <c r="C145" s="926" t="s">
        <v>654</v>
      </c>
      <c r="D145" s="677">
        <v>1</v>
      </c>
      <c r="E145" s="677">
        <v>4000</v>
      </c>
      <c r="F145" s="678">
        <v>4000</v>
      </c>
      <c r="G145" s="449">
        <v>0</v>
      </c>
      <c r="H145" s="459">
        <f t="shared" si="42"/>
        <v>0</v>
      </c>
      <c r="I145" s="470">
        <v>0</v>
      </c>
      <c r="J145" s="459">
        <f t="shared" si="43"/>
        <v>0</v>
      </c>
      <c r="K145" s="470">
        <f t="shared" si="44"/>
        <v>0</v>
      </c>
      <c r="L145" s="471">
        <f t="shared" si="45"/>
        <v>0</v>
      </c>
      <c r="M145" s="459">
        <f t="shared" si="46"/>
        <v>0</v>
      </c>
      <c r="N145" s="470">
        <f t="shared" si="47"/>
        <v>1</v>
      </c>
      <c r="O145" s="459">
        <f t="shared" si="48"/>
        <v>4000</v>
      </c>
      <c r="P145" s="339"/>
      <c r="Q145" s="338"/>
      <c r="R145" s="388"/>
      <c r="S145" s="388"/>
      <c r="T145" s="339"/>
    </row>
    <row r="146" spans="1:20" x14ac:dyDescent="0.2">
      <c r="A146" s="454" t="s">
        <v>785</v>
      </c>
      <c r="B146" s="925" t="s">
        <v>1037</v>
      </c>
      <c r="C146" s="926" t="s">
        <v>654</v>
      </c>
      <c r="D146" s="677">
        <v>2</v>
      </c>
      <c r="E146" s="677">
        <v>1800</v>
      </c>
      <c r="F146" s="678">
        <v>3600</v>
      </c>
      <c r="G146" s="449">
        <v>0</v>
      </c>
      <c r="H146" s="459">
        <f t="shared" si="42"/>
        <v>0</v>
      </c>
      <c r="I146" s="470">
        <v>0</v>
      </c>
      <c r="J146" s="459">
        <f t="shared" si="43"/>
        <v>0</v>
      </c>
      <c r="K146" s="470">
        <f t="shared" si="44"/>
        <v>0</v>
      </c>
      <c r="L146" s="471">
        <f t="shared" si="45"/>
        <v>0</v>
      </c>
      <c r="M146" s="459">
        <f t="shared" si="46"/>
        <v>0</v>
      </c>
      <c r="N146" s="470">
        <f t="shared" si="47"/>
        <v>2</v>
      </c>
      <c r="O146" s="459">
        <f t="shared" si="48"/>
        <v>3600</v>
      </c>
      <c r="P146" s="339"/>
      <c r="Q146" s="338"/>
      <c r="R146" s="388"/>
      <c r="S146" s="388"/>
      <c r="T146" s="339"/>
    </row>
    <row r="147" spans="1:20" x14ac:dyDescent="0.2">
      <c r="A147" s="454" t="s">
        <v>786</v>
      </c>
      <c r="B147" s="925" t="s">
        <v>1038</v>
      </c>
      <c r="C147" s="926" t="s">
        <v>654</v>
      </c>
      <c r="D147" s="677">
        <v>2</v>
      </c>
      <c r="E147" s="677">
        <v>8800</v>
      </c>
      <c r="F147" s="678">
        <v>17600</v>
      </c>
      <c r="G147" s="449">
        <v>0</v>
      </c>
      <c r="H147" s="459">
        <f t="shared" si="42"/>
        <v>0</v>
      </c>
      <c r="I147" s="470">
        <v>0</v>
      </c>
      <c r="J147" s="459">
        <f t="shared" si="43"/>
        <v>0</v>
      </c>
      <c r="K147" s="470">
        <f t="shared" si="44"/>
        <v>0</v>
      </c>
      <c r="L147" s="471">
        <f t="shared" si="45"/>
        <v>0</v>
      </c>
      <c r="M147" s="459">
        <f t="shared" si="46"/>
        <v>0</v>
      </c>
      <c r="N147" s="470">
        <f t="shared" si="47"/>
        <v>2</v>
      </c>
      <c r="O147" s="459">
        <f t="shared" si="48"/>
        <v>17600</v>
      </c>
      <c r="P147" s="339"/>
      <c r="Q147" s="338"/>
      <c r="R147" s="388"/>
      <c r="S147" s="388"/>
      <c r="T147" s="339"/>
    </row>
    <row r="148" spans="1:20" x14ac:dyDescent="0.2">
      <c r="A148" s="454" t="s">
        <v>787</v>
      </c>
      <c r="B148" s="925" t="s">
        <v>1039</v>
      </c>
      <c r="C148" s="926" t="s">
        <v>654</v>
      </c>
      <c r="D148" s="677">
        <v>2</v>
      </c>
      <c r="E148" s="677">
        <v>2500</v>
      </c>
      <c r="F148" s="678">
        <v>5000</v>
      </c>
      <c r="G148" s="449">
        <v>0</v>
      </c>
      <c r="H148" s="459">
        <f t="shared" si="42"/>
        <v>0</v>
      </c>
      <c r="I148" s="470">
        <v>0</v>
      </c>
      <c r="J148" s="459">
        <f t="shared" si="43"/>
        <v>0</v>
      </c>
      <c r="K148" s="470">
        <f t="shared" si="44"/>
        <v>0</v>
      </c>
      <c r="L148" s="471">
        <f t="shared" si="45"/>
        <v>0</v>
      </c>
      <c r="M148" s="459">
        <f t="shared" si="46"/>
        <v>0</v>
      </c>
      <c r="N148" s="470">
        <f t="shared" si="47"/>
        <v>2</v>
      </c>
      <c r="O148" s="459">
        <f t="shared" si="48"/>
        <v>5000</v>
      </c>
      <c r="P148" s="339"/>
      <c r="Q148" s="338"/>
      <c r="R148" s="388"/>
      <c r="S148" s="388"/>
      <c r="T148" s="339"/>
    </row>
    <row r="149" spans="1:20" x14ac:dyDescent="0.2">
      <c r="A149" s="454" t="s">
        <v>176</v>
      </c>
      <c r="B149" s="925" t="s">
        <v>1040</v>
      </c>
      <c r="C149" s="926" t="s">
        <v>654</v>
      </c>
      <c r="D149" s="677">
        <v>1</v>
      </c>
      <c r="E149" s="677">
        <v>243803.62</v>
      </c>
      <c r="F149" s="678">
        <v>243803.62</v>
      </c>
      <c r="G149" s="449">
        <v>0</v>
      </c>
      <c r="H149" s="459">
        <f t="shared" si="42"/>
        <v>0</v>
      </c>
      <c r="I149" s="470">
        <v>0</v>
      </c>
      <c r="J149" s="459">
        <f t="shared" si="43"/>
        <v>0</v>
      </c>
      <c r="K149" s="470">
        <f t="shared" si="44"/>
        <v>0</v>
      </c>
      <c r="L149" s="471">
        <f t="shared" si="45"/>
        <v>0</v>
      </c>
      <c r="M149" s="459">
        <f t="shared" si="46"/>
        <v>0</v>
      </c>
      <c r="N149" s="470">
        <f t="shared" si="47"/>
        <v>1</v>
      </c>
      <c r="O149" s="459">
        <f t="shared" si="48"/>
        <v>243803.62</v>
      </c>
      <c r="P149" s="339"/>
      <c r="Q149" s="338"/>
      <c r="R149" s="388"/>
      <c r="S149" s="388"/>
      <c r="T149" s="339"/>
    </row>
    <row r="150" spans="1:20" x14ac:dyDescent="0.2">
      <c r="A150" s="454" t="s">
        <v>181</v>
      </c>
      <c r="B150" s="925" t="s">
        <v>1041</v>
      </c>
      <c r="C150" s="926" t="s">
        <v>654</v>
      </c>
      <c r="D150" s="677">
        <v>1</v>
      </c>
      <c r="E150" s="677">
        <v>141907.34</v>
      </c>
      <c r="F150" s="678">
        <v>141907.34</v>
      </c>
      <c r="G150" s="449">
        <v>0</v>
      </c>
      <c r="H150" s="459">
        <f t="shared" si="42"/>
        <v>0</v>
      </c>
      <c r="I150" s="470">
        <v>0</v>
      </c>
      <c r="J150" s="459">
        <f t="shared" si="43"/>
        <v>0</v>
      </c>
      <c r="K150" s="470">
        <f t="shared" si="44"/>
        <v>0</v>
      </c>
      <c r="L150" s="471">
        <f t="shared" si="45"/>
        <v>0</v>
      </c>
      <c r="M150" s="459">
        <f t="shared" si="46"/>
        <v>0</v>
      </c>
      <c r="N150" s="470">
        <f t="shared" si="47"/>
        <v>1</v>
      </c>
      <c r="O150" s="459">
        <f t="shared" si="48"/>
        <v>141907.34</v>
      </c>
      <c r="P150" s="339"/>
      <c r="Q150" s="338"/>
      <c r="R150" s="388"/>
      <c r="S150" s="388"/>
      <c r="T150" s="339"/>
    </row>
    <row r="151" spans="1:20" s="933" customFormat="1" x14ac:dyDescent="0.2">
      <c r="A151" s="919" t="s">
        <v>788</v>
      </c>
      <c r="B151" s="927" t="s">
        <v>789</v>
      </c>
      <c r="C151" s="928"/>
      <c r="D151" s="920"/>
      <c r="E151" s="920"/>
      <c r="F151" s="921"/>
      <c r="G151" s="929"/>
      <c r="H151" s="923"/>
      <c r="I151" s="922"/>
      <c r="J151" s="923"/>
      <c r="K151" s="922"/>
      <c r="L151" s="924"/>
      <c r="M151" s="923"/>
      <c r="N151" s="922"/>
      <c r="O151" s="923"/>
      <c r="P151" s="930"/>
      <c r="Q151" s="931"/>
      <c r="R151" s="932"/>
      <c r="S151" s="932"/>
      <c r="T151" s="930"/>
    </row>
    <row r="152" spans="1:20" x14ac:dyDescent="0.2">
      <c r="A152" s="454" t="s">
        <v>790</v>
      </c>
      <c r="B152" s="925" t="s">
        <v>1042</v>
      </c>
      <c r="C152" s="926" t="s">
        <v>654</v>
      </c>
      <c r="D152" s="677">
        <v>1</v>
      </c>
      <c r="E152" s="677">
        <v>30000</v>
      </c>
      <c r="F152" s="678">
        <v>30000</v>
      </c>
      <c r="G152" s="449">
        <v>0</v>
      </c>
      <c r="H152" s="459">
        <f t="shared" ref="H152:H157" si="49">+G152*E152</f>
        <v>0</v>
      </c>
      <c r="I152" s="470">
        <v>0</v>
      </c>
      <c r="J152" s="459">
        <f t="shared" ref="J152:J157" si="50">+I152*E152</f>
        <v>0</v>
      </c>
      <c r="K152" s="470">
        <f t="shared" ref="K152:K157" si="51">+G152+I152</f>
        <v>0</v>
      </c>
      <c r="L152" s="471">
        <f t="shared" ref="L152:L157" si="52">+K152*E152</f>
        <v>0</v>
      </c>
      <c r="M152" s="459">
        <f t="shared" ref="M152:M157" si="53">+K152*100/D152</f>
        <v>0</v>
      </c>
      <c r="N152" s="470">
        <f t="shared" ref="N152:N157" si="54">+D152-K152</f>
        <v>1</v>
      </c>
      <c r="O152" s="459">
        <f t="shared" ref="O152:O157" si="55">+F152-L152</f>
        <v>30000</v>
      </c>
      <c r="P152" s="339"/>
      <c r="Q152" s="338"/>
      <c r="R152" s="388"/>
      <c r="S152" s="388"/>
      <c r="T152" s="339"/>
    </row>
    <row r="153" spans="1:20" x14ac:dyDescent="0.2">
      <c r="A153" s="454" t="s">
        <v>791</v>
      </c>
      <c r="B153" s="925" t="s">
        <v>1043</v>
      </c>
      <c r="C153" s="926" t="s">
        <v>654</v>
      </c>
      <c r="D153" s="677">
        <v>1</v>
      </c>
      <c r="E153" s="677">
        <v>5000</v>
      </c>
      <c r="F153" s="678">
        <v>5000</v>
      </c>
      <c r="G153" s="449">
        <v>0</v>
      </c>
      <c r="H153" s="459">
        <f t="shared" si="49"/>
        <v>0</v>
      </c>
      <c r="I153" s="470">
        <v>0</v>
      </c>
      <c r="J153" s="459">
        <f t="shared" si="50"/>
        <v>0</v>
      </c>
      <c r="K153" s="470">
        <f t="shared" si="51"/>
        <v>0</v>
      </c>
      <c r="L153" s="471">
        <f t="shared" si="52"/>
        <v>0</v>
      </c>
      <c r="M153" s="459">
        <f t="shared" si="53"/>
        <v>0</v>
      </c>
      <c r="N153" s="470">
        <f t="shared" si="54"/>
        <v>1</v>
      </c>
      <c r="O153" s="459">
        <f t="shared" si="55"/>
        <v>5000</v>
      </c>
      <c r="P153" s="339"/>
      <c r="Q153" s="338"/>
      <c r="R153" s="388"/>
      <c r="S153" s="388"/>
      <c r="T153" s="339"/>
    </row>
    <row r="154" spans="1:20" x14ac:dyDescent="0.2">
      <c r="A154" s="454" t="s">
        <v>792</v>
      </c>
      <c r="B154" s="925" t="s">
        <v>1044</v>
      </c>
      <c r="C154" s="926" t="s">
        <v>654</v>
      </c>
      <c r="D154" s="677">
        <v>13</v>
      </c>
      <c r="E154" s="677">
        <v>538.07690000000002</v>
      </c>
      <c r="F154" s="678">
        <v>6994.9997000000003</v>
      </c>
      <c r="G154" s="449">
        <v>0</v>
      </c>
      <c r="H154" s="459">
        <f t="shared" si="49"/>
        <v>0</v>
      </c>
      <c r="I154" s="470">
        <v>0</v>
      </c>
      <c r="J154" s="459">
        <f t="shared" si="50"/>
        <v>0</v>
      </c>
      <c r="K154" s="470">
        <f t="shared" si="51"/>
        <v>0</v>
      </c>
      <c r="L154" s="471">
        <f t="shared" si="52"/>
        <v>0</v>
      </c>
      <c r="M154" s="459">
        <f t="shared" si="53"/>
        <v>0</v>
      </c>
      <c r="N154" s="470">
        <f t="shared" si="54"/>
        <v>13</v>
      </c>
      <c r="O154" s="459">
        <f t="shared" si="55"/>
        <v>6994.9997000000003</v>
      </c>
      <c r="P154" s="339"/>
      <c r="Q154" s="338"/>
      <c r="R154" s="388"/>
      <c r="S154" s="388"/>
      <c r="T154" s="339"/>
    </row>
    <row r="155" spans="1:20" x14ac:dyDescent="0.2">
      <c r="A155" s="454" t="s">
        <v>793</v>
      </c>
      <c r="B155" s="925" t="s">
        <v>1045</v>
      </c>
      <c r="C155" s="926" t="s">
        <v>654</v>
      </c>
      <c r="D155" s="677">
        <v>12</v>
      </c>
      <c r="E155" s="677">
        <v>4000</v>
      </c>
      <c r="F155" s="678">
        <v>48000</v>
      </c>
      <c r="G155" s="449">
        <v>0</v>
      </c>
      <c r="H155" s="459">
        <f t="shared" si="49"/>
        <v>0</v>
      </c>
      <c r="I155" s="470">
        <v>0</v>
      </c>
      <c r="J155" s="459">
        <f t="shared" si="50"/>
        <v>0</v>
      </c>
      <c r="K155" s="470">
        <f t="shared" si="51"/>
        <v>0</v>
      </c>
      <c r="L155" s="471">
        <f t="shared" si="52"/>
        <v>0</v>
      </c>
      <c r="M155" s="459">
        <f t="shared" si="53"/>
        <v>0</v>
      </c>
      <c r="N155" s="470">
        <f t="shared" si="54"/>
        <v>12</v>
      </c>
      <c r="O155" s="459">
        <f t="shared" si="55"/>
        <v>48000</v>
      </c>
      <c r="P155" s="339"/>
      <c r="Q155" s="338"/>
      <c r="R155" s="388"/>
      <c r="S155" s="388"/>
      <c r="T155" s="339"/>
    </row>
    <row r="156" spans="1:20" x14ac:dyDescent="0.2">
      <c r="A156" s="454" t="s">
        <v>794</v>
      </c>
      <c r="B156" s="925" t="s">
        <v>1046</v>
      </c>
      <c r="C156" s="926" t="s">
        <v>654</v>
      </c>
      <c r="D156" s="677">
        <v>3</v>
      </c>
      <c r="E156" s="677">
        <v>3000</v>
      </c>
      <c r="F156" s="678">
        <v>9000</v>
      </c>
      <c r="G156" s="449">
        <v>0</v>
      </c>
      <c r="H156" s="459">
        <f t="shared" si="49"/>
        <v>0</v>
      </c>
      <c r="I156" s="470">
        <v>0</v>
      </c>
      <c r="J156" s="459">
        <f t="shared" si="50"/>
        <v>0</v>
      </c>
      <c r="K156" s="470">
        <f t="shared" si="51"/>
        <v>0</v>
      </c>
      <c r="L156" s="471">
        <f t="shared" si="52"/>
        <v>0</v>
      </c>
      <c r="M156" s="459">
        <f t="shared" si="53"/>
        <v>0</v>
      </c>
      <c r="N156" s="470">
        <f t="shared" si="54"/>
        <v>3</v>
      </c>
      <c r="O156" s="459">
        <f t="shared" si="55"/>
        <v>9000</v>
      </c>
      <c r="P156" s="339"/>
      <c r="Q156" s="338"/>
      <c r="R156" s="388"/>
      <c r="S156" s="388"/>
      <c r="T156" s="339"/>
    </row>
    <row r="157" spans="1:20" x14ac:dyDescent="0.2">
      <c r="A157" s="454" t="s">
        <v>795</v>
      </c>
      <c r="B157" s="925" t="s">
        <v>1047</v>
      </c>
      <c r="C157" s="926" t="s">
        <v>654</v>
      </c>
      <c r="D157" s="677">
        <v>1</v>
      </c>
      <c r="E157" s="677">
        <v>55000</v>
      </c>
      <c r="F157" s="678">
        <v>55000</v>
      </c>
      <c r="G157" s="449">
        <v>0</v>
      </c>
      <c r="H157" s="459">
        <f t="shared" si="49"/>
        <v>0</v>
      </c>
      <c r="I157" s="470">
        <v>0</v>
      </c>
      <c r="J157" s="459">
        <f t="shared" si="50"/>
        <v>0</v>
      </c>
      <c r="K157" s="470">
        <f t="shared" si="51"/>
        <v>0</v>
      </c>
      <c r="L157" s="471">
        <f t="shared" si="52"/>
        <v>0</v>
      </c>
      <c r="M157" s="459">
        <f t="shared" si="53"/>
        <v>0</v>
      </c>
      <c r="N157" s="470">
        <f t="shared" si="54"/>
        <v>1</v>
      </c>
      <c r="O157" s="459">
        <f t="shared" si="55"/>
        <v>55000</v>
      </c>
      <c r="P157" s="339"/>
      <c r="Q157" s="338"/>
      <c r="R157" s="388"/>
      <c r="S157" s="388"/>
      <c r="T157" s="339"/>
    </row>
    <row r="158" spans="1:20" s="933" customFormat="1" x14ac:dyDescent="0.2">
      <c r="A158" s="919" t="s">
        <v>796</v>
      </c>
      <c r="B158" s="927" t="s">
        <v>797</v>
      </c>
      <c r="C158" s="928"/>
      <c r="D158" s="920"/>
      <c r="E158" s="920"/>
      <c r="F158" s="921"/>
      <c r="G158" s="929"/>
      <c r="H158" s="923"/>
      <c r="I158" s="922"/>
      <c r="J158" s="923"/>
      <c r="K158" s="922"/>
      <c r="L158" s="924"/>
      <c r="M158" s="923"/>
      <c r="N158" s="922"/>
      <c r="O158" s="923"/>
      <c r="P158" s="930"/>
      <c r="Q158" s="931"/>
      <c r="R158" s="932"/>
      <c r="S158" s="932"/>
      <c r="T158" s="930"/>
    </row>
    <row r="159" spans="1:20" x14ac:dyDescent="0.2">
      <c r="A159" s="454" t="s">
        <v>798</v>
      </c>
      <c r="B159" s="925" t="s">
        <v>1048</v>
      </c>
      <c r="C159" s="926" t="s">
        <v>654</v>
      </c>
      <c r="D159" s="677">
        <v>20</v>
      </c>
      <c r="E159" s="677">
        <v>178</v>
      </c>
      <c r="F159" s="678">
        <v>3560</v>
      </c>
      <c r="G159" s="449">
        <v>0</v>
      </c>
      <c r="H159" s="459">
        <f t="shared" ref="H159:H164" si="56">+G159*E159</f>
        <v>0</v>
      </c>
      <c r="I159" s="470">
        <v>0</v>
      </c>
      <c r="J159" s="459">
        <f t="shared" ref="J159:J164" si="57">+I159*E159</f>
        <v>0</v>
      </c>
      <c r="K159" s="470">
        <f t="shared" ref="K159:K164" si="58">+G159+I159</f>
        <v>0</v>
      </c>
      <c r="L159" s="471">
        <f t="shared" ref="L159:L164" si="59">+K159*E159</f>
        <v>0</v>
      </c>
      <c r="M159" s="459">
        <f t="shared" ref="M159:M164" si="60">+K159*100/D159</f>
        <v>0</v>
      </c>
      <c r="N159" s="470">
        <f t="shared" ref="N159:N164" si="61">+D159-K159</f>
        <v>20</v>
      </c>
      <c r="O159" s="459">
        <f t="shared" ref="O159:O164" si="62">+F159-L159</f>
        <v>3560</v>
      </c>
      <c r="P159" s="339"/>
      <c r="Q159" s="338"/>
      <c r="R159" s="388"/>
      <c r="S159" s="388"/>
      <c r="T159" s="339"/>
    </row>
    <row r="160" spans="1:20" x14ac:dyDescent="0.2">
      <c r="A160" s="454" t="s">
        <v>799</v>
      </c>
      <c r="B160" s="925" t="s">
        <v>1049</v>
      </c>
      <c r="C160" s="926" t="s">
        <v>654</v>
      </c>
      <c r="D160" s="677">
        <v>20</v>
      </c>
      <c r="E160" s="677">
        <v>375</v>
      </c>
      <c r="F160" s="678">
        <v>7500</v>
      </c>
      <c r="G160" s="449">
        <v>0</v>
      </c>
      <c r="H160" s="459">
        <f t="shared" si="56"/>
        <v>0</v>
      </c>
      <c r="I160" s="470">
        <v>0</v>
      </c>
      <c r="J160" s="459">
        <f t="shared" si="57"/>
        <v>0</v>
      </c>
      <c r="K160" s="470">
        <f t="shared" si="58"/>
        <v>0</v>
      </c>
      <c r="L160" s="471">
        <f t="shared" si="59"/>
        <v>0</v>
      </c>
      <c r="M160" s="459">
        <f t="shared" si="60"/>
        <v>0</v>
      </c>
      <c r="N160" s="470">
        <f t="shared" si="61"/>
        <v>20</v>
      </c>
      <c r="O160" s="459">
        <f t="shared" si="62"/>
        <v>7500</v>
      </c>
      <c r="P160" s="339"/>
      <c r="Q160" s="338"/>
      <c r="R160" s="388"/>
      <c r="S160" s="388"/>
      <c r="T160" s="339"/>
    </row>
    <row r="161" spans="1:20" x14ac:dyDescent="0.2">
      <c r="A161" s="454" t="s">
        <v>800</v>
      </c>
      <c r="B161" s="925" t="s">
        <v>1050</v>
      </c>
      <c r="C161" s="926" t="s">
        <v>654</v>
      </c>
      <c r="D161" s="677">
        <v>20</v>
      </c>
      <c r="E161" s="677">
        <v>390</v>
      </c>
      <c r="F161" s="678">
        <v>7800</v>
      </c>
      <c r="G161" s="449">
        <v>0</v>
      </c>
      <c r="H161" s="459">
        <f t="shared" si="56"/>
        <v>0</v>
      </c>
      <c r="I161" s="470">
        <v>0</v>
      </c>
      <c r="J161" s="459">
        <f t="shared" si="57"/>
        <v>0</v>
      </c>
      <c r="K161" s="470">
        <f t="shared" si="58"/>
        <v>0</v>
      </c>
      <c r="L161" s="471">
        <f t="shared" si="59"/>
        <v>0</v>
      </c>
      <c r="M161" s="459">
        <f t="shared" si="60"/>
        <v>0</v>
      </c>
      <c r="N161" s="470">
        <f t="shared" si="61"/>
        <v>20</v>
      </c>
      <c r="O161" s="459">
        <f t="shared" si="62"/>
        <v>7800</v>
      </c>
      <c r="P161" s="339"/>
      <c r="Q161" s="338"/>
      <c r="R161" s="388"/>
      <c r="S161" s="388"/>
      <c r="T161" s="339"/>
    </row>
    <row r="162" spans="1:20" x14ac:dyDescent="0.2">
      <c r="A162" s="454" t="s">
        <v>801</v>
      </c>
      <c r="B162" s="925" t="s">
        <v>1051</v>
      </c>
      <c r="C162" s="926" t="s">
        <v>654</v>
      </c>
      <c r="D162" s="677">
        <v>10</v>
      </c>
      <c r="E162" s="677">
        <v>1200</v>
      </c>
      <c r="F162" s="678">
        <v>12000</v>
      </c>
      <c r="G162" s="449">
        <v>0</v>
      </c>
      <c r="H162" s="459">
        <f t="shared" si="56"/>
        <v>0</v>
      </c>
      <c r="I162" s="470">
        <v>0</v>
      </c>
      <c r="J162" s="459">
        <f t="shared" si="57"/>
        <v>0</v>
      </c>
      <c r="K162" s="470">
        <f t="shared" si="58"/>
        <v>0</v>
      </c>
      <c r="L162" s="471">
        <f t="shared" si="59"/>
        <v>0</v>
      </c>
      <c r="M162" s="459">
        <f t="shared" si="60"/>
        <v>0</v>
      </c>
      <c r="N162" s="470">
        <f t="shared" si="61"/>
        <v>10</v>
      </c>
      <c r="O162" s="459">
        <f t="shared" si="62"/>
        <v>12000</v>
      </c>
      <c r="P162" s="339"/>
      <c r="Q162" s="338"/>
      <c r="R162" s="388"/>
      <c r="S162" s="388"/>
      <c r="T162" s="339"/>
    </row>
    <row r="163" spans="1:20" x14ac:dyDescent="0.2">
      <c r="A163" s="454" t="s">
        <v>802</v>
      </c>
      <c r="B163" s="925" t="s">
        <v>1052</v>
      </c>
      <c r="C163" s="926" t="s">
        <v>654</v>
      </c>
      <c r="D163" s="677">
        <v>6</v>
      </c>
      <c r="E163" s="677">
        <v>1500</v>
      </c>
      <c r="F163" s="678">
        <v>9000</v>
      </c>
      <c r="G163" s="449">
        <v>0</v>
      </c>
      <c r="H163" s="459">
        <f t="shared" si="56"/>
        <v>0</v>
      </c>
      <c r="I163" s="470">
        <v>0</v>
      </c>
      <c r="J163" s="459">
        <f t="shared" si="57"/>
        <v>0</v>
      </c>
      <c r="K163" s="470">
        <f t="shared" si="58"/>
        <v>0</v>
      </c>
      <c r="L163" s="471">
        <f t="shared" si="59"/>
        <v>0</v>
      </c>
      <c r="M163" s="459">
        <f t="shared" si="60"/>
        <v>0</v>
      </c>
      <c r="N163" s="470">
        <f t="shared" si="61"/>
        <v>6</v>
      </c>
      <c r="O163" s="459">
        <f t="shared" si="62"/>
        <v>9000</v>
      </c>
      <c r="P163" s="339"/>
      <c r="Q163" s="338"/>
      <c r="R163" s="388"/>
      <c r="S163" s="388"/>
      <c r="T163" s="339"/>
    </row>
    <row r="164" spans="1:20" x14ac:dyDescent="0.2">
      <c r="A164" s="454" t="s">
        <v>803</v>
      </c>
      <c r="B164" s="925" t="s">
        <v>1053</v>
      </c>
      <c r="C164" s="926" t="s">
        <v>654</v>
      </c>
      <c r="D164" s="677">
        <v>10</v>
      </c>
      <c r="E164" s="677">
        <v>1000</v>
      </c>
      <c r="F164" s="678">
        <v>10000</v>
      </c>
      <c r="G164" s="449">
        <v>0</v>
      </c>
      <c r="H164" s="459">
        <f t="shared" si="56"/>
        <v>0</v>
      </c>
      <c r="I164" s="470">
        <v>0</v>
      </c>
      <c r="J164" s="459">
        <f t="shared" si="57"/>
        <v>0</v>
      </c>
      <c r="K164" s="470">
        <f t="shared" si="58"/>
        <v>0</v>
      </c>
      <c r="L164" s="471">
        <f t="shared" si="59"/>
        <v>0</v>
      </c>
      <c r="M164" s="459">
        <f t="shared" si="60"/>
        <v>0</v>
      </c>
      <c r="N164" s="470">
        <f t="shared" si="61"/>
        <v>10</v>
      </c>
      <c r="O164" s="459">
        <f t="shared" si="62"/>
        <v>10000</v>
      </c>
      <c r="P164" s="339"/>
      <c r="Q164" s="338"/>
      <c r="R164" s="388"/>
      <c r="S164" s="388"/>
      <c r="T164" s="339"/>
    </row>
    <row r="165" spans="1:20" x14ac:dyDescent="0.2">
      <c r="A165" s="454" t="s">
        <v>804</v>
      </c>
      <c r="B165" s="925" t="s">
        <v>1054</v>
      </c>
      <c r="C165" s="926" t="s">
        <v>654</v>
      </c>
      <c r="D165" s="677">
        <v>3</v>
      </c>
      <c r="E165" s="677">
        <v>4700</v>
      </c>
      <c r="F165" s="678">
        <v>14100</v>
      </c>
      <c r="G165" s="449">
        <v>0</v>
      </c>
      <c r="H165" s="459">
        <f t="shared" ref="H165:H180" si="63">+G165*E165</f>
        <v>0</v>
      </c>
      <c r="I165" s="470">
        <v>0</v>
      </c>
      <c r="J165" s="459">
        <f t="shared" ref="J165:J180" si="64">+I165*E165</f>
        <v>0</v>
      </c>
      <c r="K165" s="470">
        <f t="shared" ref="K165:K180" si="65">+G165+I165</f>
        <v>0</v>
      </c>
      <c r="L165" s="471">
        <f t="shared" ref="L165:L180" si="66">+K165*E165</f>
        <v>0</v>
      </c>
      <c r="M165" s="459">
        <f t="shared" ref="M165:M180" si="67">+K165*100/D165</f>
        <v>0</v>
      </c>
      <c r="N165" s="470">
        <f t="shared" ref="N165:N180" si="68">+D165-K165</f>
        <v>3</v>
      </c>
      <c r="O165" s="459">
        <f t="shared" ref="O165:O180" si="69">+F165-L165</f>
        <v>14100</v>
      </c>
      <c r="P165" s="339"/>
      <c r="Q165" s="338"/>
      <c r="R165" s="388"/>
      <c r="S165" s="388"/>
      <c r="T165" s="339"/>
    </row>
    <row r="166" spans="1:20" x14ac:dyDescent="0.2">
      <c r="A166" s="454" t="s">
        <v>805</v>
      </c>
      <c r="B166" s="925" t="s">
        <v>1055</v>
      </c>
      <c r="C166" s="926" t="s">
        <v>654</v>
      </c>
      <c r="D166" s="677">
        <v>2</v>
      </c>
      <c r="E166" s="677">
        <v>4000</v>
      </c>
      <c r="F166" s="678">
        <v>8000</v>
      </c>
      <c r="G166" s="449">
        <v>0</v>
      </c>
      <c r="H166" s="459">
        <f t="shared" si="63"/>
        <v>0</v>
      </c>
      <c r="I166" s="470">
        <v>0</v>
      </c>
      <c r="J166" s="459">
        <f t="shared" si="64"/>
        <v>0</v>
      </c>
      <c r="K166" s="470">
        <f t="shared" si="65"/>
        <v>0</v>
      </c>
      <c r="L166" s="471">
        <f t="shared" si="66"/>
        <v>0</v>
      </c>
      <c r="M166" s="459">
        <f t="shared" si="67"/>
        <v>0</v>
      </c>
      <c r="N166" s="470">
        <f t="shared" si="68"/>
        <v>2</v>
      </c>
      <c r="O166" s="459">
        <f t="shared" si="69"/>
        <v>8000</v>
      </c>
      <c r="P166" s="339"/>
      <c r="Q166" s="338"/>
      <c r="R166" s="388"/>
      <c r="S166" s="388"/>
      <c r="T166" s="339"/>
    </row>
    <row r="167" spans="1:20" x14ac:dyDescent="0.2">
      <c r="A167" s="454" t="s">
        <v>806</v>
      </c>
      <c r="B167" s="925" t="s">
        <v>1056</v>
      </c>
      <c r="C167" s="926" t="s">
        <v>654</v>
      </c>
      <c r="D167" s="677">
        <v>4</v>
      </c>
      <c r="E167" s="677">
        <v>2300</v>
      </c>
      <c r="F167" s="678">
        <v>9200</v>
      </c>
      <c r="G167" s="449">
        <v>0</v>
      </c>
      <c r="H167" s="459">
        <f t="shared" si="63"/>
        <v>0</v>
      </c>
      <c r="I167" s="470">
        <v>0</v>
      </c>
      <c r="J167" s="459">
        <f t="shared" si="64"/>
        <v>0</v>
      </c>
      <c r="K167" s="470">
        <f t="shared" si="65"/>
        <v>0</v>
      </c>
      <c r="L167" s="471">
        <f t="shared" si="66"/>
        <v>0</v>
      </c>
      <c r="M167" s="459">
        <f t="shared" si="67"/>
        <v>0</v>
      </c>
      <c r="N167" s="470">
        <f t="shared" si="68"/>
        <v>4</v>
      </c>
      <c r="O167" s="459">
        <f t="shared" si="69"/>
        <v>9200</v>
      </c>
      <c r="P167" s="339"/>
      <c r="Q167" s="338"/>
      <c r="R167" s="388"/>
      <c r="S167" s="388"/>
      <c r="T167" s="339"/>
    </row>
    <row r="168" spans="1:20" x14ac:dyDescent="0.2">
      <c r="A168" s="454" t="s">
        <v>807</v>
      </c>
      <c r="B168" s="925" t="s">
        <v>1057</v>
      </c>
      <c r="C168" s="926" t="s">
        <v>654</v>
      </c>
      <c r="D168" s="677">
        <v>10</v>
      </c>
      <c r="E168" s="677">
        <v>1500</v>
      </c>
      <c r="F168" s="678">
        <v>15000</v>
      </c>
      <c r="G168" s="449">
        <v>0</v>
      </c>
      <c r="H168" s="459">
        <f t="shared" si="63"/>
        <v>0</v>
      </c>
      <c r="I168" s="470">
        <v>0</v>
      </c>
      <c r="J168" s="459">
        <f t="shared" si="64"/>
        <v>0</v>
      </c>
      <c r="K168" s="470">
        <f t="shared" si="65"/>
        <v>0</v>
      </c>
      <c r="L168" s="471">
        <f t="shared" si="66"/>
        <v>0</v>
      </c>
      <c r="M168" s="459">
        <f t="shared" si="67"/>
        <v>0</v>
      </c>
      <c r="N168" s="470">
        <f t="shared" si="68"/>
        <v>10</v>
      </c>
      <c r="O168" s="459">
        <f t="shared" si="69"/>
        <v>15000</v>
      </c>
      <c r="P168" s="339"/>
      <c r="Q168" s="338"/>
      <c r="R168" s="388"/>
      <c r="S168" s="388"/>
      <c r="T168" s="339"/>
    </row>
    <row r="169" spans="1:20" x14ac:dyDescent="0.2">
      <c r="A169" s="454" t="s">
        <v>808</v>
      </c>
      <c r="B169" s="925" t="s">
        <v>1058</v>
      </c>
      <c r="C169" s="926" t="s">
        <v>654</v>
      </c>
      <c r="D169" s="677">
        <v>3</v>
      </c>
      <c r="E169" s="677">
        <v>6500</v>
      </c>
      <c r="F169" s="678">
        <v>19500</v>
      </c>
      <c r="G169" s="449">
        <v>0</v>
      </c>
      <c r="H169" s="459">
        <f t="shared" si="63"/>
        <v>0</v>
      </c>
      <c r="I169" s="470">
        <v>0</v>
      </c>
      <c r="J169" s="459">
        <f t="shared" si="64"/>
        <v>0</v>
      </c>
      <c r="K169" s="470">
        <f t="shared" si="65"/>
        <v>0</v>
      </c>
      <c r="L169" s="471">
        <f t="shared" si="66"/>
        <v>0</v>
      </c>
      <c r="M169" s="459">
        <f t="shared" si="67"/>
        <v>0</v>
      </c>
      <c r="N169" s="470">
        <f t="shared" si="68"/>
        <v>3</v>
      </c>
      <c r="O169" s="459">
        <f t="shared" si="69"/>
        <v>19500</v>
      </c>
      <c r="P169" s="339"/>
      <c r="Q169" s="338"/>
      <c r="R169" s="388"/>
      <c r="S169" s="388"/>
      <c r="T169" s="339"/>
    </row>
    <row r="170" spans="1:20" x14ac:dyDescent="0.2">
      <c r="A170" s="454" t="s">
        <v>809</v>
      </c>
      <c r="B170" s="925" t="s">
        <v>1059</v>
      </c>
      <c r="C170" s="926" t="s">
        <v>654</v>
      </c>
      <c r="D170" s="677">
        <v>8</v>
      </c>
      <c r="E170" s="677">
        <v>2300</v>
      </c>
      <c r="F170" s="678">
        <v>18400</v>
      </c>
      <c r="G170" s="449">
        <v>0</v>
      </c>
      <c r="H170" s="459">
        <f t="shared" si="63"/>
        <v>0</v>
      </c>
      <c r="I170" s="470">
        <v>0</v>
      </c>
      <c r="J170" s="459">
        <f t="shared" si="64"/>
        <v>0</v>
      </c>
      <c r="K170" s="470">
        <f t="shared" si="65"/>
        <v>0</v>
      </c>
      <c r="L170" s="471">
        <f t="shared" si="66"/>
        <v>0</v>
      </c>
      <c r="M170" s="459">
        <f t="shared" si="67"/>
        <v>0</v>
      </c>
      <c r="N170" s="470">
        <f t="shared" si="68"/>
        <v>8</v>
      </c>
      <c r="O170" s="459">
        <f t="shared" si="69"/>
        <v>18400</v>
      </c>
      <c r="P170" s="339"/>
      <c r="Q170" s="338"/>
      <c r="R170" s="388"/>
      <c r="S170" s="388"/>
      <c r="T170" s="339"/>
    </row>
    <row r="171" spans="1:20" x14ac:dyDescent="0.2">
      <c r="A171" s="454" t="s">
        <v>810</v>
      </c>
      <c r="B171" s="925" t="s">
        <v>1060</v>
      </c>
      <c r="C171" s="926" t="s">
        <v>654</v>
      </c>
      <c r="D171" s="677">
        <v>6</v>
      </c>
      <c r="E171" s="677">
        <v>4700</v>
      </c>
      <c r="F171" s="678">
        <v>28200</v>
      </c>
      <c r="G171" s="449">
        <v>0</v>
      </c>
      <c r="H171" s="459">
        <f t="shared" si="63"/>
        <v>0</v>
      </c>
      <c r="I171" s="470">
        <v>0</v>
      </c>
      <c r="J171" s="459">
        <f t="shared" si="64"/>
        <v>0</v>
      </c>
      <c r="K171" s="470">
        <f t="shared" si="65"/>
        <v>0</v>
      </c>
      <c r="L171" s="471">
        <f t="shared" si="66"/>
        <v>0</v>
      </c>
      <c r="M171" s="459">
        <f t="shared" si="67"/>
        <v>0</v>
      </c>
      <c r="N171" s="470">
        <f t="shared" si="68"/>
        <v>6</v>
      </c>
      <c r="O171" s="459">
        <f t="shared" si="69"/>
        <v>28200</v>
      </c>
      <c r="P171" s="339"/>
      <c r="Q171" s="338"/>
      <c r="R171" s="388"/>
      <c r="S171" s="388"/>
      <c r="T171" s="339"/>
    </row>
    <row r="172" spans="1:20" x14ac:dyDescent="0.2">
      <c r="A172" s="454" t="s">
        <v>811</v>
      </c>
      <c r="B172" s="925" t="s">
        <v>1061</v>
      </c>
      <c r="C172" s="926" t="s">
        <v>654</v>
      </c>
      <c r="D172" s="677">
        <v>3</v>
      </c>
      <c r="E172" s="677">
        <v>1800</v>
      </c>
      <c r="F172" s="678">
        <v>5400</v>
      </c>
      <c r="G172" s="449">
        <v>0</v>
      </c>
      <c r="H172" s="459">
        <f t="shared" si="63"/>
        <v>0</v>
      </c>
      <c r="I172" s="470">
        <v>0</v>
      </c>
      <c r="J172" s="459">
        <f t="shared" si="64"/>
        <v>0</v>
      </c>
      <c r="K172" s="470">
        <f t="shared" si="65"/>
        <v>0</v>
      </c>
      <c r="L172" s="471">
        <f t="shared" si="66"/>
        <v>0</v>
      </c>
      <c r="M172" s="459">
        <f t="shared" si="67"/>
        <v>0</v>
      </c>
      <c r="N172" s="470">
        <f t="shared" si="68"/>
        <v>3</v>
      </c>
      <c r="O172" s="459">
        <f t="shared" si="69"/>
        <v>5400</v>
      </c>
      <c r="P172" s="339"/>
      <c r="Q172" s="338"/>
      <c r="R172" s="388"/>
      <c r="S172" s="388"/>
      <c r="T172" s="339"/>
    </row>
    <row r="173" spans="1:20" x14ac:dyDescent="0.2">
      <c r="A173" s="454" t="s">
        <v>812</v>
      </c>
      <c r="B173" s="925" t="s">
        <v>1062</v>
      </c>
      <c r="C173" s="926" t="s">
        <v>654</v>
      </c>
      <c r="D173" s="677">
        <v>2</v>
      </c>
      <c r="E173" s="677">
        <v>20000</v>
      </c>
      <c r="F173" s="678">
        <v>40000</v>
      </c>
      <c r="G173" s="449">
        <v>0</v>
      </c>
      <c r="H173" s="459">
        <f t="shared" si="63"/>
        <v>0</v>
      </c>
      <c r="I173" s="470">
        <v>0</v>
      </c>
      <c r="J173" s="459">
        <f t="shared" si="64"/>
        <v>0</v>
      </c>
      <c r="K173" s="470">
        <f t="shared" si="65"/>
        <v>0</v>
      </c>
      <c r="L173" s="471">
        <f t="shared" si="66"/>
        <v>0</v>
      </c>
      <c r="M173" s="459">
        <f t="shared" si="67"/>
        <v>0</v>
      </c>
      <c r="N173" s="470">
        <f t="shared" si="68"/>
        <v>2</v>
      </c>
      <c r="O173" s="459">
        <f t="shared" si="69"/>
        <v>40000</v>
      </c>
      <c r="P173" s="339"/>
      <c r="Q173" s="338"/>
      <c r="R173" s="388"/>
      <c r="S173" s="388"/>
      <c r="T173" s="339"/>
    </row>
    <row r="174" spans="1:20" x14ac:dyDescent="0.2">
      <c r="A174" s="454" t="s">
        <v>813</v>
      </c>
      <c r="B174" s="925" t="s">
        <v>1063</v>
      </c>
      <c r="C174" s="926" t="s">
        <v>654</v>
      </c>
      <c r="D174" s="677">
        <v>6</v>
      </c>
      <c r="E174" s="677">
        <v>1200</v>
      </c>
      <c r="F174" s="678">
        <v>7200</v>
      </c>
      <c r="G174" s="449">
        <v>0</v>
      </c>
      <c r="H174" s="459">
        <f t="shared" si="63"/>
        <v>0</v>
      </c>
      <c r="I174" s="470">
        <v>0</v>
      </c>
      <c r="J174" s="459">
        <f t="shared" si="64"/>
        <v>0</v>
      </c>
      <c r="K174" s="470">
        <f t="shared" si="65"/>
        <v>0</v>
      </c>
      <c r="L174" s="471">
        <f t="shared" si="66"/>
        <v>0</v>
      </c>
      <c r="M174" s="459">
        <f t="shared" si="67"/>
        <v>0</v>
      </c>
      <c r="N174" s="470">
        <f t="shared" si="68"/>
        <v>6</v>
      </c>
      <c r="O174" s="459">
        <f t="shared" si="69"/>
        <v>7200</v>
      </c>
      <c r="P174" s="339"/>
      <c r="Q174" s="338"/>
      <c r="R174" s="388"/>
      <c r="S174" s="388"/>
      <c r="T174" s="339"/>
    </row>
    <row r="175" spans="1:20" x14ac:dyDescent="0.2">
      <c r="A175" s="454" t="s">
        <v>814</v>
      </c>
      <c r="B175" s="925" t="s">
        <v>1064</v>
      </c>
      <c r="C175" s="926" t="s">
        <v>654</v>
      </c>
      <c r="D175" s="677">
        <v>10</v>
      </c>
      <c r="E175" s="677">
        <v>3000</v>
      </c>
      <c r="F175" s="678">
        <v>30000</v>
      </c>
      <c r="G175" s="449">
        <v>0</v>
      </c>
      <c r="H175" s="459">
        <f t="shared" si="63"/>
        <v>0</v>
      </c>
      <c r="I175" s="470">
        <v>0</v>
      </c>
      <c r="J175" s="459">
        <f t="shared" si="64"/>
        <v>0</v>
      </c>
      <c r="K175" s="470">
        <f t="shared" si="65"/>
        <v>0</v>
      </c>
      <c r="L175" s="471">
        <f t="shared" si="66"/>
        <v>0</v>
      </c>
      <c r="M175" s="459">
        <f t="shared" si="67"/>
        <v>0</v>
      </c>
      <c r="N175" s="470">
        <f t="shared" si="68"/>
        <v>10</v>
      </c>
      <c r="O175" s="459">
        <f t="shared" si="69"/>
        <v>30000</v>
      </c>
      <c r="P175" s="339"/>
      <c r="Q175" s="338"/>
      <c r="R175" s="388"/>
      <c r="S175" s="388"/>
      <c r="T175" s="339"/>
    </row>
    <row r="176" spans="1:20" x14ac:dyDescent="0.2">
      <c r="A176" s="454" t="s">
        <v>815</v>
      </c>
      <c r="B176" s="925" t="s">
        <v>1065</v>
      </c>
      <c r="C176" s="926" t="s">
        <v>654</v>
      </c>
      <c r="D176" s="677">
        <v>4</v>
      </c>
      <c r="E176" s="677">
        <v>5600</v>
      </c>
      <c r="F176" s="678">
        <v>22400</v>
      </c>
      <c r="G176" s="449">
        <v>0</v>
      </c>
      <c r="H176" s="459">
        <f t="shared" si="63"/>
        <v>0</v>
      </c>
      <c r="I176" s="470">
        <v>0</v>
      </c>
      <c r="J176" s="459">
        <f t="shared" si="64"/>
        <v>0</v>
      </c>
      <c r="K176" s="470">
        <f t="shared" si="65"/>
        <v>0</v>
      </c>
      <c r="L176" s="471">
        <f t="shared" si="66"/>
        <v>0</v>
      </c>
      <c r="M176" s="459">
        <f t="shared" si="67"/>
        <v>0</v>
      </c>
      <c r="N176" s="470">
        <f t="shared" si="68"/>
        <v>4</v>
      </c>
      <c r="O176" s="459">
        <f t="shared" si="69"/>
        <v>22400</v>
      </c>
      <c r="P176" s="339"/>
      <c r="Q176" s="338"/>
      <c r="R176" s="388"/>
      <c r="S176" s="388"/>
      <c r="T176" s="339"/>
    </row>
    <row r="177" spans="1:20" x14ac:dyDescent="0.2">
      <c r="A177" s="454" t="s">
        <v>816</v>
      </c>
      <c r="B177" s="925" t="s">
        <v>1066</v>
      </c>
      <c r="C177" s="926" t="s">
        <v>654</v>
      </c>
      <c r="D177" s="677">
        <v>6</v>
      </c>
      <c r="E177" s="677">
        <v>11200</v>
      </c>
      <c r="F177" s="678">
        <v>67200</v>
      </c>
      <c r="G177" s="449">
        <v>0</v>
      </c>
      <c r="H177" s="459">
        <f t="shared" si="63"/>
        <v>0</v>
      </c>
      <c r="I177" s="470">
        <v>0</v>
      </c>
      <c r="J177" s="459">
        <f t="shared" si="64"/>
        <v>0</v>
      </c>
      <c r="K177" s="470">
        <f t="shared" si="65"/>
        <v>0</v>
      </c>
      <c r="L177" s="471">
        <f t="shared" si="66"/>
        <v>0</v>
      </c>
      <c r="M177" s="459">
        <f t="shared" si="67"/>
        <v>0</v>
      </c>
      <c r="N177" s="470">
        <f t="shared" si="68"/>
        <v>6</v>
      </c>
      <c r="O177" s="459">
        <f t="shared" si="69"/>
        <v>67200</v>
      </c>
      <c r="P177" s="339"/>
      <c r="Q177" s="338"/>
      <c r="R177" s="388"/>
      <c r="S177" s="388"/>
      <c r="T177" s="339"/>
    </row>
    <row r="178" spans="1:20" x14ac:dyDescent="0.2">
      <c r="A178" s="454" t="s">
        <v>817</v>
      </c>
      <c r="B178" s="925" t="s">
        <v>1067</v>
      </c>
      <c r="C178" s="926" t="s">
        <v>654</v>
      </c>
      <c r="D178" s="677">
        <v>6</v>
      </c>
      <c r="E178" s="677">
        <v>10500</v>
      </c>
      <c r="F178" s="678">
        <v>63000</v>
      </c>
      <c r="G178" s="449">
        <v>0</v>
      </c>
      <c r="H178" s="459">
        <f t="shared" si="63"/>
        <v>0</v>
      </c>
      <c r="I178" s="470">
        <v>0</v>
      </c>
      <c r="J178" s="459">
        <f t="shared" si="64"/>
        <v>0</v>
      </c>
      <c r="K178" s="470">
        <f t="shared" si="65"/>
        <v>0</v>
      </c>
      <c r="L178" s="471">
        <f t="shared" si="66"/>
        <v>0</v>
      </c>
      <c r="M178" s="459">
        <f t="shared" si="67"/>
        <v>0</v>
      </c>
      <c r="N178" s="470">
        <f t="shared" si="68"/>
        <v>6</v>
      </c>
      <c r="O178" s="459">
        <f t="shared" si="69"/>
        <v>63000</v>
      </c>
      <c r="P178" s="339"/>
      <c r="Q178" s="338"/>
      <c r="R178" s="388"/>
      <c r="S178" s="388"/>
      <c r="T178" s="339"/>
    </row>
    <row r="179" spans="1:20" x14ac:dyDescent="0.2">
      <c r="A179" s="454" t="s">
        <v>818</v>
      </c>
      <c r="B179" s="925" t="s">
        <v>1068</v>
      </c>
      <c r="C179" s="926" t="s">
        <v>654</v>
      </c>
      <c r="D179" s="677">
        <v>1</v>
      </c>
      <c r="E179" s="677">
        <v>4000</v>
      </c>
      <c r="F179" s="678">
        <v>4000</v>
      </c>
      <c r="G179" s="449">
        <v>0</v>
      </c>
      <c r="H179" s="459">
        <f t="shared" si="63"/>
        <v>0</v>
      </c>
      <c r="I179" s="470">
        <v>0</v>
      </c>
      <c r="J179" s="459">
        <f t="shared" si="64"/>
        <v>0</v>
      </c>
      <c r="K179" s="470">
        <f t="shared" si="65"/>
        <v>0</v>
      </c>
      <c r="L179" s="471">
        <f t="shared" si="66"/>
        <v>0</v>
      </c>
      <c r="M179" s="459">
        <f t="shared" si="67"/>
        <v>0</v>
      </c>
      <c r="N179" s="470">
        <f t="shared" si="68"/>
        <v>1</v>
      </c>
      <c r="O179" s="459">
        <f t="shared" si="69"/>
        <v>4000</v>
      </c>
      <c r="P179" s="339"/>
      <c r="Q179" s="338"/>
      <c r="R179" s="388"/>
      <c r="S179" s="388"/>
      <c r="T179" s="339"/>
    </row>
    <row r="180" spans="1:20" x14ac:dyDescent="0.2">
      <c r="A180" s="454" t="s">
        <v>819</v>
      </c>
      <c r="B180" s="925" t="s">
        <v>1069</v>
      </c>
      <c r="C180" s="926" t="s">
        <v>654</v>
      </c>
      <c r="D180" s="677">
        <v>2</v>
      </c>
      <c r="E180" s="677">
        <v>4800</v>
      </c>
      <c r="F180" s="678">
        <v>9600</v>
      </c>
      <c r="G180" s="449">
        <v>0</v>
      </c>
      <c r="H180" s="459">
        <f t="shared" si="63"/>
        <v>0</v>
      </c>
      <c r="I180" s="470">
        <v>0</v>
      </c>
      <c r="J180" s="459">
        <f t="shared" si="64"/>
        <v>0</v>
      </c>
      <c r="K180" s="470">
        <f t="shared" si="65"/>
        <v>0</v>
      </c>
      <c r="L180" s="471">
        <f t="shared" si="66"/>
        <v>0</v>
      </c>
      <c r="M180" s="459">
        <f t="shared" si="67"/>
        <v>0</v>
      </c>
      <c r="N180" s="470">
        <f t="shared" si="68"/>
        <v>2</v>
      </c>
      <c r="O180" s="459">
        <f t="shared" si="69"/>
        <v>9600</v>
      </c>
      <c r="P180" s="339"/>
      <c r="Q180" s="338"/>
      <c r="R180" s="388"/>
      <c r="S180" s="388"/>
      <c r="T180" s="339"/>
    </row>
    <row r="181" spans="1:20" s="933" customFormat="1" x14ac:dyDescent="0.2">
      <c r="A181" s="919" t="s">
        <v>820</v>
      </c>
      <c r="B181" s="927" t="s">
        <v>821</v>
      </c>
      <c r="C181" s="928"/>
      <c r="D181" s="920"/>
      <c r="E181" s="920"/>
      <c r="F181" s="921"/>
      <c r="G181" s="929"/>
      <c r="H181" s="923"/>
      <c r="I181" s="922"/>
      <c r="J181" s="923"/>
      <c r="K181" s="922"/>
      <c r="L181" s="924"/>
      <c r="M181" s="923"/>
      <c r="N181" s="922"/>
      <c r="O181" s="923"/>
      <c r="P181" s="930"/>
      <c r="Q181" s="931"/>
      <c r="R181" s="932"/>
      <c r="S181" s="932"/>
      <c r="T181" s="930"/>
    </row>
    <row r="182" spans="1:20" x14ac:dyDescent="0.2">
      <c r="A182" s="454" t="s">
        <v>822</v>
      </c>
      <c r="B182" s="925" t="s">
        <v>1070</v>
      </c>
      <c r="C182" s="926" t="s">
        <v>654</v>
      </c>
      <c r="D182" s="677">
        <v>20</v>
      </c>
      <c r="E182" s="677">
        <v>718.75</v>
      </c>
      <c r="F182" s="678">
        <v>14375</v>
      </c>
      <c r="G182" s="449">
        <v>0</v>
      </c>
      <c r="H182" s="459">
        <f t="shared" ref="H182:H189" si="70">+G182*E182</f>
        <v>0</v>
      </c>
      <c r="I182" s="470">
        <v>0</v>
      </c>
      <c r="J182" s="459">
        <f t="shared" ref="J182:J189" si="71">+I182*E182</f>
        <v>0</v>
      </c>
      <c r="K182" s="470">
        <f t="shared" ref="K182:K189" si="72">+G182+I182</f>
        <v>0</v>
      </c>
      <c r="L182" s="471">
        <f t="shared" ref="L182:L189" si="73">+K182*E182</f>
        <v>0</v>
      </c>
      <c r="M182" s="459">
        <f t="shared" ref="M182:M189" si="74">+K182*100/D182</f>
        <v>0</v>
      </c>
      <c r="N182" s="470">
        <f t="shared" ref="N182:N189" si="75">+D182-K182</f>
        <v>20</v>
      </c>
      <c r="O182" s="459">
        <f t="shared" ref="O182:O189" si="76">+F182-L182</f>
        <v>14375</v>
      </c>
      <c r="P182" s="339"/>
      <c r="Q182" s="338"/>
      <c r="R182" s="388"/>
      <c r="S182" s="388"/>
      <c r="T182" s="339"/>
    </row>
    <row r="183" spans="1:20" x14ac:dyDescent="0.2">
      <c r="A183" s="454" t="s">
        <v>823</v>
      </c>
      <c r="B183" s="925" t="s">
        <v>1071</v>
      </c>
      <c r="C183" s="926" t="s">
        <v>654</v>
      </c>
      <c r="D183" s="677">
        <v>10</v>
      </c>
      <c r="E183" s="677">
        <v>925.81500000000005</v>
      </c>
      <c r="F183" s="678">
        <v>9258.1500000000015</v>
      </c>
      <c r="G183" s="449">
        <v>0</v>
      </c>
      <c r="H183" s="459">
        <f t="shared" si="70"/>
        <v>0</v>
      </c>
      <c r="I183" s="470">
        <v>0</v>
      </c>
      <c r="J183" s="459">
        <f t="shared" si="71"/>
        <v>0</v>
      </c>
      <c r="K183" s="470">
        <f t="shared" si="72"/>
        <v>0</v>
      </c>
      <c r="L183" s="471">
        <f t="shared" si="73"/>
        <v>0</v>
      </c>
      <c r="M183" s="459">
        <f t="shared" si="74"/>
        <v>0</v>
      </c>
      <c r="N183" s="470">
        <f t="shared" si="75"/>
        <v>10</v>
      </c>
      <c r="O183" s="459">
        <f t="shared" si="76"/>
        <v>9258.1500000000015</v>
      </c>
      <c r="P183" s="339"/>
      <c r="Q183" s="338"/>
      <c r="R183" s="388"/>
      <c r="S183" s="388"/>
      <c r="T183" s="339"/>
    </row>
    <row r="184" spans="1:20" x14ac:dyDescent="0.2">
      <c r="A184" s="454" t="s">
        <v>824</v>
      </c>
      <c r="B184" s="925" t="s">
        <v>1072</v>
      </c>
      <c r="C184" s="926" t="s">
        <v>654</v>
      </c>
      <c r="D184" s="677">
        <v>20</v>
      </c>
      <c r="E184" s="677">
        <v>450</v>
      </c>
      <c r="F184" s="678">
        <v>9000</v>
      </c>
      <c r="G184" s="449">
        <v>0</v>
      </c>
      <c r="H184" s="459">
        <f t="shared" si="70"/>
        <v>0</v>
      </c>
      <c r="I184" s="470">
        <v>0</v>
      </c>
      <c r="J184" s="459">
        <f t="shared" si="71"/>
        <v>0</v>
      </c>
      <c r="K184" s="470">
        <f t="shared" si="72"/>
        <v>0</v>
      </c>
      <c r="L184" s="471">
        <f t="shared" si="73"/>
        <v>0</v>
      </c>
      <c r="M184" s="459">
        <f t="shared" si="74"/>
        <v>0</v>
      </c>
      <c r="N184" s="470">
        <f t="shared" si="75"/>
        <v>20</v>
      </c>
      <c r="O184" s="459">
        <f t="shared" si="76"/>
        <v>9000</v>
      </c>
      <c r="P184" s="339"/>
      <c r="Q184" s="338"/>
      <c r="R184" s="388"/>
      <c r="S184" s="388"/>
      <c r="T184" s="339"/>
    </row>
    <row r="185" spans="1:20" x14ac:dyDescent="0.2">
      <c r="A185" s="454" t="s">
        <v>825</v>
      </c>
      <c r="B185" s="925" t="s">
        <v>1073</v>
      </c>
      <c r="C185" s="926" t="s">
        <v>654</v>
      </c>
      <c r="D185" s="677">
        <v>20</v>
      </c>
      <c r="E185" s="677">
        <v>487.5</v>
      </c>
      <c r="F185" s="678">
        <v>9750</v>
      </c>
      <c r="G185" s="449">
        <v>0</v>
      </c>
      <c r="H185" s="459">
        <f t="shared" si="70"/>
        <v>0</v>
      </c>
      <c r="I185" s="470">
        <v>0</v>
      </c>
      <c r="J185" s="459">
        <f t="shared" si="71"/>
        <v>0</v>
      </c>
      <c r="K185" s="470">
        <f t="shared" si="72"/>
        <v>0</v>
      </c>
      <c r="L185" s="471">
        <f t="shared" si="73"/>
        <v>0</v>
      </c>
      <c r="M185" s="459">
        <f t="shared" si="74"/>
        <v>0</v>
      </c>
      <c r="N185" s="470">
        <f t="shared" si="75"/>
        <v>20</v>
      </c>
      <c r="O185" s="459">
        <f t="shared" si="76"/>
        <v>9750</v>
      </c>
      <c r="P185" s="339"/>
      <c r="Q185" s="338"/>
      <c r="R185" s="388"/>
      <c r="S185" s="388"/>
      <c r="T185" s="339"/>
    </row>
    <row r="186" spans="1:20" x14ac:dyDescent="0.2">
      <c r="A186" s="454" t="s">
        <v>826</v>
      </c>
      <c r="B186" s="925" t="s">
        <v>1074</v>
      </c>
      <c r="C186" s="926" t="s">
        <v>654</v>
      </c>
      <c r="D186" s="677">
        <v>8</v>
      </c>
      <c r="E186" s="677">
        <v>423</v>
      </c>
      <c r="F186" s="678">
        <v>3384</v>
      </c>
      <c r="G186" s="449">
        <v>0</v>
      </c>
      <c r="H186" s="459">
        <f t="shared" si="70"/>
        <v>0</v>
      </c>
      <c r="I186" s="470">
        <v>0</v>
      </c>
      <c r="J186" s="459">
        <f t="shared" si="71"/>
        <v>0</v>
      </c>
      <c r="K186" s="470">
        <f t="shared" si="72"/>
        <v>0</v>
      </c>
      <c r="L186" s="471">
        <f t="shared" si="73"/>
        <v>0</v>
      </c>
      <c r="M186" s="459">
        <f t="shared" si="74"/>
        <v>0</v>
      </c>
      <c r="N186" s="470">
        <f t="shared" si="75"/>
        <v>8</v>
      </c>
      <c r="O186" s="459">
        <f t="shared" si="76"/>
        <v>3384</v>
      </c>
      <c r="P186" s="339"/>
      <c r="Q186" s="338"/>
      <c r="R186" s="388"/>
      <c r="S186" s="388"/>
      <c r="T186" s="339"/>
    </row>
    <row r="187" spans="1:20" x14ac:dyDescent="0.2">
      <c r="A187" s="454" t="s">
        <v>827</v>
      </c>
      <c r="B187" s="925" t="s">
        <v>1075</v>
      </c>
      <c r="C187" s="926" t="s">
        <v>654</v>
      </c>
      <c r="D187" s="677">
        <v>5</v>
      </c>
      <c r="E187" s="677">
        <v>300</v>
      </c>
      <c r="F187" s="678">
        <v>1500</v>
      </c>
      <c r="G187" s="449">
        <v>0</v>
      </c>
      <c r="H187" s="459">
        <f t="shared" si="70"/>
        <v>0</v>
      </c>
      <c r="I187" s="470">
        <v>0</v>
      </c>
      <c r="J187" s="459">
        <f t="shared" si="71"/>
        <v>0</v>
      </c>
      <c r="K187" s="470">
        <f t="shared" si="72"/>
        <v>0</v>
      </c>
      <c r="L187" s="471">
        <f t="shared" si="73"/>
        <v>0</v>
      </c>
      <c r="M187" s="459">
        <f t="shared" si="74"/>
        <v>0</v>
      </c>
      <c r="N187" s="470">
        <f t="shared" si="75"/>
        <v>5</v>
      </c>
      <c r="O187" s="459">
        <f t="shared" si="76"/>
        <v>1500</v>
      </c>
      <c r="P187" s="339"/>
      <c r="Q187" s="338"/>
      <c r="R187" s="388"/>
      <c r="S187" s="388"/>
      <c r="T187" s="339"/>
    </row>
    <row r="188" spans="1:20" x14ac:dyDescent="0.2">
      <c r="A188" s="454" t="s">
        <v>828</v>
      </c>
      <c r="B188" s="925" t="s">
        <v>1076</v>
      </c>
      <c r="C188" s="926" t="s">
        <v>654</v>
      </c>
      <c r="D188" s="677">
        <v>4</v>
      </c>
      <c r="E188" s="677">
        <v>1083</v>
      </c>
      <c r="F188" s="678">
        <v>4332</v>
      </c>
      <c r="G188" s="449">
        <v>0</v>
      </c>
      <c r="H188" s="459">
        <f t="shared" si="70"/>
        <v>0</v>
      </c>
      <c r="I188" s="470">
        <v>0</v>
      </c>
      <c r="J188" s="459">
        <f t="shared" si="71"/>
        <v>0</v>
      </c>
      <c r="K188" s="470">
        <f t="shared" si="72"/>
        <v>0</v>
      </c>
      <c r="L188" s="471">
        <f t="shared" si="73"/>
        <v>0</v>
      </c>
      <c r="M188" s="459">
        <f t="shared" si="74"/>
        <v>0</v>
      </c>
      <c r="N188" s="470">
        <f t="shared" si="75"/>
        <v>4</v>
      </c>
      <c r="O188" s="459">
        <f t="shared" si="76"/>
        <v>4332</v>
      </c>
      <c r="P188" s="339"/>
      <c r="Q188" s="338"/>
      <c r="R188" s="388"/>
      <c r="S188" s="388"/>
      <c r="T188" s="339"/>
    </row>
    <row r="189" spans="1:20" x14ac:dyDescent="0.2">
      <c r="A189" s="454" t="s">
        <v>829</v>
      </c>
      <c r="B189" s="925" t="s">
        <v>1077</v>
      </c>
      <c r="C189" s="926" t="s">
        <v>654</v>
      </c>
      <c r="D189" s="677">
        <v>4</v>
      </c>
      <c r="E189" s="677">
        <v>626</v>
      </c>
      <c r="F189" s="678">
        <v>2504</v>
      </c>
      <c r="G189" s="449">
        <v>0</v>
      </c>
      <c r="H189" s="459">
        <f t="shared" si="70"/>
        <v>0</v>
      </c>
      <c r="I189" s="470">
        <v>0</v>
      </c>
      <c r="J189" s="459">
        <f t="shared" si="71"/>
        <v>0</v>
      </c>
      <c r="K189" s="470">
        <f t="shared" si="72"/>
        <v>0</v>
      </c>
      <c r="L189" s="471">
        <f t="shared" si="73"/>
        <v>0</v>
      </c>
      <c r="M189" s="459">
        <f t="shared" si="74"/>
        <v>0</v>
      </c>
      <c r="N189" s="470">
        <f t="shared" si="75"/>
        <v>4</v>
      </c>
      <c r="O189" s="459">
        <f t="shared" si="76"/>
        <v>2504</v>
      </c>
      <c r="P189" s="339"/>
      <c r="Q189" s="338"/>
      <c r="R189" s="388"/>
      <c r="S189" s="388"/>
      <c r="T189" s="339"/>
    </row>
    <row r="190" spans="1:20" x14ac:dyDescent="0.2">
      <c r="A190" s="454" t="s">
        <v>830</v>
      </c>
      <c r="B190" s="925" t="s">
        <v>1078</v>
      </c>
      <c r="C190" s="926" t="s">
        <v>654</v>
      </c>
      <c r="D190" s="677">
        <v>4</v>
      </c>
      <c r="E190" s="677">
        <v>105</v>
      </c>
      <c r="F190" s="678">
        <v>420</v>
      </c>
      <c r="G190" s="449">
        <v>0</v>
      </c>
      <c r="H190" s="459">
        <f t="shared" ref="H190:H226" si="77">+G190*E190</f>
        <v>0</v>
      </c>
      <c r="I190" s="470">
        <v>0</v>
      </c>
      <c r="J190" s="459">
        <f t="shared" ref="J190:J226" si="78">+I190*E190</f>
        <v>0</v>
      </c>
      <c r="K190" s="470">
        <f t="shared" ref="K190:K226" si="79">+G190+I190</f>
        <v>0</v>
      </c>
      <c r="L190" s="471">
        <f t="shared" ref="L190:L226" si="80">+K190*E190</f>
        <v>0</v>
      </c>
      <c r="M190" s="459">
        <f t="shared" ref="M190:M226" si="81">+K190*100/D190</f>
        <v>0</v>
      </c>
      <c r="N190" s="470">
        <f t="shared" ref="N190:N226" si="82">+D190-K190</f>
        <v>4</v>
      </c>
      <c r="O190" s="459">
        <f t="shared" ref="O190:O226" si="83">+F190-L190</f>
        <v>420</v>
      </c>
      <c r="P190" s="339"/>
      <c r="Q190" s="338"/>
      <c r="R190" s="388"/>
      <c r="S190" s="388"/>
      <c r="T190" s="339"/>
    </row>
    <row r="191" spans="1:20" x14ac:dyDescent="0.2">
      <c r="A191" s="454" t="s">
        <v>831</v>
      </c>
      <c r="B191" s="925" t="s">
        <v>1079</v>
      </c>
      <c r="C191" s="926" t="s">
        <v>654</v>
      </c>
      <c r="D191" s="677">
        <v>5</v>
      </c>
      <c r="E191" s="677">
        <v>720</v>
      </c>
      <c r="F191" s="678">
        <v>3600</v>
      </c>
      <c r="G191" s="449">
        <v>0</v>
      </c>
      <c r="H191" s="459">
        <f t="shared" si="77"/>
        <v>0</v>
      </c>
      <c r="I191" s="470">
        <v>0</v>
      </c>
      <c r="J191" s="459">
        <f t="shared" si="78"/>
        <v>0</v>
      </c>
      <c r="K191" s="470">
        <f t="shared" si="79"/>
        <v>0</v>
      </c>
      <c r="L191" s="471">
        <f t="shared" si="80"/>
        <v>0</v>
      </c>
      <c r="M191" s="459">
        <f t="shared" si="81"/>
        <v>0</v>
      </c>
      <c r="N191" s="470">
        <f t="shared" si="82"/>
        <v>5</v>
      </c>
      <c r="O191" s="459">
        <f t="shared" si="83"/>
        <v>3600</v>
      </c>
      <c r="P191" s="339"/>
      <c r="Q191" s="338"/>
      <c r="R191" s="388"/>
      <c r="S191" s="388"/>
      <c r="T191" s="339"/>
    </row>
    <row r="192" spans="1:20" x14ac:dyDescent="0.2">
      <c r="A192" s="454" t="s">
        <v>832</v>
      </c>
      <c r="B192" s="925" t="s">
        <v>1080</v>
      </c>
      <c r="C192" s="926" t="s">
        <v>654</v>
      </c>
      <c r="D192" s="677">
        <v>35</v>
      </c>
      <c r="E192" s="677">
        <v>47</v>
      </c>
      <c r="F192" s="678">
        <v>1645</v>
      </c>
      <c r="G192" s="449">
        <v>0</v>
      </c>
      <c r="H192" s="459">
        <f t="shared" si="77"/>
        <v>0</v>
      </c>
      <c r="I192" s="470">
        <v>0</v>
      </c>
      <c r="J192" s="459">
        <f t="shared" si="78"/>
        <v>0</v>
      </c>
      <c r="K192" s="470">
        <f t="shared" si="79"/>
        <v>0</v>
      </c>
      <c r="L192" s="471">
        <f t="shared" si="80"/>
        <v>0</v>
      </c>
      <c r="M192" s="459">
        <f t="shared" si="81"/>
        <v>0</v>
      </c>
      <c r="N192" s="470">
        <f t="shared" si="82"/>
        <v>35</v>
      </c>
      <c r="O192" s="459">
        <f t="shared" si="83"/>
        <v>1645</v>
      </c>
      <c r="P192" s="339"/>
      <c r="Q192" s="338"/>
      <c r="R192" s="388"/>
      <c r="S192" s="388"/>
      <c r="T192" s="339"/>
    </row>
    <row r="193" spans="1:20" x14ac:dyDescent="0.2">
      <c r="A193" s="454" t="s">
        <v>833</v>
      </c>
      <c r="B193" s="925" t="s">
        <v>1081</v>
      </c>
      <c r="C193" s="926" t="s">
        <v>654</v>
      </c>
      <c r="D193" s="677">
        <v>50</v>
      </c>
      <c r="E193" s="677">
        <v>354</v>
      </c>
      <c r="F193" s="678">
        <v>17700</v>
      </c>
      <c r="G193" s="449">
        <v>0</v>
      </c>
      <c r="H193" s="459">
        <f t="shared" si="77"/>
        <v>0</v>
      </c>
      <c r="I193" s="470">
        <v>0</v>
      </c>
      <c r="J193" s="459">
        <f t="shared" si="78"/>
        <v>0</v>
      </c>
      <c r="K193" s="470">
        <f t="shared" si="79"/>
        <v>0</v>
      </c>
      <c r="L193" s="471">
        <f t="shared" si="80"/>
        <v>0</v>
      </c>
      <c r="M193" s="459">
        <f t="shared" si="81"/>
        <v>0</v>
      </c>
      <c r="N193" s="470">
        <f t="shared" si="82"/>
        <v>50</v>
      </c>
      <c r="O193" s="459">
        <f t="shared" si="83"/>
        <v>17700</v>
      </c>
      <c r="P193" s="339"/>
      <c r="Q193" s="338"/>
      <c r="R193" s="388"/>
      <c r="S193" s="388"/>
      <c r="T193" s="339"/>
    </row>
    <row r="194" spans="1:20" x14ac:dyDescent="0.2">
      <c r="A194" s="454" t="s">
        <v>834</v>
      </c>
      <c r="B194" s="925" t="s">
        <v>1082</v>
      </c>
      <c r="C194" s="926" t="s">
        <v>654</v>
      </c>
      <c r="D194" s="677">
        <v>10</v>
      </c>
      <c r="E194" s="677">
        <v>500</v>
      </c>
      <c r="F194" s="678">
        <v>5000</v>
      </c>
      <c r="G194" s="449">
        <v>0</v>
      </c>
      <c r="H194" s="459">
        <f t="shared" si="77"/>
        <v>0</v>
      </c>
      <c r="I194" s="470">
        <v>0</v>
      </c>
      <c r="J194" s="459">
        <f t="shared" si="78"/>
        <v>0</v>
      </c>
      <c r="K194" s="470">
        <f t="shared" si="79"/>
        <v>0</v>
      </c>
      <c r="L194" s="471">
        <f t="shared" si="80"/>
        <v>0</v>
      </c>
      <c r="M194" s="459">
        <f t="shared" si="81"/>
        <v>0</v>
      </c>
      <c r="N194" s="470">
        <f t="shared" si="82"/>
        <v>10</v>
      </c>
      <c r="O194" s="459">
        <f t="shared" si="83"/>
        <v>5000</v>
      </c>
      <c r="P194" s="339"/>
      <c r="Q194" s="338"/>
      <c r="R194" s="388"/>
      <c r="S194" s="388"/>
      <c r="T194" s="339"/>
    </row>
    <row r="195" spans="1:20" x14ac:dyDescent="0.2">
      <c r="A195" s="454" t="s">
        <v>835</v>
      </c>
      <c r="B195" s="925" t="s">
        <v>1083</v>
      </c>
      <c r="C195" s="926" t="s">
        <v>654</v>
      </c>
      <c r="D195" s="677">
        <v>12</v>
      </c>
      <c r="E195" s="677">
        <v>1750</v>
      </c>
      <c r="F195" s="678">
        <v>21000</v>
      </c>
      <c r="G195" s="449">
        <v>0</v>
      </c>
      <c r="H195" s="459">
        <f t="shared" si="77"/>
        <v>0</v>
      </c>
      <c r="I195" s="470">
        <v>0</v>
      </c>
      <c r="J195" s="459">
        <f t="shared" si="78"/>
        <v>0</v>
      </c>
      <c r="K195" s="470">
        <f t="shared" si="79"/>
        <v>0</v>
      </c>
      <c r="L195" s="471">
        <f t="shared" si="80"/>
        <v>0</v>
      </c>
      <c r="M195" s="459">
        <f t="shared" si="81"/>
        <v>0</v>
      </c>
      <c r="N195" s="470">
        <f t="shared" si="82"/>
        <v>12</v>
      </c>
      <c r="O195" s="459">
        <f t="shared" si="83"/>
        <v>21000</v>
      </c>
      <c r="P195" s="339"/>
      <c r="Q195" s="338"/>
      <c r="R195" s="388"/>
      <c r="S195" s="388"/>
      <c r="T195" s="339"/>
    </row>
    <row r="196" spans="1:20" ht="20.399999999999999" x14ac:dyDescent="0.2">
      <c r="A196" s="454" t="s">
        <v>836</v>
      </c>
      <c r="B196" s="925" t="s">
        <v>1084</v>
      </c>
      <c r="C196" s="926" t="s">
        <v>654</v>
      </c>
      <c r="D196" s="677">
        <v>15</v>
      </c>
      <c r="E196" s="677">
        <v>750</v>
      </c>
      <c r="F196" s="678">
        <v>11250</v>
      </c>
      <c r="G196" s="449">
        <v>0</v>
      </c>
      <c r="H196" s="459">
        <f t="shared" si="77"/>
        <v>0</v>
      </c>
      <c r="I196" s="470">
        <v>0</v>
      </c>
      <c r="J196" s="459">
        <f t="shared" si="78"/>
        <v>0</v>
      </c>
      <c r="K196" s="470">
        <f t="shared" si="79"/>
        <v>0</v>
      </c>
      <c r="L196" s="471">
        <f t="shared" si="80"/>
        <v>0</v>
      </c>
      <c r="M196" s="459">
        <f t="shared" si="81"/>
        <v>0</v>
      </c>
      <c r="N196" s="470">
        <f t="shared" si="82"/>
        <v>15</v>
      </c>
      <c r="O196" s="459">
        <f t="shared" si="83"/>
        <v>11250</v>
      </c>
      <c r="P196" s="339"/>
      <c r="Q196" s="338"/>
      <c r="R196" s="388"/>
      <c r="S196" s="388"/>
      <c r="T196" s="339"/>
    </row>
    <row r="197" spans="1:20" x14ac:dyDescent="0.2">
      <c r="A197" s="454" t="s">
        <v>837</v>
      </c>
      <c r="B197" s="925" t="s">
        <v>1085</v>
      </c>
      <c r="C197" s="926" t="s">
        <v>654</v>
      </c>
      <c r="D197" s="677">
        <v>2</v>
      </c>
      <c r="E197" s="677">
        <v>1000</v>
      </c>
      <c r="F197" s="678">
        <v>2000</v>
      </c>
      <c r="G197" s="449">
        <v>0</v>
      </c>
      <c r="H197" s="459">
        <f t="shared" si="77"/>
        <v>0</v>
      </c>
      <c r="I197" s="470">
        <v>0</v>
      </c>
      <c r="J197" s="459">
        <f t="shared" si="78"/>
        <v>0</v>
      </c>
      <c r="K197" s="470">
        <f t="shared" si="79"/>
        <v>0</v>
      </c>
      <c r="L197" s="471">
        <f t="shared" si="80"/>
        <v>0</v>
      </c>
      <c r="M197" s="459">
        <f t="shared" si="81"/>
        <v>0</v>
      </c>
      <c r="N197" s="470">
        <f t="shared" si="82"/>
        <v>2</v>
      </c>
      <c r="O197" s="459">
        <f t="shared" si="83"/>
        <v>2000</v>
      </c>
      <c r="P197" s="339"/>
      <c r="Q197" s="338"/>
      <c r="R197" s="388"/>
      <c r="S197" s="388"/>
      <c r="T197" s="339"/>
    </row>
    <row r="198" spans="1:20" x14ac:dyDescent="0.2">
      <c r="A198" s="454" t="s">
        <v>838</v>
      </c>
      <c r="B198" s="925" t="s">
        <v>1086</v>
      </c>
      <c r="C198" s="926" t="s">
        <v>654</v>
      </c>
      <c r="D198" s="677">
        <v>20</v>
      </c>
      <c r="E198" s="677">
        <v>75</v>
      </c>
      <c r="F198" s="678">
        <v>1500</v>
      </c>
      <c r="G198" s="449">
        <v>0</v>
      </c>
      <c r="H198" s="459">
        <f t="shared" si="77"/>
        <v>0</v>
      </c>
      <c r="I198" s="470">
        <v>0</v>
      </c>
      <c r="J198" s="459">
        <f t="shared" si="78"/>
        <v>0</v>
      </c>
      <c r="K198" s="470">
        <f t="shared" si="79"/>
        <v>0</v>
      </c>
      <c r="L198" s="471">
        <f t="shared" si="80"/>
        <v>0</v>
      </c>
      <c r="M198" s="459">
        <f t="shared" si="81"/>
        <v>0</v>
      </c>
      <c r="N198" s="470">
        <f t="shared" si="82"/>
        <v>20</v>
      </c>
      <c r="O198" s="459">
        <f t="shared" si="83"/>
        <v>1500</v>
      </c>
      <c r="P198" s="339"/>
      <c r="Q198" s="338"/>
      <c r="R198" s="388"/>
      <c r="S198" s="388"/>
      <c r="T198" s="339"/>
    </row>
    <row r="199" spans="1:20" x14ac:dyDescent="0.2">
      <c r="A199" s="454" t="s">
        <v>839</v>
      </c>
      <c r="B199" s="925" t="s">
        <v>1087</v>
      </c>
      <c r="C199" s="926" t="s">
        <v>654</v>
      </c>
      <c r="D199" s="677">
        <v>20</v>
      </c>
      <c r="E199" s="677">
        <v>442.5</v>
      </c>
      <c r="F199" s="678">
        <v>8850</v>
      </c>
      <c r="G199" s="449">
        <v>0</v>
      </c>
      <c r="H199" s="459">
        <f t="shared" si="77"/>
        <v>0</v>
      </c>
      <c r="I199" s="470">
        <v>0</v>
      </c>
      <c r="J199" s="459">
        <f t="shared" si="78"/>
        <v>0</v>
      </c>
      <c r="K199" s="470">
        <f t="shared" si="79"/>
        <v>0</v>
      </c>
      <c r="L199" s="471">
        <f t="shared" si="80"/>
        <v>0</v>
      </c>
      <c r="M199" s="459">
        <f t="shared" si="81"/>
        <v>0</v>
      </c>
      <c r="N199" s="470">
        <f t="shared" si="82"/>
        <v>20</v>
      </c>
      <c r="O199" s="459">
        <f t="shared" si="83"/>
        <v>8850</v>
      </c>
      <c r="P199" s="339"/>
      <c r="Q199" s="338"/>
      <c r="R199" s="388"/>
      <c r="S199" s="388"/>
      <c r="T199" s="339"/>
    </row>
    <row r="200" spans="1:20" x14ac:dyDescent="0.2">
      <c r="A200" s="454" t="s">
        <v>840</v>
      </c>
      <c r="B200" s="925" t="s">
        <v>1088</v>
      </c>
      <c r="C200" s="926" t="s">
        <v>654</v>
      </c>
      <c r="D200" s="677">
        <v>20</v>
      </c>
      <c r="E200" s="677">
        <v>817.77</v>
      </c>
      <c r="F200" s="678">
        <v>16355.4</v>
      </c>
      <c r="G200" s="449">
        <v>0</v>
      </c>
      <c r="H200" s="459">
        <f t="shared" si="77"/>
        <v>0</v>
      </c>
      <c r="I200" s="470">
        <v>0</v>
      </c>
      <c r="J200" s="459">
        <f t="shared" si="78"/>
        <v>0</v>
      </c>
      <c r="K200" s="470">
        <f t="shared" si="79"/>
        <v>0</v>
      </c>
      <c r="L200" s="471">
        <f t="shared" si="80"/>
        <v>0</v>
      </c>
      <c r="M200" s="459">
        <f t="shared" si="81"/>
        <v>0</v>
      </c>
      <c r="N200" s="470">
        <f t="shared" si="82"/>
        <v>20</v>
      </c>
      <c r="O200" s="459">
        <f t="shared" si="83"/>
        <v>16355.4</v>
      </c>
      <c r="P200" s="339"/>
      <c r="Q200" s="338"/>
      <c r="R200" s="388"/>
      <c r="S200" s="388"/>
      <c r="T200" s="339"/>
    </row>
    <row r="201" spans="1:20" x14ac:dyDescent="0.2">
      <c r="A201" s="454" t="s">
        <v>841</v>
      </c>
      <c r="B201" s="925" t="s">
        <v>1089</v>
      </c>
      <c r="C201" s="926" t="s">
        <v>654</v>
      </c>
      <c r="D201" s="677">
        <v>1</v>
      </c>
      <c r="E201" s="677">
        <v>850</v>
      </c>
      <c r="F201" s="678">
        <v>850</v>
      </c>
      <c r="G201" s="449">
        <v>0</v>
      </c>
      <c r="H201" s="459">
        <f t="shared" si="77"/>
        <v>0</v>
      </c>
      <c r="I201" s="470">
        <v>0</v>
      </c>
      <c r="J201" s="459">
        <f t="shared" si="78"/>
        <v>0</v>
      </c>
      <c r="K201" s="470">
        <f t="shared" si="79"/>
        <v>0</v>
      </c>
      <c r="L201" s="471">
        <f t="shared" si="80"/>
        <v>0</v>
      </c>
      <c r="M201" s="459">
        <f t="shared" si="81"/>
        <v>0</v>
      </c>
      <c r="N201" s="470">
        <f t="shared" si="82"/>
        <v>1</v>
      </c>
      <c r="O201" s="459">
        <f t="shared" si="83"/>
        <v>850</v>
      </c>
      <c r="P201" s="339"/>
      <c r="Q201" s="338"/>
      <c r="R201" s="388"/>
      <c r="S201" s="388"/>
      <c r="T201" s="339"/>
    </row>
    <row r="202" spans="1:20" x14ac:dyDescent="0.2">
      <c r="A202" s="454" t="s">
        <v>842</v>
      </c>
      <c r="B202" s="925" t="s">
        <v>1090</v>
      </c>
      <c r="C202" s="926" t="s">
        <v>654</v>
      </c>
      <c r="D202" s="677">
        <v>40</v>
      </c>
      <c r="E202" s="677">
        <v>805</v>
      </c>
      <c r="F202" s="678">
        <v>32200</v>
      </c>
      <c r="G202" s="449">
        <v>0</v>
      </c>
      <c r="H202" s="459">
        <f t="shared" si="77"/>
        <v>0</v>
      </c>
      <c r="I202" s="470">
        <v>0</v>
      </c>
      <c r="J202" s="459">
        <f t="shared" si="78"/>
        <v>0</v>
      </c>
      <c r="K202" s="470">
        <f t="shared" si="79"/>
        <v>0</v>
      </c>
      <c r="L202" s="471">
        <f t="shared" si="80"/>
        <v>0</v>
      </c>
      <c r="M202" s="459">
        <f t="shared" si="81"/>
        <v>0</v>
      </c>
      <c r="N202" s="470">
        <f t="shared" si="82"/>
        <v>40</v>
      </c>
      <c r="O202" s="459">
        <f t="shared" si="83"/>
        <v>32200</v>
      </c>
      <c r="P202" s="339"/>
      <c r="Q202" s="338"/>
      <c r="R202" s="388"/>
      <c r="S202" s="388"/>
      <c r="T202" s="339"/>
    </row>
    <row r="203" spans="1:20" x14ac:dyDescent="0.2">
      <c r="A203" s="454" t="s">
        <v>843</v>
      </c>
      <c r="B203" s="925" t="s">
        <v>1091</v>
      </c>
      <c r="C203" s="926" t="s">
        <v>654</v>
      </c>
      <c r="D203" s="677">
        <v>4</v>
      </c>
      <c r="E203" s="677">
        <v>1400</v>
      </c>
      <c r="F203" s="678">
        <v>5600</v>
      </c>
      <c r="G203" s="449">
        <v>0</v>
      </c>
      <c r="H203" s="459">
        <f t="shared" si="77"/>
        <v>0</v>
      </c>
      <c r="I203" s="470">
        <v>0</v>
      </c>
      <c r="J203" s="459">
        <f t="shared" si="78"/>
        <v>0</v>
      </c>
      <c r="K203" s="470">
        <f t="shared" si="79"/>
        <v>0</v>
      </c>
      <c r="L203" s="471">
        <f t="shared" si="80"/>
        <v>0</v>
      </c>
      <c r="M203" s="459">
        <f t="shared" si="81"/>
        <v>0</v>
      </c>
      <c r="N203" s="470">
        <f t="shared" si="82"/>
        <v>4</v>
      </c>
      <c r="O203" s="459">
        <f t="shared" si="83"/>
        <v>5600</v>
      </c>
      <c r="P203" s="339"/>
      <c r="Q203" s="338"/>
      <c r="R203" s="388"/>
      <c r="S203" s="388"/>
      <c r="T203" s="339"/>
    </row>
    <row r="204" spans="1:20" x14ac:dyDescent="0.2">
      <c r="A204" s="454" t="s">
        <v>844</v>
      </c>
      <c r="B204" s="925" t="s">
        <v>1092</v>
      </c>
      <c r="C204" s="926" t="s">
        <v>654</v>
      </c>
      <c r="D204" s="677">
        <v>2</v>
      </c>
      <c r="E204" s="677">
        <v>188</v>
      </c>
      <c r="F204" s="678">
        <v>376</v>
      </c>
      <c r="G204" s="449">
        <v>0</v>
      </c>
      <c r="H204" s="459">
        <f t="shared" si="77"/>
        <v>0</v>
      </c>
      <c r="I204" s="470">
        <v>0</v>
      </c>
      <c r="J204" s="459">
        <f t="shared" si="78"/>
        <v>0</v>
      </c>
      <c r="K204" s="470">
        <f t="shared" si="79"/>
        <v>0</v>
      </c>
      <c r="L204" s="471">
        <f t="shared" si="80"/>
        <v>0</v>
      </c>
      <c r="M204" s="459">
        <f t="shared" si="81"/>
        <v>0</v>
      </c>
      <c r="N204" s="470">
        <f t="shared" si="82"/>
        <v>2</v>
      </c>
      <c r="O204" s="459">
        <f t="shared" si="83"/>
        <v>376</v>
      </c>
      <c r="P204" s="339"/>
      <c r="Q204" s="338"/>
      <c r="R204" s="388"/>
      <c r="S204" s="388"/>
      <c r="T204" s="339"/>
    </row>
    <row r="205" spans="1:20" x14ac:dyDescent="0.2">
      <c r="A205" s="454" t="s">
        <v>845</v>
      </c>
      <c r="B205" s="925" t="s">
        <v>1093</v>
      </c>
      <c r="C205" s="926" t="s">
        <v>654</v>
      </c>
      <c r="D205" s="677">
        <v>3</v>
      </c>
      <c r="E205" s="677">
        <v>500.4</v>
      </c>
      <c r="F205" s="678">
        <v>1501.1999999999998</v>
      </c>
      <c r="G205" s="449">
        <v>0</v>
      </c>
      <c r="H205" s="459">
        <f t="shared" si="77"/>
        <v>0</v>
      </c>
      <c r="I205" s="470">
        <v>0</v>
      </c>
      <c r="J205" s="459">
        <f t="shared" si="78"/>
        <v>0</v>
      </c>
      <c r="K205" s="470">
        <f t="shared" si="79"/>
        <v>0</v>
      </c>
      <c r="L205" s="471">
        <f t="shared" si="80"/>
        <v>0</v>
      </c>
      <c r="M205" s="459">
        <f t="shared" si="81"/>
        <v>0</v>
      </c>
      <c r="N205" s="470">
        <f t="shared" si="82"/>
        <v>3</v>
      </c>
      <c r="O205" s="459">
        <f t="shared" si="83"/>
        <v>1501.1999999999998</v>
      </c>
      <c r="P205" s="339"/>
      <c r="Q205" s="338"/>
      <c r="R205" s="388"/>
      <c r="S205" s="388"/>
      <c r="T205" s="339"/>
    </row>
    <row r="206" spans="1:20" x14ac:dyDescent="0.2">
      <c r="A206" s="454" t="s">
        <v>846</v>
      </c>
      <c r="B206" s="925" t="s">
        <v>1094</v>
      </c>
      <c r="C206" s="926" t="s">
        <v>654</v>
      </c>
      <c r="D206" s="677">
        <v>5</v>
      </c>
      <c r="E206" s="677">
        <v>700</v>
      </c>
      <c r="F206" s="678">
        <v>3500</v>
      </c>
      <c r="G206" s="449">
        <v>0</v>
      </c>
      <c r="H206" s="459">
        <f t="shared" si="77"/>
        <v>0</v>
      </c>
      <c r="I206" s="470">
        <v>0</v>
      </c>
      <c r="J206" s="459">
        <f t="shared" si="78"/>
        <v>0</v>
      </c>
      <c r="K206" s="470">
        <f t="shared" si="79"/>
        <v>0</v>
      </c>
      <c r="L206" s="471">
        <f t="shared" si="80"/>
        <v>0</v>
      </c>
      <c r="M206" s="459">
        <f t="shared" si="81"/>
        <v>0</v>
      </c>
      <c r="N206" s="470">
        <f t="shared" si="82"/>
        <v>5</v>
      </c>
      <c r="O206" s="459">
        <f t="shared" si="83"/>
        <v>3500</v>
      </c>
      <c r="P206" s="339"/>
      <c r="Q206" s="338"/>
      <c r="R206" s="388"/>
      <c r="S206" s="388"/>
      <c r="T206" s="339"/>
    </row>
    <row r="207" spans="1:20" x14ac:dyDescent="0.2">
      <c r="A207" s="454" t="s">
        <v>847</v>
      </c>
      <c r="B207" s="925" t="s">
        <v>1095</v>
      </c>
      <c r="C207" s="926" t="s">
        <v>654</v>
      </c>
      <c r="D207" s="677">
        <v>4</v>
      </c>
      <c r="E207" s="677">
        <v>220</v>
      </c>
      <c r="F207" s="678">
        <v>880</v>
      </c>
      <c r="G207" s="449">
        <v>0</v>
      </c>
      <c r="H207" s="459">
        <f t="shared" si="77"/>
        <v>0</v>
      </c>
      <c r="I207" s="470">
        <v>0</v>
      </c>
      <c r="J207" s="459">
        <f t="shared" si="78"/>
        <v>0</v>
      </c>
      <c r="K207" s="470">
        <f t="shared" si="79"/>
        <v>0</v>
      </c>
      <c r="L207" s="471">
        <f t="shared" si="80"/>
        <v>0</v>
      </c>
      <c r="M207" s="459">
        <f t="shared" si="81"/>
        <v>0</v>
      </c>
      <c r="N207" s="470">
        <f t="shared" si="82"/>
        <v>4</v>
      </c>
      <c r="O207" s="459">
        <f t="shared" si="83"/>
        <v>880</v>
      </c>
      <c r="P207" s="339"/>
      <c r="Q207" s="338"/>
      <c r="R207" s="388"/>
      <c r="S207" s="388"/>
      <c r="T207" s="339"/>
    </row>
    <row r="208" spans="1:20" x14ac:dyDescent="0.2">
      <c r="A208" s="454" t="s">
        <v>848</v>
      </c>
      <c r="B208" s="925" t="s">
        <v>1096</v>
      </c>
      <c r="C208" s="926" t="s">
        <v>654</v>
      </c>
      <c r="D208" s="677">
        <v>3</v>
      </c>
      <c r="E208" s="677">
        <v>770</v>
      </c>
      <c r="F208" s="678">
        <v>2310</v>
      </c>
      <c r="G208" s="449">
        <v>0</v>
      </c>
      <c r="H208" s="459">
        <f t="shared" si="77"/>
        <v>0</v>
      </c>
      <c r="I208" s="470">
        <v>0</v>
      </c>
      <c r="J208" s="459">
        <f t="shared" si="78"/>
        <v>0</v>
      </c>
      <c r="K208" s="470">
        <f t="shared" si="79"/>
        <v>0</v>
      </c>
      <c r="L208" s="471">
        <f t="shared" si="80"/>
        <v>0</v>
      </c>
      <c r="M208" s="459">
        <f t="shared" si="81"/>
        <v>0</v>
      </c>
      <c r="N208" s="470">
        <f t="shared" si="82"/>
        <v>3</v>
      </c>
      <c r="O208" s="459">
        <f t="shared" si="83"/>
        <v>2310</v>
      </c>
      <c r="P208" s="339"/>
      <c r="Q208" s="338"/>
      <c r="R208" s="388"/>
      <c r="S208" s="388"/>
      <c r="T208" s="339"/>
    </row>
    <row r="209" spans="1:20" x14ac:dyDescent="0.2">
      <c r="A209" s="454" t="s">
        <v>849</v>
      </c>
      <c r="B209" s="925" t="s">
        <v>1097</v>
      </c>
      <c r="C209" s="926" t="s">
        <v>654</v>
      </c>
      <c r="D209" s="677">
        <v>15</v>
      </c>
      <c r="E209" s="677">
        <v>646.26</v>
      </c>
      <c r="F209" s="678">
        <v>9693.9</v>
      </c>
      <c r="G209" s="449">
        <v>0</v>
      </c>
      <c r="H209" s="459">
        <f t="shared" si="77"/>
        <v>0</v>
      </c>
      <c r="I209" s="470">
        <v>0</v>
      </c>
      <c r="J209" s="459">
        <f t="shared" si="78"/>
        <v>0</v>
      </c>
      <c r="K209" s="470">
        <f t="shared" si="79"/>
        <v>0</v>
      </c>
      <c r="L209" s="471">
        <f t="shared" si="80"/>
        <v>0</v>
      </c>
      <c r="M209" s="459">
        <f t="shared" si="81"/>
        <v>0</v>
      </c>
      <c r="N209" s="470">
        <f t="shared" si="82"/>
        <v>15</v>
      </c>
      <c r="O209" s="459">
        <f t="shared" si="83"/>
        <v>9693.9</v>
      </c>
      <c r="P209" s="339"/>
      <c r="Q209" s="338"/>
      <c r="R209" s="388"/>
      <c r="S209" s="388"/>
      <c r="T209" s="339"/>
    </row>
    <row r="210" spans="1:20" x14ac:dyDescent="0.2">
      <c r="A210" s="454" t="s">
        <v>850</v>
      </c>
      <c r="B210" s="925" t="s">
        <v>1098</v>
      </c>
      <c r="C210" s="926" t="s">
        <v>654</v>
      </c>
      <c r="D210" s="677">
        <v>8</v>
      </c>
      <c r="E210" s="677">
        <v>90</v>
      </c>
      <c r="F210" s="678">
        <v>720</v>
      </c>
      <c r="G210" s="449">
        <v>0</v>
      </c>
      <c r="H210" s="459">
        <f t="shared" si="77"/>
        <v>0</v>
      </c>
      <c r="I210" s="470">
        <v>0</v>
      </c>
      <c r="J210" s="459">
        <f t="shared" si="78"/>
        <v>0</v>
      </c>
      <c r="K210" s="470">
        <f t="shared" si="79"/>
        <v>0</v>
      </c>
      <c r="L210" s="471">
        <f t="shared" si="80"/>
        <v>0</v>
      </c>
      <c r="M210" s="459">
        <f t="shared" si="81"/>
        <v>0</v>
      </c>
      <c r="N210" s="470">
        <f t="shared" si="82"/>
        <v>8</v>
      </c>
      <c r="O210" s="459">
        <f t="shared" si="83"/>
        <v>720</v>
      </c>
      <c r="P210" s="339"/>
      <c r="Q210" s="338"/>
      <c r="R210" s="388"/>
      <c r="S210" s="388"/>
      <c r="T210" s="339"/>
    </row>
    <row r="211" spans="1:20" x14ac:dyDescent="0.2">
      <c r="A211" s="454" t="s">
        <v>851</v>
      </c>
      <c r="B211" s="925" t="s">
        <v>1099</v>
      </c>
      <c r="C211" s="926" t="s">
        <v>654</v>
      </c>
      <c r="D211" s="677">
        <v>120</v>
      </c>
      <c r="E211" s="677">
        <v>127.5</v>
      </c>
      <c r="F211" s="678">
        <v>15300</v>
      </c>
      <c r="G211" s="449">
        <v>0</v>
      </c>
      <c r="H211" s="459">
        <f t="shared" si="77"/>
        <v>0</v>
      </c>
      <c r="I211" s="470">
        <v>0</v>
      </c>
      <c r="J211" s="459">
        <f t="shared" si="78"/>
        <v>0</v>
      </c>
      <c r="K211" s="470">
        <f t="shared" si="79"/>
        <v>0</v>
      </c>
      <c r="L211" s="471">
        <f t="shared" si="80"/>
        <v>0</v>
      </c>
      <c r="M211" s="459">
        <f t="shared" si="81"/>
        <v>0</v>
      </c>
      <c r="N211" s="470">
        <f t="shared" si="82"/>
        <v>120</v>
      </c>
      <c r="O211" s="459">
        <f t="shared" si="83"/>
        <v>15300</v>
      </c>
      <c r="P211" s="339"/>
      <c r="Q211" s="338"/>
      <c r="R211" s="388"/>
      <c r="S211" s="388"/>
      <c r="T211" s="339"/>
    </row>
    <row r="212" spans="1:20" x14ac:dyDescent="0.2">
      <c r="A212" s="454" t="s">
        <v>852</v>
      </c>
      <c r="B212" s="925" t="s">
        <v>1100</v>
      </c>
      <c r="C212" s="926" t="s">
        <v>654</v>
      </c>
      <c r="D212" s="677">
        <v>10</v>
      </c>
      <c r="E212" s="677">
        <v>480</v>
      </c>
      <c r="F212" s="678">
        <v>4800</v>
      </c>
      <c r="G212" s="449">
        <v>0</v>
      </c>
      <c r="H212" s="459">
        <f t="shared" si="77"/>
        <v>0</v>
      </c>
      <c r="I212" s="470">
        <v>0</v>
      </c>
      <c r="J212" s="459">
        <f t="shared" si="78"/>
        <v>0</v>
      </c>
      <c r="K212" s="470">
        <f t="shared" si="79"/>
        <v>0</v>
      </c>
      <c r="L212" s="471">
        <f t="shared" si="80"/>
        <v>0</v>
      </c>
      <c r="M212" s="459">
        <f t="shared" si="81"/>
        <v>0</v>
      </c>
      <c r="N212" s="470">
        <f t="shared" si="82"/>
        <v>10</v>
      </c>
      <c r="O212" s="459">
        <f t="shared" si="83"/>
        <v>4800</v>
      </c>
      <c r="P212" s="339"/>
      <c r="Q212" s="338"/>
      <c r="R212" s="388"/>
      <c r="S212" s="388"/>
      <c r="T212" s="339"/>
    </row>
    <row r="213" spans="1:20" x14ac:dyDescent="0.2">
      <c r="A213" s="454" t="s">
        <v>853</v>
      </c>
      <c r="B213" s="925" t="s">
        <v>1101</v>
      </c>
      <c r="C213" s="926" t="s">
        <v>654</v>
      </c>
      <c r="D213" s="677">
        <v>4</v>
      </c>
      <c r="E213" s="677">
        <v>400</v>
      </c>
      <c r="F213" s="678">
        <v>1600</v>
      </c>
      <c r="G213" s="449">
        <v>0</v>
      </c>
      <c r="H213" s="459">
        <f t="shared" si="77"/>
        <v>0</v>
      </c>
      <c r="I213" s="470">
        <v>0</v>
      </c>
      <c r="J213" s="459">
        <f t="shared" si="78"/>
        <v>0</v>
      </c>
      <c r="K213" s="470">
        <f t="shared" si="79"/>
        <v>0</v>
      </c>
      <c r="L213" s="471">
        <f t="shared" si="80"/>
        <v>0</v>
      </c>
      <c r="M213" s="459">
        <f t="shared" si="81"/>
        <v>0</v>
      </c>
      <c r="N213" s="470">
        <f t="shared" si="82"/>
        <v>4</v>
      </c>
      <c r="O213" s="459">
        <f t="shared" si="83"/>
        <v>1600</v>
      </c>
      <c r="P213" s="339"/>
      <c r="Q213" s="338"/>
      <c r="R213" s="388"/>
      <c r="S213" s="388"/>
      <c r="T213" s="339"/>
    </row>
    <row r="214" spans="1:20" x14ac:dyDescent="0.2">
      <c r="A214" s="454" t="s">
        <v>854</v>
      </c>
      <c r="B214" s="925" t="s">
        <v>1102</v>
      </c>
      <c r="C214" s="926" t="s">
        <v>654</v>
      </c>
      <c r="D214" s="677">
        <v>50</v>
      </c>
      <c r="E214" s="677">
        <v>402</v>
      </c>
      <c r="F214" s="678">
        <v>20100</v>
      </c>
      <c r="G214" s="449">
        <v>0</v>
      </c>
      <c r="H214" s="459">
        <f t="shared" si="77"/>
        <v>0</v>
      </c>
      <c r="I214" s="470">
        <v>0</v>
      </c>
      <c r="J214" s="459">
        <f t="shared" si="78"/>
        <v>0</v>
      </c>
      <c r="K214" s="470">
        <f t="shared" si="79"/>
        <v>0</v>
      </c>
      <c r="L214" s="471">
        <f t="shared" si="80"/>
        <v>0</v>
      </c>
      <c r="M214" s="459">
        <f t="shared" si="81"/>
        <v>0</v>
      </c>
      <c r="N214" s="470">
        <f t="shared" si="82"/>
        <v>50</v>
      </c>
      <c r="O214" s="459">
        <f t="shared" si="83"/>
        <v>20100</v>
      </c>
      <c r="P214" s="339"/>
      <c r="Q214" s="338"/>
      <c r="R214" s="388"/>
      <c r="S214" s="388"/>
      <c r="T214" s="339"/>
    </row>
    <row r="215" spans="1:20" x14ac:dyDescent="0.2">
      <c r="A215" s="454" t="s">
        <v>855</v>
      </c>
      <c r="B215" s="925" t="s">
        <v>1103</v>
      </c>
      <c r="C215" s="926" t="s">
        <v>654</v>
      </c>
      <c r="D215" s="677">
        <v>15</v>
      </c>
      <c r="E215" s="677">
        <v>453.33330000000001</v>
      </c>
      <c r="F215" s="678">
        <v>6799.9994999999999</v>
      </c>
      <c r="G215" s="449">
        <v>0</v>
      </c>
      <c r="H215" s="459">
        <f t="shared" si="77"/>
        <v>0</v>
      </c>
      <c r="I215" s="470">
        <v>0</v>
      </c>
      <c r="J215" s="459">
        <f t="shared" si="78"/>
        <v>0</v>
      </c>
      <c r="K215" s="470">
        <f t="shared" si="79"/>
        <v>0</v>
      </c>
      <c r="L215" s="471">
        <f t="shared" si="80"/>
        <v>0</v>
      </c>
      <c r="M215" s="459">
        <f t="shared" si="81"/>
        <v>0</v>
      </c>
      <c r="N215" s="470">
        <f t="shared" si="82"/>
        <v>15</v>
      </c>
      <c r="O215" s="459">
        <f t="shared" si="83"/>
        <v>6799.9994999999999</v>
      </c>
      <c r="P215" s="339"/>
      <c r="Q215" s="338"/>
      <c r="R215" s="388"/>
      <c r="S215" s="388"/>
      <c r="T215" s="339"/>
    </row>
    <row r="216" spans="1:20" x14ac:dyDescent="0.2">
      <c r="A216" s="454" t="s">
        <v>856</v>
      </c>
      <c r="B216" s="925" t="s">
        <v>1104</v>
      </c>
      <c r="C216" s="926" t="s">
        <v>654</v>
      </c>
      <c r="D216" s="677">
        <v>15</v>
      </c>
      <c r="E216" s="677">
        <v>1320</v>
      </c>
      <c r="F216" s="678">
        <v>19800</v>
      </c>
      <c r="G216" s="449">
        <v>0</v>
      </c>
      <c r="H216" s="459">
        <f t="shared" si="77"/>
        <v>0</v>
      </c>
      <c r="I216" s="470">
        <v>0</v>
      </c>
      <c r="J216" s="459">
        <f t="shared" si="78"/>
        <v>0</v>
      </c>
      <c r="K216" s="470">
        <f t="shared" si="79"/>
        <v>0</v>
      </c>
      <c r="L216" s="471">
        <f t="shared" si="80"/>
        <v>0</v>
      </c>
      <c r="M216" s="459">
        <f t="shared" si="81"/>
        <v>0</v>
      </c>
      <c r="N216" s="470">
        <f t="shared" si="82"/>
        <v>15</v>
      </c>
      <c r="O216" s="459">
        <f t="shared" si="83"/>
        <v>19800</v>
      </c>
      <c r="P216" s="339"/>
      <c r="Q216" s="338"/>
      <c r="R216" s="388"/>
      <c r="S216" s="388"/>
      <c r="T216" s="339"/>
    </row>
    <row r="217" spans="1:20" x14ac:dyDescent="0.2">
      <c r="A217" s="454" t="s">
        <v>857</v>
      </c>
      <c r="B217" s="925" t="s">
        <v>1105</v>
      </c>
      <c r="C217" s="926" t="s">
        <v>654</v>
      </c>
      <c r="D217" s="677">
        <v>4</v>
      </c>
      <c r="E217" s="677">
        <v>355.68</v>
      </c>
      <c r="F217" s="678">
        <v>1422.72</v>
      </c>
      <c r="G217" s="449">
        <v>0</v>
      </c>
      <c r="H217" s="459">
        <f t="shared" si="77"/>
        <v>0</v>
      </c>
      <c r="I217" s="470">
        <v>0</v>
      </c>
      <c r="J217" s="459">
        <f t="shared" si="78"/>
        <v>0</v>
      </c>
      <c r="K217" s="470">
        <f t="shared" si="79"/>
        <v>0</v>
      </c>
      <c r="L217" s="471">
        <f t="shared" si="80"/>
        <v>0</v>
      </c>
      <c r="M217" s="459">
        <f t="shared" si="81"/>
        <v>0</v>
      </c>
      <c r="N217" s="470">
        <f t="shared" si="82"/>
        <v>4</v>
      </c>
      <c r="O217" s="459">
        <f t="shared" si="83"/>
        <v>1422.72</v>
      </c>
      <c r="P217" s="339"/>
      <c r="Q217" s="338"/>
      <c r="R217" s="388"/>
      <c r="S217" s="388"/>
      <c r="T217" s="339"/>
    </row>
    <row r="218" spans="1:20" x14ac:dyDescent="0.2">
      <c r="A218" s="454" t="s">
        <v>858</v>
      </c>
      <c r="B218" s="925" t="s">
        <v>1106</v>
      </c>
      <c r="C218" s="926" t="s">
        <v>654</v>
      </c>
      <c r="D218" s="677">
        <v>12</v>
      </c>
      <c r="E218" s="677">
        <v>1600</v>
      </c>
      <c r="F218" s="678">
        <v>19200</v>
      </c>
      <c r="G218" s="449">
        <v>0</v>
      </c>
      <c r="H218" s="459">
        <f t="shared" si="77"/>
        <v>0</v>
      </c>
      <c r="I218" s="470">
        <v>0</v>
      </c>
      <c r="J218" s="459">
        <f t="shared" si="78"/>
        <v>0</v>
      </c>
      <c r="K218" s="470">
        <f t="shared" si="79"/>
        <v>0</v>
      </c>
      <c r="L218" s="471">
        <f t="shared" si="80"/>
        <v>0</v>
      </c>
      <c r="M218" s="459">
        <f t="shared" si="81"/>
        <v>0</v>
      </c>
      <c r="N218" s="470">
        <f t="shared" si="82"/>
        <v>12</v>
      </c>
      <c r="O218" s="459">
        <f t="shared" si="83"/>
        <v>19200</v>
      </c>
      <c r="P218" s="339"/>
      <c r="Q218" s="338"/>
      <c r="R218" s="388"/>
      <c r="S218" s="388"/>
      <c r="T218" s="339"/>
    </row>
    <row r="219" spans="1:20" x14ac:dyDescent="0.2">
      <c r="A219" s="454" t="s">
        <v>859</v>
      </c>
      <c r="B219" s="925" t="s">
        <v>1107</v>
      </c>
      <c r="C219" s="926" t="s">
        <v>654</v>
      </c>
      <c r="D219" s="677">
        <v>4</v>
      </c>
      <c r="E219" s="677">
        <v>100</v>
      </c>
      <c r="F219" s="678">
        <v>400</v>
      </c>
      <c r="G219" s="449">
        <v>0</v>
      </c>
      <c r="H219" s="459">
        <f t="shared" si="77"/>
        <v>0</v>
      </c>
      <c r="I219" s="470">
        <v>0</v>
      </c>
      <c r="J219" s="459">
        <f t="shared" si="78"/>
        <v>0</v>
      </c>
      <c r="K219" s="470">
        <f t="shared" si="79"/>
        <v>0</v>
      </c>
      <c r="L219" s="471">
        <f t="shared" si="80"/>
        <v>0</v>
      </c>
      <c r="M219" s="459">
        <f t="shared" si="81"/>
        <v>0</v>
      </c>
      <c r="N219" s="470">
        <f t="shared" si="82"/>
        <v>4</v>
      </c>
      <c r="O219" s="459">
        <f t="shared" si="83"/>
        <v>400</v>
      </c>
      <c r="P219" s="339"/>
      <c r="Q219" s="338"/>
      <c r="R219" s="388"/>
      <c r="S219" s="388"/>
      <c r="T219" s="339"/>
    </row>
    <row r="220" spans="1:20" x14ac:dyDescent="0.2">
      <c r="A220" s="454" t="s">
        <v>860</v>
      </c>
      <c r="B220" s="925" t="s">
        <v>1108</v>
      </c>
      <c r="C220" s="926" t="s">
        <v>654</v>
      </c>
      <c r="D220" s="677">
        <v>6</v>
      </c>
      <c r="E220" s="677">
        <v>4500</v>
      </c>
      <c r="F220" s="678">
        <v>27000</v>
      </c>
      <c r="G220" s="449">
        <v>0</v>
      </c>
      <c r="H220" s="459">
        <f t="shared" si="77"/>
        <v>0</v>
      </c>
      <c r="I220" s="470">
        <v>0</v>
      </c>
      <c r="J220" s="459">
        <f t="shared" si="78"/>
        <v>0</v>
      </c>
      <c r="K220" s="470">
        <f t="shared" si="79"/>
        <v>0</v>
      </c>
      <c r="L220" s="471">
        <f t="shared" si="80"/>
        <v>0</v>
      </c>
      <c r="M220" s="459">
        <f t="shared" si="81"/>
        <v>0</v>
      </c>
      <c r="N220" s="470">
        <f t="shared" si="82"/>
        <v>6</v>
      </c>
      <c r="O220" s="459">
        <f t="shared" si="83"/>
        <v>27000</v>
      </c>
      <c r="P220" s="339"/>
      <c r="Q220" s="338"/>
      <c r="R220" s="388"/>
      <c r="S220" s="388"/>
      <c r="T220" s="339"/>
    </row>
    <row r="221" spans="1:20" x14ac:dyDescent="0.2">
      <c r="A221" s="454" t="s">
        <v>861</v>
      </c>
      <c r="B221" s="925" t="s">
        <v>1109</v>
      </c>
      <c r="C221" s="926" t="s">
        <v>654</v>
      </c>
      <c r="D221" s="677">
        <v>8</v>
      </c>
      <c r="E221" s="677">
        <v>250</v>
      </c>
      <c r="F221" s="678">
        <v>2000</v>
      </c>
      <c r="G221" s="449">
        <v>0</v>
      </c>
      <c r="H221" s="459">
        <f t="shared" si="77"/>
        <v>0</v>
      </c>
      <c r="I221" s="470">
        <v>0</v>
      </c>
      <c r="J221" s="459">
        <f t="shared" si="78"/>
        <v>0</v>
      </c>
      <c r="K221" s="470">
        <f t="shared" si="79"/>
        <v>0</v>
      </c>
      <c r="L221" s="471">
        <f t="shared" si="80"/>
        <v>0</v>
      </c>
      <c r="M221" s="459">
        <f t="shared" si="81"/>
        <v>0</v>
      </c>
      <c r="N221" s="470">
        <f t="shared" si="82"/>
        <v>8</v>
      </c>
      <c r="O221" s="459">
        <f t="shared" si="83"/>
        <v>2000</v>
      </c>
      <c r="P221" s="339"/>
      <c r="Q221" s="338"/>
      <c r="R221" s="388"/>
      <c r="S221" s="388"/>
      <c r="T221" s="339"/>
    </row>
    <row r="222" spans="1:20" x14ac:dyDescent="0.2">
      <c r="A222" s="454" t="s">
        <v>862</v>
      </c>
      <c r="B222" s="925" t="s">
        <v>1110</v>
      </c>
      <c r="C222" s="926" t="s">
        <v>654</v>
      </c>
      <c r="D222" s="677">
        <v>50</v>
      </c>
      <c r="E222" s="677">
        <v>541.79999999999995</v>
      </c>
      <c r="F222" s="678">
        <v>27089.999999999996</v>
      </c>
      <c r="G222" s="449">
        <v>0</v>
      </c>
      <c r="H222" s="459">
        <f t="shared" si="77"/>
        <v>0</v>
      </c>
      <c r="I222" s="470">
        <v>0</v>
      </c>
      <c r="J222" s="459">
        <f t="shared" si="78"/>
        <v>0</v>
      </c>
      <c r="K222" s="470">
        <f t="shared" si="79"/>
        <v>0</v>
      </c>
      <c r="L222" s="471">
        <f t="shared" si="80"/>
        <v>0</v>
      </c>
      <c r="M222" s="459">
        <f t="shared" si="81"/>
        <v>0</v>
      </c>
      <c r="N222" s="470">
        <f t="shared" si="82"/>
        <v>50</v>
      </c>
      <c r="O222" s="459">
        <f t="shared" si="83"/>
        <v>27089.999999999996</v>
      </c>
      <c r="P222" s="339"/>
      <c r="Q222" s="338"/>
      <c r="R222" s="388"/>
      <c r="S222" s="388"/>
      <c r="T222" s="339"/>
    </row>
    <row r="223" spans="1:20" x14ac:dyDescent="0.2">
      <c r="A223" s="454" t="s">
        <v>863</v>
      </c>
      <c r="B223" s="925" t="s">
        <v>1111</v>
      </c>
      <c r="C223" s="926" t="s">
        <v>654</v>
      </c>
      <c r="D223" s="677">
        <v>40</v>
      </c>
      <c r="E223" s="677">
        <v>74.099999999999994</v>
      </c>
      <c r="F223" s="678">
        <v>2964</v>
      </c>
      <c r="G223" s="449">
        <v>0</v>
      </c>
      <c r="H223" s="459">
        <f t="shared" si="77"/>
        <v>0</v>
      </c>
      <c r="I223" s="470">
        <v>0</v>
      </c>
      <c r="J223" s="459">
        <f t="shared" si="78"/>
        <v>0</v>
      </c>
      <c r="K223" s="470">
        <f t="shared" si="79"/>
        <v>0</v>
      </c>
      <c r="L223" s="471">
        <f t="shared" si="80"/>
        <v>0</v>
      </c>
      <c r="M223" s="459">
        <f t="shared" si="81"/>
        <v>0</v>
      </c>
      <c r="N223" s="470">
        <f t="shared" si="82"/>
        <v>40</v>
      </c>
      <c r="O223" s="459">
        <f t="shared" si="83"/>
        <v>2964</v>
      </c>
      <c r="P223" s="339"/>
      <c r="Q223" s="338"/>
      <c r="R223" s="388"/>
      <c r="S223" s="388"/>
      <c r="T223" s="339"/>
    </row>
    <row r="224" spans="1:20" x14ac:dyDescent="0.2">
      <c r="A224" s="454" t="s">
        <v>864</v>
      </c>
      <c r="B224" s="925" t="s">
        <v>1112</v>
      </c>
      <c r="C224" s="926" t="s">
        <v>654</v>
      </c>
      <c r="D224" s="677">
        <v>10</v>
      </c>
      <c r="E224" s="677">
        <v>330</v>
      </c>
      <c r="F224" s="678">
        <v>3300</v>
      </c>
      <c r="G224" s="449">
        <v>0</v>
      </c>
      <c r="H224" s="459">
        <f t="shared" si="77"/>
        <v>0</v>
      </c>
      <c r="I224" s="470">
        <v>0</v>
      </c>
      <c r="J224" s="459">
        <f t="shared" si="78"/>
        <v>0</v>
      </c>
      <c r="K224" s="470">
        <f t="shared" si="79"/>
        <v>0</v>
      </c>
      <c r="L224" s="471">
        <f t="shared" si="80"/>
        <v>0</v>
      </c>
      <c r="M224" s="459">
        <f t="shared" si="81"/>
        <v>0</v>
      </c>
      <c r="N224" s="470">
        <f t="shared" si="82"/>
        <v>10</v>
      </c>
      <c r="O224" s="459">
        <f t="shared" si="83"/>
        <v>3300</v>
      </c>
      <c r="P224" s="339"/>
      <c r="Q224" s="338"/>
      <c r="R224" s="388"/>
      <c r="S224" s="388"/>
      <c r="T224" s="339"/>
    </row>
    <row r="225" spans="1:20" x14ac:dyDescent="0.2">
      <c r="A225" s="454" t="s">
        <v>865</v>
      </c>
      <c r="B225" s="925" t="s">
        <v>1113</v>
      </c>
      <c r="C225" s="926" t="s">
        <v>654</v>
      </c>
      <c r="D225" s="677">
        <v>20</v>
      </c>
      <c r="E225" s="677">
        <v>514.3125</v>
      </c>
      <c r="F225" s="678">
        <v>10286.25</v>
      </c>
      <c r="G225" s="449">
        <v>0</v>
      </c>
      <c r="H225" s="459">
        <f t="shared" si="77"/>
        <v>0</v>
      </c>
      <c r="I225" s="470">
        <v>0</v>
      </c>
      <c r="J225" s="459">
        <f t="shared" si="78"/>
        <v>0</v>
      </c>
      <c r="K225" s="470">
        <f t="shared" si="79"/>
        <v>0</v>
      </c>
      <c r="L225" s="471">
        <f t="shared" si="80"/>
        <v>0</v>
      </c>
      <c r="M225" s="459">
        <f t="shared" si="81"/>
        <v>0</v>
      </c>
      <c r="N225" s="470">
        <f t="shared" si="82"/>
        <v>20</v>
      </c>
      <c r="O225" s="459">
        <f t="shared" si="83"/>
        <v>10286.25</v>
      </c>
      <c r="P225" s="339"/>
      <c r="Q225" s="338"/>
      <c r="R225" s="388"/>
      <c r="S225" s="388"/>
      <c r="T225" s="339"/>
    </row>
    <row r="226" spans="1:20" x14ac:dyDescent="0.2">
      <c r="A226" s="454" t="s">
        <v>866</v>
      </c>
      <c r="B226" s="925" t="s">
        <v>1114</v>
      </c>
      <c r="C226" s="926" t="s">
        <v>654</v>
      </c>
      <c r="D226" s="677">
        <v>4</v>
      </c>
      <c r="E226" s="677">
        <v>875</v>
      </c>
      <c r="F226" s="678">
        <v>3500</v>
      </c>
      <c r="G226" s="449">
        <v>0</v>
      </c>
      <c r="H226" s="459">
        <f t="shared" si="77"/>
        <v>0</v>
      </c>
      <c r="I226" s="470">
        <v>0</v>
      </c>
      <c r="J226" s="459">
        <f t="shared" si="78"/>
        <v>0</v>
      </c>
      <c r="K226" s="470">
        <f t="shared" si="79"/>
        <v>0</v>
      </c>
      <c r="L226" s="471">
        <f t="shared" si="80"/>
        <v>0</v>
      </c>
      <c r="M226" s="459">
        <f t="shared" si="81"/>
        <v>0</v>
      </c>
      <c r="N226" s="470">
        <f t="shared" si="82"/>
        <v>4</v>
      </c>
      <c r="O226" s="459">
        <f t="shared" si="83"/>
        <v>3500</v>
      </c>
      <c r="P226" s="339"/>
      <c r="Q226" s="338"/>
      <c r="R226" s="388"/>
      <c r="S226" s="388"/>
      <c r="T226" s="339"/>
    </row>
    <row r="227" spans="1:20" s="933" customFormat="1" x14ac:dyDescent="0.2">
      <c r="A227" s="919" t="s">
        <v>867</v>
      </c>
      <c r="B227" s="927" t="s">
        <v>868</v>
      </c>
      <c r="C227" s="928"/>
      <c r="D227" s="920"/>
      <c r="E227" s="920"/>
      <c r="F227" s="921"/>
      <c r="G227" s="929"/>
      <c r="H227" s="923"/>
      <c r="I227" s="922"/>
      <c r="J227" s="923"/>
      <c r="K227" s="922"/>
      <c r="L227" s="924"/>
      <c r="M227" s="923"/>
      <c r="N227" s="922"/>
      <c r="O227" s="923"/>
      <c r="P227" s="930"/>
      <c r="Q227" s="931"/>
      <c r="R227" s="932"/>
      <c r="S227" s="932"/>
      <c r="T227" s="930"/>
    </row>
    <row r="228" spans="1:20" x14ac:dyDescent="0.2">
      <c r="A228" s="454" t="s">
        <v>869</v>
      </c>
      <c r="B228" s="925" t="s">
        <v>1115</v>
      </c>
      <c r="C228" s="926" t="s">
        <v>654</v>
      </c>
      <c r="D228" s="677">
        <v>3</v>
      </c>
      <c r="E228" s="677">
        <v>51866.666660000003</v>
      </c>
      <c r="F228" s="678">
        <v>155599.99998000002</v>
      </c>
      <c r="G228" s="449">
        <v>0</v>
      </c>
      <c r="H228" s="459">
        <f t="shared" ref="H228:H236" si="84">+G228*E228</f>
        <v>0</v>
      </c>
      <c r="I228" s="470">
        <v>0</v>
      </c>
      <c r="J228" s="459">
        <f t="shared" ref="J228:J236" si="85">+I228*E228</f>
        <v>0</v>
      </c>
      <c r="K228" s="470">
        <f t="shared" ref="K228:K236" si="86">+G228+I228</f>
        <v>0</v>
      </c>
      <c r="L228" s="471">
        <f t="shared" ref="L228:L236" si="87">+K228*E228</f>
        <v>0</v>
      </c>
      <c r="M228" s="459">
        <f t="shared" ref="M228:M236" si="88">+K228*100/D228</f>
        <v>0</v>
      </c>
      <c r="N228" s="470">
        <f t="shared" ref="N228:N236" si="89">+D228-K228</f>
        <v>3</v>
      </c>
      <c r="O228" s="459">
        <f t="shared" ref="O228:O236" si="90">+F228-L228</f>
        <v>155599.99998000002</v>
      </c>
      <c r="P228" s="339"/>
      <c r="Q228" s="338"/>
      <c r="R228" s="388"/>
      <c r="S228" s="388"/>
      <c r="T228" s="339"/>
    </row>
    <row r="229" spans="1:20" x14ac:dyDescent="0.2">
      <c r="A229" s="454" t="s">
        <v>870</v>
      </c>
      <c r="B229" s="925" t="s">
        <v>1116</v>
      </c>
      <c r="C229" s="926" t="s">
        <v>654</v>
      </c>
      <c r="D229" s="677">
        <v>22</v>
      </c>
      <c r="E229" s="677">
        <v>300</v>
      </c>
      <c r="F229" s="678">
        <v>6600</v>
      </c>
      <c r="G229" s="449">
        <v>0</v>
      </c>
      <c r="H229" s="459">
        <f t="shared" si="84"/>
        <v>0</v>
      </c>
      <c r="I229" s="470">
        <v>0</v>
      </c>
      <c r="J229" s="459">
        <f t="shared" si="85"/>
        <v>0</v>
      </c>
      <c r="K229" s="470">
        <f t="shared" si="86"/>
        <v>0</v>
      </c>
      <c r="L229" s="471">
        <f t="shared" si="87"/>
        <v>0</v>
      </c>
      <c r="M229" s="459">
        <f t="shared" si="88"/>
        <v>0</v>
      </c>
      <c r="N229" s="470">
        <f t="shared" si="89"/>
        <v>22</v>
      </c>
      <c r="O229" s="459">
        <f t="shared" si="90"/>
        <v>6600</v>
      </c>
      <c r="P229" s="339"/>
      <c r="Q229" s="338"/>
      <c r="R229" s="388"/>
      <c r="S229" s="388"/>
      <c r="T229" s="339"/>
    </row>
    <row r="230" spans="1:20" x14ac:dyDescent="0.2">
      <c r="A230" s="454" t="s">
        <v>871</v>
      </c>
      <c r="B230" s="925" t="s">
        <v>1117</v>
      </c>
      <c r="C230" s="926" t="s">
        <v>654</v>
      </c>
      <c r="D230" s="677">
        <v>22</v>
      </c>
      <c r="E230" s="677">
        <v>70</v>
      </c>
      <c r="F230" s="678">
        <v>1540</v>
      </c>
      <c r="G230" s="449">
        <v>0</v>
      </c>
      <c r="H230" s="459">
        <f t="shared" si="84"/>
        <v>0</v>
      </c>
      <c r="I230" s="470">
        <v>0</v>
      </c>
      <c r="J230" s="459">
        <f t="shared" si="85"/>
        <v>0</v>
      </c>
      <c r="K230" s="470">
        <f t="shared" si="86"/>
        <v>0</v>
      </c>
      <c r="L230" s="471">
        <f t="shared" si="87"/>
        <v>0</v>
      </c>
      <c r="M230" s="459">
        <f t="shared" si="88"/>
        <v>0</v>
      </c>
      <c r="N230" s="470">
        <f t="shared" si="89"/>
        <v>22</v>
      </c>
      <c r="O230" s="459">
        <f t="shared" si="90"/>
        <v>1540</v>
      </c>
      <c r="P230" s="339"/>
      <c r="Q230" s="338"/>
      <c r="R230" s="388"/>
      <c r="S230" s="388"/>
      <c r="T230" s="339"/>
    </row>
    <row r="231" spans="1:20" x14ac:dyDescent="0.2">
      <c r="A231" s="454" t="s">
        <v>872</v>
      </c>
      <c r="B231" s="925" t="s">
        <v>1118</v>
      </c>
      <c r="C231" s="926" t="s">
        <v>654</v>
      </c>
      <c r="D231" s="677">
        <v>18</v>
      </c>
      <c r="E231" s="677">
        <v>620</v>
      </c>
      <c r="F231" s="678">
        <v>11160</v>
      </c>
      <c r="G231" s="449">
        <v>0</v>
      </c>
      <c r="H231" s="459">
        <f t="shared" si="84"/>
        <v>0</v>
      </c>
      <c r="I231" s="470">
        <v>0</v>
      </c>
      <c r="J231" s="459">
        <f t="shared" si="85"/>
        <v>0</v>
      </c>
      <c r="K231" s="470">
        <f t="shared" si="86"/>
        <v>0</v>
      </c>
      <c r="L231" s="471">
        <f t="shared" si="87"/>
        <v>0</v>
      </c>
      <c r="M231" s="459">
        <f t="shared" si="88"/>
        <v>0</v>
      </c>
      <c r="N231" s="470">
        <f t="shared" si="89"/>
        <v>18</v>
      </c>
      <c r="O231" s="459">
        <f t="shared" si="90"/>
        <v>11160</v>
      </c>
      <c r="P231" s="339"/>
      <c r="Q231" s="338"/>
      <c r="R231" s="388"/>
      <c r="S231" s="388"/>
      <c r="T231" s="339"/>
    </row>
    <row r="232" spans="1:20" x14ac:dyDescent="0.2">
      <c r="A232" s="454" t="s">
        <v>873</v>
      </c>
      <c r="B232" s="925" t="s">
        <v>1119</v>
      </c>
      <c r="C232" s="926" t="s">
        <v>654</v>
      </c>
      <c r="D232" s="677">
        <v>1</v>
      </c>
      <c r="E232" s="677">
        <v>3000</v>
      </c>
      <c r="F232" s="678">
        <v>3000</v>
      </c>
      <c r="G232" s="449">
        <v>0</v>
      </c>
      <c r="H232" s="459">
        <f t="shared" si="84"/>
        <v>0</v>
      </c>
      <c r="I232" s="470">
        <v>0</v>
      </c>
      <c r="J232" s="459">
        <f t="shared" si="85"/>
        <v>0</v>
      </c>
      <c r="K232" s="470">
        <f t="shared" si="86"/>
        <v>0</v>
      </c>
      <c r="L232" s="471">
        <f t="shared" si="87"/>
        <v>0</v>
      </c>
      <c r="M232" s="459">
        <f t="shared" si="88"/>
        <v>0</v>
      </c>
      <c r="N232" s="470">
        <f t="shared" si="89"/>
        <v>1</v>
      </c>
      <c r="O232" s="459">
        <f t="shared" si="90"/>
        <v>3000</v>
      </c>
      <c r="P232" s="339"/>
      <c r="Q232" s="338"/>
      <c r="R232" s="388"/>
      <c r="S232" s="388"/>
      <c r="T232" s="339"/>
    </row>
    <row r="233" spans="1:20" x14ac:dyDescent="0.2">
      <c r="A233" s="454" t="s">
        <v>874</v>
      </c>
      <c r="B233" s="925" t="s">
        <v>1120</v>
      </c>
      <c r="C233" s="926" t="s">
        <v>654</v>
      </c>
      <c r="D233" s="677">
        <v>40</v>
      </c>
      <c r="E233" s="677">
        <v>470</v>
      </c>
      <c r="F233" s="678">
        <v>18800</v>
      </c>
      <c r="G233" s="449">
        <v>0</v>
      </c>
      <c r="H233" s="459">
        <f t="shared" si="84"/>
        <v>0</v>
      </c>
      <c r="I233" s="470">
        <v>0</v>
      </c>
      <c r="J233" s="459">
        <f t="shared" si="85"/>
        <v>0</v>
      </c>
      <c r="K233" s="470">
        <f t="shared" si="86"/>
        <v>0</v>
      </c>
      <c r="L233" s="471">
        <f t="shared" si="87"/>
        <v>0</v>
      </c>
      <c r="M233" s="459">
        <f t="shared" si="88"/>
        <v>0</v>
      </c>
      <c r="N233" s="470">
        <f t="shared" si="89"/>
        <v>40</v>
      </c>
      <c r="O233" s="459">
        <f t="shared" si="90"/>
        <v>18800</v>
      </c>
      <c r="P233" s="339"/>
      <c r="Q233" s="338"/>
      <c r="R233" s="388"/>
      <c r="S233" s="388"/>
      <c r="T233" s="339"/>
    </row>
    <row r="234" spans="1:20" x14ac:dyDescent="0.2">
      <c r="A234" s="454" t="s">
        <v>875</v>
      </c>
      <c r="B234" s="925" t="s">
        <v>1121</v>
      </c>
      <c r="C234" s="926" t="s">
        <v>654</v>
      </c>
      <c r="D234" s="677">
        <v>5</v>
      </c>
      <c r="E234" s="677">
        <v>3000</v>
      </c>
      <c r="F234" s="678">
        <v>15000</v>
      </c>
      <c r="G234" s="449">
        <v>0</v>
      </c>
      <c r="H234" s="459">
        <f t="shared" si="84"/>
        <v>0</v>
      </c>
      <c r="I234" s="470">
        <v>0</v>
      </c>
      <c r="J234" s="459">
        <f t="shared" si="85"/>
        <v>0</v>
      </c>
      <c r="K234" s="470">
        <f t="shared" si="86"/>
        <v>0</v>
      </c>
      <c r="L234" s="471">
        <f t="shared" si="87"/>
        <v>0</v>
      </c>
      <c r="M234" s="459">
        <f t="shared" si="88"/>
        <v>0</v>
      </c>
      <c r="N234" s="470">
        <f t="shared" si="89"/>
        <v>5</v>
      </c>
      <c r="O234" s="459">
        <f t="shared" si="90"/>
        <v>15000</v>
      </c>
      <c r="P234" s="339"/>
      <c r="Q234" s="338"/>
      <c r="R234" s="388"/>
      <c r="S234" s="388"/>
      <c r="T234" s="339"/>
    </row>
    <row r="235" spans="1:20" x14ac:dyDescent="0.2">
      <c r="A235" s="454" t="s">
        <v>876</v>
      </c>
      <c r="B235" s="925" t="s">
        <v>1122</v>
      </c>
      <c r="C235" s="926" t="s">
        <v>654</v>
      </c>
      <c r="D235" s="677">
        <v>3</v>
      </c>
      <c r="E235" s="677">
        <v>700</v>
      </c>
      <c r="F235" s="678">
        <v>2100</v>
      </c>
      <c r="G235" s="449">
        <v>0</v>
      </c>
      <c r="H235" s="459">
        <f t="shared" si="84"/>
        <v>0</v>
      </c>
      <c r="I235" s="470">
        <v>0</v>
      </c>
      <c r="J235" s="459">
        <f t="shared" si="85"/>
        <v>0</v>
      </c>
      <c r="K235" s="470">
        <f t="shared" si="86"/>
        <v>0</v>
      </c>
      <c r="L235" s="471">
        <f t="shared" si="87"/>
        <v>0</v>
      </c>
      <c r="M235" s="459">
        <f t="shared" si="88"/>
        <v>0</v>
      </c>
      <c r="N235" s="470">
        <f t="shared" si="89"/>
        <v>3</v>
      </c>
      <c r="O235" s="459">
        <f t="shared" si="90"/>
        <v>2100</v>
      </c>
      <c r="P235" s="339"/>
      <c r="Q235" s="338"/>
      <c r="R235" s="388"/>
      <c r="S235" s="388"/>
      <c r="T235" s="339"/>
    </row>
    <row r="236" spans="1:20" x14ac:dyDescent="0.2">
      <c r="A236" s="454" t="s">
        <v>877</v>
      </c>
      <c r="B236" s="925" t="s">
        <v>1123</v>
      </c>
      <c r="C236" s="926" t="s">
        <v>654</v>
      </c>
      <c r="D236" s="677">
        <v>4</v>
      </c>
      <c r="E236" s="677">
        <v>3500</v>
      </c>
      <c r="F236" s="678">
        <v>14000</v>
      </c>
      <c r="G236" s="449">
        <v>0</v>
      </c>
      <c r="H236" s="459">
        <f t="shared" si="84"/>
        <v>0</v>
      </c>
      <c r="I236" s="470">
        <v>0</v>
      </c>
      <c r="J236" s="459">
        <f t="shared" si="85"/>
        <v>0</v>
      </c>
      <c r="K236" s="470">
        <f t="shared" si="86"/>
        <v>0</v>
      </c>
      <c r="L236" s="471">
        <f t="shared" si="87"/>
        <v>0</v>
      </c>
      <c r="M236" s="459">
        <f t="shared" si="88"/>
        <v>0</v>
      </c>
      <c r="N236" s="470">
        <f t="shared" si="89"/>
        <v>4</v>
      </c>
      <c r="O236" s="459">
        <f t="shared" si="90"/>
        <v>14000</v>
      </c>
      <c r="P236" s="339"/>
      <c r="Q236" s="338"/>
      <c r="R236" s="388"/>
      <c r="S236" s="388"/>
      <c r="T236" s="339"/>
    </row>
    <row r="237" spans="1:20" x14ac:dyDescent="0.2">
      <c r="A237" s="454" t="s">
        <v>878</v>
      </c>
      <c r="B237" s="925" t="s">
        <v>1124</v>
      </c>
      <c r="C237" s="926" t="s">
        <v>654</v>
      </c>
      <c r="D237" s="677">
        <v>8</v>
      </c>
      <c r="E237" s="677">
        <v>3338.5</v>
      </c>
      <c r="F237" s="678">
        <v>26708</v>
      </c>
      <c r="G237" s="449">
        <v>0</v>
      </c>
      <c r="H237" s="459">
        <f t="shared" ref="H237:H268" si="91">+G237*E237</f>
        <v>0</v>
      </c>
      <c r="I237" s="470">
        <v>0</v>
      </c>
      <c r="J237" s="459">
        <f t="shared" ref="J237:J268" si="92">+I237*E237</f>
        <v>0</v>
      </c>
      <c r="K237" s="470">
        <f t="shared" ref="K237:K268" si="93">+G237+I237</f>
        <v>0</v>
      </c>
      <c r="L237" s="471">
        <f t="shared" ref="L237:L268" si="94">+K237*E237</f>
        <v>0</v>
      </c>
      <c r="M237" s="459">
        <f t="shared" ref="M237:M268" si="95">+K237*100/D237</f>
        <v>0</v>
      </c>
      <c r="N237" s="470">
        <f t="shared" ref="N237:N268" si="96">+D237-K237</f>
        <v>8</v>
      </c>
      <c r="O237" s="459">
        <f t="shared" ref="O237:O268" si="97">+F237-L237</f>
        <v>26708</v>
      </c>
      <c r="P237" s="339"/>
      <c r="Q237" s="338"/>
      <c r="R237" s="388"/>
      <c r="S237" s="388"/>
      <c r="T237" s="339"/>
    </row>
    <row r="238" spans="1:20" x14ac:dyDescent="0.2">
      <c r="A238" s="454" t="s">
        <v>879</v>
      </c>
      <c r="B238" s="925" t="s">
        <v>1125</v>
      </c>
      <c r="C238" s="926" t="s">
        <v>654</v>
      </c>
      <c r="D238" s="677">
        <v>50</v>
      </c>
      <c r="E238" s="677">
        <v>664.21680000000003</v>
      </c>
      <c r="F238" s="678">
        <v>33210.840000000004</v>
      </c>
      <c r="G238" s="449">
        <v>0</v>
      </c>
      <c r="H238" s="459">
        <f t="shared" si="91"/>
        <v>0</v>
      </c>
      <c r="I238" s="470">
        <v>0</v>
      </c>
      <c r="J238" s="459">
        <f t="shared" si="92"/>
        <v>0</v>
      </c>
      <c r="K238" s="470">
        <f t="shared" si="93"/>
        <v>0</v>
      </c>
      <c r="L238" s="471">
        <f t="shared" si="94"/>
        <v>0</v>
      </c>
      <c r="M238" s="459">
        <f t="shared" si="95"/>
        <v>0</v>
      </c>
      <c r="N238" s="470">
        <f t="shared" si="96"/>
        <v>50</v>
      </c>
      <c r="O238" s="459">
        <f t="shared" si="97"/>
        <v>33210.840000000004</v>
      </c>
      <c r="P238" s="339"/>
      <c r="Q238" s="338"/>
      <c r="R238" s="388"/>
      <c r="S238" s="388"/>
      <c r="T238" s="339"/>
    </row>
    <row r="239" spans="1:20" x14ac:dyDescent="0.2">
      <c r="A239" s="454" t="s">
        <v>880</v>
      </c>
      <c r="B239" s="925" t="s">
        <v>1126</v>
      </c>
      <c r="C239" s="926" t="s">
        <v>654</v>
      </c>
      <c r="D239" s="677">
        <v>9</v>
      </c>
      <c r="E239" s="677">
        <v>384.7</v>
      </c>
      <c r="F239" s="678">
        <v>3462.2999999999997</v>
      </c>
      <c r="G239" s="449">
        <v>0</v>
      </c>
      <c r="H239" s="459">
        <f t="shared" si="91"/>
        <v>0</v>
      </c>
      <c r="I239" s="470">
        <v>0</v>
      </c>
      <c r="J239" s="459">
        <f t="shared" si="92"/>
        <v>0</v>
      </c>
      <c r="K239" s="470">
        <f t="shared" si="93"/>
        <v>0</v>
      </c>
      <c r="L239" s="471">
        <f t="shared" si="94"/>
        <v>0</v>
      </c>
      <c r="M239" s="459">
        <f t="shared" si="95"/>
        <v>0</v>
      </c>
      <c r="N239" s="470">
        <f t="shared" si="96"/>
        <v>9</v>
      </c>
      <c r="O239" s="459">
        <f t="shared" si="97"/>
        <v>3462.2999999999997</v>
      </c>
      <c r="P239" s="339"/>
      <c r="Q239" s="338"/>
      <c r="R239" s="388"/>
      <c r="S239" s="388"/>
      <c r="T239" s="339"/>
    </row>
    <row r="240" spans="1:20" ht="20.399999999999999" x14ac:dyDescent="0.2">
      <c r="A240" s="454" t="s">
        <v>881</v>
      </c>
      <c r="B240" s="925" t="s">
        <v>1127</v>
      </c>
      <c r="C240" s="926" t="s">
        <v>654</v>
      </c>
      <c r="D240" s="677">
        <v>5</v>
      </c>
      <c r="E240" s="677">
        <v>240</v>
      </c>
      <c r="F240" s="678">
        <v>1200</v>
      </c>
      <c r="G240" s="449">
        <v>0</v>
      </c>
      <c r="H240" s="459">
        <f t="shared" si="91"/>
        <v>0</v>
      </c>
      <c r="I240" s="470">
        <v>0</v>
      </c>
      <c r="J240" s="459">
        <f t="shared" si="92"/>
        <v>0</v>
      </c>
      <c r="K240" s="470">
        <f t="shared" si="93"/>
        <v>0</v>
      </c>
      <c r="L240" s="471">
        <f t="shared" si="94"/>
        <v>0</v>
      </c>
      <c r="M240" s="459">
        <f t="shared" si="95"/>
        <v>0</v>
      </c>
      <c r="N240" s="470">
        <f t="shared" si="96"/>
        <v>5</v>
      </c>
      <c r="O240" s="459">
        <f t="shared" si="97"/>
        <v>1200</v>
      </c>
      <c r="P240" s="339"/>
      <c r="Q240" s="338"/>
      <c r="R240" s="388"/>
      <c r="S240" s="388"/>
      <c r="T240" s="339"/>
    </row>
    <row r="241" spans="1:20" x14ac:dyDescent="0.2">
      <c r="A241" s="454" t="s">
        <v>882</v>
      </c>
      <c r="B241" s="925" t="s">
        <v>1128</v>
      </c>
      <c r="C241" s="926" t="s">
        <v>654</v>
      </c>
      <c r="D241" s="677">
        <v>15</v>
      </c>
      <c r="E241" s="677">
        <v>680</v>
      </c>
      <c r="F241" s="678">
        <v>10200</v>
      </c>
      <c r="G241" s="449">
        <v>0</v>
      </c>
      <c r="H241" s="459">
        <f t="shared" si="91"/>
        <v>0</v>
      </c>
      <c r="I241" s="470">
        <v>0</v>
      </c>
      <c r="J241" s="459">
        <f t="shared" si="92"/>
        <v>0</v>
      </c>
      <c r="K241" s="470">
        <f t="shared" si="93"/>
        <v>0</v>
      </c>
      <c r="L241" s="471">
        <f t="shared" si="94"/>
        <v>0</v>
      </c>
      <c r="M241" s="459">
        <f t="shared" si="95"/>
        <v>0</v>
      </c>
      <c r="N241" s="470">
        <f t="shared" si="96"/>
        <v>15</v>
      </c>
      <c r="O241" s="459">
        <f t="shared" si="97"/>
        <v>10200</v>
      </c>
      <c r="P241" s="339"/>
      <c r="Q241" s="338"/>
      <c r="R241" s="388"/>
      <c r="S241" s="388"/>
      <c r="T241" s="339"/>
    </row>
    <row r="242" spans="1:20" x14ac:dyDescent="0.2">
      <c r="A242" s="454" t="s">
        <v>883</v>
      </c>
      <c r="B242" s="925" t="s">
        <v>1129</v>
      </c>
      <c r="C242" s="926" t="s">
        <v>654</v>
      </c>
      <c r="D242" s="677">
        <v>10</v>
      </c>
      <c r="E242" s="677">
        <v>493.74</v>
      </c>
      <c r="F242" s="678">
        <v>4937.3999999999996</v>
      </c>
      <c r="G242" s="449">
        <v>0</v>
      </c>
      <c r="H242" s="459">
        <f t="shared" si="91"/>
        <v>0</v>
      </c>
      <c r="I242" s="470">
        <v>0</v>
      </c>
      <c r="J242" s="459">
        <f t="shared" si="92"/>
        <v>0</v>
      </c>
      <c r="K242" s="470">
        <f t="shared" si="93"/>
        <v>0</v>
      </c>
      <c r="L242" s="471">
        <f t="shared" si="94"/>
        <v>0</v>
      </c>
      <c r="M242" s="459">
        <f t="shared" si="95"/>
        <v>0</v>
      </c>
      <c r="N242" s="470">
        <f t="shared" si="96"/>
        <v>10</v>
      </c>
      <c r="O242" s="459">
        <f t="shared" si="97"/>
        <v>4937.3999999999996</v>
      </c>
      <c r="P242" s="339"/>
      <c r="Q242" s="338"/>
      <c r="R242" s="388"/>
      <c r="S242" s="388"/>
      <c r="T242" s="339"/>
    </row>
    <row r="243" spans="1:20" x14ac:dyDescent="0.2">
      <c r="A243" s="454" t="s">
        <v>884</v>
      </c>
      <c r="B243" s="925" t="s">
        <v>1130</v>
      </c>
      <c r="C243" s="926" t="s">
        <v>654</v>
      </c>
      <c r="D243" s="677">
        <v>2</v>
      </c>
      <c r="E243" s="677">
        <v>1500</v>
      </c>
      <c r="F243" s="678">
        <v>3000</v>
      </c>
      <c r="G243" s="449">
        <v>0</v>
      </c>
      <c r="H243" s="459">
        <f t="shared" si="91"/>
        <v>0</v>
      </c>
      <c r="I243" s="470">
        <v>0</v>
      </c>
      <c r="J243" s="459">
        <f t="shared" si="92"/>
        <v>0</v>
      </c>
      <c r="K243" s="470">
        <f t="shared" si="93"/>
        <v>0</v>
      </c>
      <c r="L243" s="471">
        <f t="shared" si="94"/>
        <v>0</v>
      </c>
      <c r="M243" s="459">
        <f t="shared" si="95"/>
        <v>0</v>
      </c>
      <c r="N243" s="470">
        <f t="shared" si="96"/>
        <v>2</v>
      </c>
      <c r="O243" s="459">
        <f t="shared" si="97"/>
        <v>3000</v>
      </c>
      <c r="P243" s="339"/>
      <c r="Q243" s="338"/>
      <c r="R243" s="388"/>
      <c r="S243" s="388"/>
      <c r="T243" s="339"/>
    </row>
    <row r="244" spans="1:20" x14ac:dyDescent="0.2">
      <c r="A244" s="454" t="s">
        <v>885</v>
      </c>
      <c r="B244" s="925" t="s">
        <v>1131</v>
      </c>
      <c r="C244" s="926" t="s">
        <v>654</v>
      </c>
      <c r="D244" s="677">
        <v>8</v>
      </c>
      <c r="E244" s="677">
        <v>1250</v>
      </c>
      <c r="F244" s="678">
        <v>10000</v>
      </c>
      <c r="G244" s="449">
        <v>0</v>
      </c>
      <c r="H244" s="459">
        <f t="shared" si="91"/>
        <v>0</v>
      </c>
      <c r="I244" s="470">
        <v>0</v>
      </c>
      <c r="J244" s="459">
        <f t="shared" si="92"/>
        <v>0</v>
      </c>
      <c r="K244" s="470">
        <f t="shared" si="93"/>
        <v>0</v>
      </c>
      <c r="L244" s="471">
        <f t="shared" si="94"/>
        <v>0</v>
      </c>
      <c r="M244" s="459">
        <f t="shared" si="95"/>
        <v>0</v>
      </c>
      <c r="N244" s="470">
        <f t="shared" si="96"/>
        <v>8</v>
      </c>
      <c r="O244" s="459">
        <f t="shared" si="97"/>
        <v>10000</v>
      </c>
      <c r="P244" s="339"/>
      <c r="Q244" s="338"/>
      <c r="R244" s="388"/>
      <c r="S244" s="388"/>
      <c r="T244" s="339"/>
    </row>
    <row r="245" spans="1:20" x14ac:dyDescent="0.2">
      <c r="A245" s="454" t="s">
        <v>886</v>
      </c>
      <c r="B245" s="925" t="s">
        <v>1132</v>
      </c>
      <c r="C245" s="926" t="s">
        <v>654</v>
      </c>
      <c r="D245" s="677">
        <v>1</v>
      </c>
      <c r="E245" s="677">
        <v>717</v>
      </c>
      <c r="F245" s="678">
        <v>717</v>
      </c>
      <c r="G245" s="449">
        <v>0</v>
      </c>
      <c r="H245" s="459">
        <f t="shared" si="91"/>
        <v>0</v>
      </c>
      <c r="I245" s="470">
        <v>0</v>
      </c>
      <c r="J245" s="459">
        <f t="shared" si="92"/>
        <v>0</v>
      </c>
      <c r="K245" s="470">
        <f t="shared" si="93"/>
        <v>0</v>
      </c>
      <c r="L245" s="471">
        <f t="shared" si="94"/>
        <v>0</v>
      </c>
      <c r="M245" s="459">
        <f t="shared" si="95"/>
        <v>0</v>
      </c>
      <c r="N245" s="470">
        <f t="shared" si="96"/>
        <v>1</v>
      </c>
      <c r="O245" s="459">
        <f t="shared" si="97"/>
        <v>717</v>
      </c>
      <c r="P245" s="339"/>
      <c r="Q245" s="338"/>
      <c r="R245" s="388"/>
      <c r="S245" s="388"/>
      <c r="T245" s="339"/>
    </row>
    <row r="246" spans="1:20" x14ac:dyDescent="0.2">
      <c r="A246" s="454" t="s">
        <v>887</v>
      </c>
      <c r="B246" s="925" t="s">
        <v>1133</v>
      </c>
      <c r="C246" s="926" t="s">
        <v>654</v>
      </c>
      <c r="D246" s="677">
        <v>10</v>
      </c>
      <c r="E246" s="677">
        <v>900</v>
      </c>
      <c r="F246" s="678">
        <v>9000</v>
      </c>
      <c r="G246" s="449">
        <v>0</v>
      </c>
      <c r="H246" s="459">
        <f t="shared" si="91"/>
        <v>0</v>
      </c>
      <c r="I246" s="470">
        <v>0</v>
      </c>
      <c r="J246" s="459">
        <f t="shared" si="92"/>
        <v>0</v>
      </c>
      <c r="K246" s="470">
        <f t="shared" si="93"/>
        <v>0</v>
      </c>
      <c r="L246" s="471">
        <f t="shared" si="94"/>
        <v>0</v>
      </c>
      <c r="M246" s="459">
        <f t="shared" si="95"/>
        <v>0</v>
      </c>
      <c r="N246" s="470">
        <f t="shared" si="96"/>
        <v>10</v>
      </c>
      <c r="O246" s="459">
        <f t="shared" si="97"/>
        <v>9000</v>
      </c>
      <c r="P246" s="339"/>
      <c r="Q246" s="338"/>
      <c r="R246" s="388"/>
      <c r="S246" s="388"/>
      <c r="T246" s="339"/>
    </row>
    <row r="247" spans="1:20" ht="20.399999999999999" x14ac:dyDescent="0.2">
      <c r="A247" s="454" t="s">
        <v>888</v>
      </c>
      <c r="B247" s="925" t="s">
        <v>1134</v>
      </c>
      <c r="C247" s="926" t="s">
        <v>654</v>
      </c>
      <c r="D247" s="677">
        <v>8</v>
      </c>
      <c r="E247" s="677">
        <v>3121.25</v>
      </c>
      <c r="F247" s="678">
        <v>24970</v>
      </c>
      <c r="G247" s="449">
        <v>0</v>
      </c>
      <c r="H247" s="459">
        <f t="shared" si="91"/>
        <v>0</v>
      </c>
      <c r="I247" s="470">
        <v>0</v>
      </c>
      <c r="J247" s="459">
        <f t="shared" si="92"/>
        <v>0</v>
      </c>
      <c r="K247" s="470">
        <f t="shared" si="93"/>
        <v>0</v>
      </c>
      <c r="L247" s="471">
        <f t="shared" si="94"/>
        <v>0</v>
      </c>
      <c r="M247" s="459">
        <f t="shared" si="95"/>
        <v>0</v>
      </c>
      <c r="N247" s="470">
        <f t="shared" si="96"/>
        <v>8</v>
      </c>
      <c r="O247" s="459">
        <f t="shared" si="97"/>
        <v>24970</v>
      </c>
      <c r="P247" s="339"/>
      <c r="Q247" s="338"/>
      <c r="R247" s="388"/>
      <c r="S247" s="388"/>
      <c r="T247" s="339"/>
    </row>
    <row r="248" spans="1:20" x14ac:dyDescent="0.2">
      <c r="A248" s="454" t="s">
        <v>889</v>
      </c>
      <c r="B248" s="925" t="s">
        <v>1135</v>
      </c>
      <c r="C248" s="926" t="s">
        <v>654</v>
      </c>
      <c r="D248" s="677">
        <v>2</v>
      </c>
      <c r="E248" s="677">
        <v>3050</v>
      </c>
      <c r="F248" s="678">
        <v>6100</v>
      </c>
      <c r="G248" s="449">
        <v>0</v>
      </c>
      <c r="H248" s="459">
        <f t="shared" si="91"/>
        <v>0</v>
      </c>
      <c r="I248" s="470">
        <v>0</v>
      </c>
      <c r="J248" s="459">
        <f t="shared" si="92"/>
        <v>0</v>
      </c>
      <c r="K248" s="470">
        <f t="shared" si="93"/>
        <v>0</v>
      </c>
      <c r="L248" s="471">
        <f t="shared" si="94"/>
        <v>0</v>
      </c>
      <c r="M248" s="459">
        <f t="shared" si="95"/>
        <v>0</v>
      </c>
      <c r="N248" s="470">
        <f t="shared" si="96"/>
        <v>2</v>
      </c>
      <c r="O248" s="459">
        <f t="shared" si="97"/>
        <v>6100</v>
      </c>
      <c r="P248" s="339"/>
      <c r="Q248" s="338"/>
      <c r="R248" s="388"/>
      <c r="S248" s="388"/>
      <c r="T248" s="339"/>
    </row>
    <row r="249" spans="1:20" x14ac:dyDescent="0.2">
      <c r="A249" s="454" t="s">
        <v>890</v>
      </c>
      <c r="B249" s="925" t="s">
        <v>1136</v>
      </c>
      <c r="C249" s="926" t="s">
        <v>654</v>
      </c>
      <c r="D249" s="677">
        <v>2</v>
      </c>
      <c r="E249" s="677">
        <v>1500</v>
      </c>
      <c r="F249" s="678">
        <v>3000</v>
      </c>
      <c r="G249" s="449">
        <v>0</v>
      </c>
      <c r="H249" s="459">
        <f t="shared" si="91"/>
        <v>0</v>
      </c>
      <c r="I249" s="470">
        <v>0</v>
      </c>
      <c r="J249" s="459">
        <f t="shared" si="92"/>
        <v>0</v>
      </c>
      <c r="K249" s="470">
        <f t="shared" si="93"/>
        <v>0</v>
      </c>
      <c r="L249" s="471">
        <f t="shared" si="94"/>
        <v>0</v>
      </c>
      <c r="M249" s="459">
        <f t="shared" si="95"/>
        <v>0</v>
      </c>
      <c r="N249" s="470">
        <f t="shared" si="96"/>
        <v>2</v>
      </c>
      <c r="O249" s="459">
        <f t="shared" si="97"/>
        <v>3000</v>
      </c>
      <c r="P249" s="339"/>
      <c r="Q249" s="338"/>
      <c r="R249" s="388"/>
      <c r="S249" s="388"/>
      <c r="T249" s="339"/>
    </row>
    <row r="250" spans="1:20" x14ac:dyDescent="0.2">
      <c r="A250" s="454" t="s">
        <v>891</v>
      </c>
      <c r="B250" s="925" t="s">
        <v>1137</v>
      </c>
      <c r="C250" s="926" t="s">
        <v>654</v>
      </c>
      <c r="D250" s="677">
        <v>15</v>
      </c>
      <c r="E250" s="677">
        <v>2333.3332999999998</v>
      </c>
      <c r="F250" s="678">
        <v>34999.999499999998</v>
      </c>
      <c r="G250" s="449">
        <v>0</v>
      </c>
      <c r="H250" s="459">
        <f t="shared" si="91"/>
        <v>0</v>
      </c>
      <c r="I250" s="470">
        <v>0</v>
      </c>
      <c r="J250" s="459">
        <f t="shared" si="92"/>
        <v>0</v>
      </c>
      <c r="K250" s="470">
        <f t="shared" si="93"/>
        <v>0</v>
      </c>
      <c r="L250" s="471">
        <f t="shared" si="94"/>
        <v>0</v>
      </c>
      <c r="M250" s="459">
        <f t="shared" si="95"/>
        <v>0</v>
      </c>
      <c r="N250" s="470">
        <f t="shared" si="96"/>
        <v>15</v>
      </c>
      <c r="O250" s="459">
        <f t="shared" si="97"/>
        <v>34999.999499999998</v>
      </c>
      <c r="P250" s="339"/>
      <c r="Q250" s="338"/>
      <c r="R250" s="388"/>
      <c r="S250" s="388"/>
      <c r="T250" s="339"/>
    </row>
    <row r="251" spans="1:20" ht="20.399999999999999" x14ac:dyDescent="0.2">
      <c r="A251" s="454" t="s">
        <v>892</v>
      </c>
      <c r="B251" s="925" t="s">
        <v>1138</v>
      </c>
      <c r="C251" s="926" t="s">
        <v>654</v>
      </c>
      <c r="D251" s="677">
        <v>14</v>
      </c>
      <c r="E251" s="677">
        <v>3050</v>
      </c>
      <c r="F251" s="678">
        <v>42700</v>
      </c>
      <c r="G251" s="449">
        <v>0</v>
      </c>
      <c r="H251" s="459">
        <f t="shared" si="91"/>
        <v>0</v>
      </c>
      <c r="I251" s="470">
        <v>0</v>
      </c>
      <c r="J251" s="459">
        <f t="shared" si="92"/>
        <v>0</v>
      </c>
      <c r="K251" s="470">
        <f t="shared" si="93"/>
        <v>0</v>
      </c>
      <c r="L251" s="471">
        <f t="shared" si="94"/>
        <v>0</v>
      </c>
      <c r="M251" s="459">
        <f t="shared" si="95"/>
        <v>0</v>
      </c>
      <c r="N251" s="470">
        <f t="shared" si="96"/>
        <v>14</v>
      </c>
      <c r="O251" s="459">
        <f t="shared" si="97"/>
        <v>42700</v>
      </c>
      <c r="P251" s="339"/>
      <c r="Q251" s="338"/>
      <c r="R251" s="388"/>
      <c r="S251" s="388"/>
      <c r="T251" s="339"/>
    </row>
    <row r="252" spans="1:20" x14ac:dyDescent="0.2">
      <c r="A252" s="454" t="s">
        <v>893</v>
      </c>
      <c r="B252" s="925" t="s">
        <v>1139</v>
      </c>
      <c r="C252" s="926" t="s">
        <v>654</v>
      </c>
      <c r="D252" s="677">
        <v>4</v>
      </c>
      <c r="E252" s="677">
        <v>940</v>
      </c>
      <c r="F252" s="678">
        <v>3760</v>
      </c>
      <c r="G252" s="449">
        <v>0</v>
      </c>
      <c r="H252" s="459">
        <f t="shared" si="91"/>
        <v>0</v>
      </c>
      <c r="I252" s="470">
        <v>0</v>
      </c>
      <c r="J252" s="459">
        <f t="shared" si="92"/>
        <v>0</v>
      </c>
      <c r="K252" s="470">
        <f t="shared" si="93"/>
        <v>0</v>
      </c>
      <c r="L252" s="471">
        <f t="shared" si="94"/>
        <v>0</v>
      </c>
      <c r="M252" s="459">
        <f t="shared" si="95"/>
        <v>0</v>
      </c>
      <c r="N252" s="470">
        <f t="shared" si="96"/>
        <v>4</v>
      </c>
      <c r="O252" s="459">
        <f t="shared" si="97"/>
        <v>3760</v>
      </c>
      <c r="P252" s="339"/>
      <c r="Q252" s="338"/>
      <c r="R252" s="388"/>
      <c r="S252" s="388"/>
      <c r="T252" s="339"/>
    </row>
    <row r="253" spans="1:20" x14ac:dyDescent="0.2">
      <c r="A253" s="454" t="s">
        <v>894</v>
      </c>
      <c r="B253" s="925" t="s">
        <v>1140</v>
      </c>
      <c r="C253" s="926" t="s">
        <v>654</v>
      </c>
      <c r="D253" s="677">
        <v>12</v>
      </c>
      <c r="E253" s="677">
        <v>906.66665999999998</v>
      </c>
      <c r="F253" s="678">
        <v>10879.99992</v>
      </c>
      <c r="G253" s="449">
        <v>0</v>
      </c>
      <c r="H253" s="459">
        <f t="shared" si="91"/>
        <v>0</v>
      </c>
      <c r="I253" s="470">
        <v>0</v>
      </c>
      <c r="J253" s="459">
        <f t="shared" si="92"/>
        <v>0</v>
      </c>
      <c r="K253" s="470">
        <f t="shared" si="93"/>
        <v>0</v>
      </c>
      <c r="L253" s="471">
        <f t="shared" si="94"/>
        <v>0</v>
      </c>
      <c r="M253" s="459">
        <f t="shared" si="95"/>
        <v>0</v>
      </c>
      <c r="N253" s="470">
        <f t="shared" si="96"/>
        <v>12</v>
      </c>
      <c r="O253" s="459">
        <f t="shared" si="97"/>
        <v>10879.99992</v>
      </c>
      <c r="P253" s="339"/>
      <c r="Q253" s="338"/>
      <c r="R253" s="388"/>
      <c r="S253" s="388"/>
      <c r="T253" s="339"/>
    </row>
    <row r="254" spans="1:20" x14ac:dyDescent="0.2">
      <c r="A254" s="454" t="s">
        <v>895</v>
      </c>
      <c r="B254" s="925" t="s">
        <v>1141</v>
      </c>
      <c r="C254" s="926" t="s">
        <v>654</v>
      </c>
      <c r="D254" s="677">
        <v>5</v>
      </c>
      <c r="E254" s="677">
        <v>3000</v>
      </c>
      <c r="F254" s="678">
        <v>15000</v>
      </c>
      <c r="G254" s="449">
        <v>0</v>
      </c>
      <c r="H254" s="459">
        <f t="shared" si="91"/>
        <v>0</v>
      </c>
      <c r="I254" s="470">
        <v>0</v>
      </c>
      <c r="J254" s="459">
        <f t="shared" si="92"/>
        <v>0</v>
      </c>
      <c r="K254" s="470">
        <f t="shared" si="93"/>
        <v>0</v>
      </c>
      <c r="L254" s="471">
        <f t="shared" si="94"/>
        <v>0</v>
      </c>
      <c r="M254" s="459">
        <f t="shared" si="95"/>
        <v>0</v>
      </c>
      <c r="N254" s="470">
        <f t="shared" si="96"/>
        <v>5</v>
      </c>
      <c r="O254" s="459">
        <f t="shared" si="97"/>
        <v>15000</v>
      </c>
      <c r="P254" s="339"/>
      <c r="Q254" s="338"/>
      <c r="R254" s="388"/>
      <c r="S254" s="388"/>
      <c r="T254" s="339"/>
    </row>
    <row r="255" spans="1:20" x14ac:dyDescent="0.2">
      <c r="A255" s="454" t="s">
        <v>896</v>
      </c>
      <c r="B255" s="925" t="s">
        <v>1142</v>
      </c>
      <c r="C255" s="926" t="s">
        <v>654</v>
      </c>
      <c r="D255" s="677">
        <v>14</v>
      </c>
      <c r="E255" s="677">
        <v>2586.42857</v>
      </c>
      <c r="F255" s="678">
        <v>36209.999980000001</v>
      </c>
      <c r="G255" s="449">
        <v>0</v>
      </c>
      <c r="H255" s="459">
        <f t="shared" si="91"/>
        <v>0</v>
      </c>
      <c r="I255" s="470">
        <v>0</v>
      </c>
      <c r="J255" s="459">
        <f t="shared" si="92"/>
        <v>0</v>
      </c>
      <c r="K255" s="470">
        <f t="shared" si="93"/>
        <v>0</v>
      </c>
      <c r="L255" s="471">
        <f t="shared" si="94"/>
        <v>0</v>
      </c>
      <c r="M255" s="459">
        <f t="shared" si="95"/>
        <v>0</v>
      </c>
      <c r="N255" s="470">
        <f t="shared" si="96"/>
        <v>14</v>
      </c>
      <c r="O255" s="459">
        <f t="shared" si="97"/>
        <v>36209.999980000001</v>
      </c>
      <c r="P255" s="339"/>
      <c r="Q255" s="338"/>
      <c r="R255" s="388"/>
      <c r="S255" s="388"/>
      <c r="T255" s="339"/>
    </row>
    <row r="256" spans="1:20" x14ac:dyDescent="0.2">
      <c r="A256" s="454" t="s">
        <v>897</v>
      </c>
      <c r="B256" s="925" t="s">
        <v>1143</v>
      </c>
      <c r="C256" s="926" t="s">
        <v>654</v>
      </c>
      <c r="D256" s="677">
        <v>4</v>
      </c>
      <c r="E256" s="677">
        <v>1750</v>
      </c>
      <c r="F256" s="678">
        <v>7000</v>
      </c>
      <c r="G256" s="449">
        <v>0</v>
      </c>
      <c r="H256" s="459">
        <f t="shared" si="91"/>
        <v>0</v>
      </c>
      <c r="I256" s="470">
        <v>0</v>
      </c>
      <c r="J256" s="459">
        <f t="shared" si="92"/>
        <v>0</v>
      </c>
      <c r="K256" s="470">
        <f t="shared" si="93"/>
        <v>0</v>
      </c>
      <c r="L256" s="471">
        <f t="shared" si="94"/>
        <v>0</v>
      </c>
      <c r="M256" s="459">
        <f t="shared" si="95"/>
        <v>0</v>
      </c>
      <c r="N256" s="470">
        <f t="shared" si="96"/>
        <v>4</v>
      </c>
      <c r="O256" s="459">
        <f t="shared" si="97"/>
        <v>7000</v>
      </c>
      <c r="P256" s="339"/>
      <c r="Q256" s="338"/>
      <c r="R256" s="388"/>
      <c r="S256" s="388"/>
      <c r="T256" s="339"/>
    </row>
    <row r="257" spans="1:20" x14ac:dyDescent="0.2">
      <c r="A257" s="454" t="s">
        <v>898</v>
      </c>
      <c r="B257" s="925" t="s">
        <v>1144</v>
      </c>
      <c r="C257" s="926" t="s">
        <v>654</v>
      </c>
      <c r="D257" s="677">
        <v>2</v>
      </c>
      <c r="E257" s="677">
        <v>780</v>
      </c>
      <c r="F257" s="678">
        <v>1560</v>
      </c>
      <c r="G257" s="449">
        <v>0</v>
      </c>
      <c r="H257" s="459">
        <f t="shared" si="91"/>
        <v>0</v>
      </c>
      <c r="I257" s="470">
        <v>0</v>
      </c>
      <c r="J257" s="459">
        <f t="shared" si="92"/>
        <v>0</v>
      </c>
      <c r="K257" s="470">
        <f t="shared" si="93"/>
        <v>0</v>
      </c>
      <c r="L257" s="471">
        <f t="shared" si="94"/>
        <v>0</v>
      </c>
      <c r="M257" s="459">
        <f t="shared" si="95"/>
        <v>0</v>
      </c>
      <c r="N257" s="470">
        <f t="shared" si="96"/>
        <v>2</v>
      </c>
      <c r="O257" s="459">
        <f t="shared" si="97"/>
        <v>1560</v>
      </c>
      <c r="P257" s="339"/>
      <c r="Q257" s="338"/>
      <c r="R257" s="388"/>
      <c r="S257" s="388"/>
      <c r="T257" s="339"/>
    </row>
    <row r="258" spans="1:20" x14ac:dyDescent="0.2">
      <c r="A258" s="454" t="s">
        <v>899</v>
      </c>
      <c r="B258" s="925" t="s">
        <v>1145</v>
      </c>
      <c r="C258" s="926" t="s">
        <v>654</v>
      </c>
      <c r="D258" s="677">
        <v>20</v>
      </c>
      <c r="E258" s="677">
        <v>1300</v>
      </c>
      <c r="F258" s="678">
        <v>26000</v>
      </c>
      <c r="G258" s="449">
        <v>0</v>
      </c>
      <c r="H258" s="459">
        <f t="shared" si="91"/>
        <v>0</v>
      </c>
      <c r="I258" s="470">
        <v>0</v>
      </c>
      <c r="J258" s="459">
        <f t="shared" si="92"/>
        <v>0</v>
      </c>
      <c r="K258" s="470">
        <f t="shared" si="93"/>
        <v>0</v>
      </c>
      <c r="L258" s="471">
        <f t="shared" si="94"/>
        <v>0</v>
      </c>
      <c r="M258" s="459">
        <f t="shared" si="95"/>
        <v>0</v>
      </c>
      <c r="N258" s="470">
        <f t="shared" si="96"/>
        <v>20</v>
      </c>
      <c r="O258" s="459">
        <f t="shared" si="97"/>
        <v>26000</v>
      </c>
      <c r="P258" s="339"/>
      <c r="Q258" s="338"/>
      <c r="R258" s="388"/>
      <c r="S258" s="388"/>
      <c r="T258" s="339"/>
    </row>
    <row r="259" spans="1:20" x14ac:dyDescent="0.2">
      <c r="A259" s="454" t="s">
        <v>900</v>
      </c>
      <c r="B259" s="925" t="s">
        <v>1146</v>
      </c>
      <c r="C259" s="926" t="s">
        <v>654</v>
      </c>
      <c r="D259" s="677">
        <v>2</v>
      </c>
      <c r="E259" s="677">
        <v>3289</v>
      </c>
      <c r="F259" s="678">
        <v>6578</v>
      </c>
      <c r="G259" s="449">
        <v>0</v>
      </c>
      <c r="H259" s="459">
        <f t="shared" si="91"/>
        <v>0</v>
      </c>
      <c r="I259" s="470">
        <v>0</v>
      </c>
      <c r="J259" s="459">
        <f t="shared" si="92"/>
        <v>0</v>
      </c>
      <c r="K259" s="470">
        <f t="shared" si="93"/>
        <v>0</v>
      </c>
      <c r="L259" s="471">
        <f t="shared" si="94"/>
        <v>0</v>
      </c>
      <c r="M259" s="459">
        <f t="shared" si="95"/>
        <v>0</v>
      </c>
      <c r="N259" s="470">
        <f t="shared" si="96"/>
        <v>2</v>
      </c>
      <c r="O259" s="459">
        <f t="shared" si="97"/>
        <v>6578</v>
      </c>
      <c r="P259" s="339"/>
      <c r="Q259" s="338"/>
      <c r="R259" s="388"/>
      <c r="S259" s="388"/>
      <c r="T259" s="339"/>
    </row>
    <row r="260" spans="1:20" x14ac:dyDescent="0.2">
      <c r="A260" s="454" t="s">
        <v>901</v>
      </c>
      <c r="B260" s="925" t="s">
        <v>1147</v>
      </c>
      <c r="C260" s="926" t="s">
        <v>654</v>
      </c>
      <c r="D260" s="677">
        <v>5</v>
      </c>
      <c r="E260" s="677">
        <v>1163</v>
      </c>
      <c r="F260" s="678">
        <v>5815</v>
      </c>
      <c r="G260" s="449">
        <v>0</v>
      </c>
      <c r="H260" s="459">
        <f t="shared" si="91"/>
        <v>0</v>
      </c>
      <c r="I260" s="470">
        <v>0</v>
      </c>
      <c r="J260" s="459">
        <f t="shared" si="92"/>
        <v>0</v>
      </c>
      <c r="K260" s="470">
        <f t="shared" si="93"/>
        <v>0</v>
      </c>
      <c r="L260" s="471">
        <f t="shared" si="94"/>
        <v>0</v>
      </c>
      <c r="M260" s="459">
        <f t="shared" si="95"/>
        <v>0</v>
      </c>
      <c r="N260" s="470">
        <f t="shared" si="96"/>
        <v>5</v>
      </c>
      <c r="O260" s="459">
        <f t="shared" si="97"/>
        <v>5815</v>
      </c>
      <c r="P260" s="339"/>
      <c r="Q260" s="338"/>
      <c r="R260" s="388"/>
      <c r="S260" s="388"/>
      <c r="T260" s="339"/>
    </row>
    <row r="261" spans="1:20" x14ac:dyDescent="0.2">
      <c r="A261" s="454" t="s">
        <v>902</v>
      </c>
      <c r="B261" s="925" t="s">
        <v>1148</v>
      </c>
      <c r="C261" s="926" t="s">
        <v>654</v>
      </c>
      <c r="D261" s="677">
        <v>30</v>
      </c>
      <c r="E261" s="677">
        <v>289.33330000000001</v>
      </c>
      <c r="F261" s="678">
        <v>8679.9989999999998</v>
      </c>
      <c r="G261" s="449">
        <v>0</v>
      </c>
      <c r="H261" s="459">
        <f t="shared" si="91"/>
        <v>0</v>
      </c>
      <c r="I261" s="470">
        <v>0</v>
      </c>
      <c r="J261" s="459">
        <f t="shared" si="92"/>
        <v>0</v>
      </c>
      <c r="K261" s="470">
        <f t="shared" si="93"/>
        <v>0</v>
      </c>
      <c r="L261" s="471">
        <f t="shared" si="94"/>
        <v>0</v>
      </c>
      <c r="M261" s="459">
        <f t="shared" si="95"/>
        <v>0</v>
      </c>
      <c r="N261" s="470">
        <f t="shared" si="96"/>
        <v>30</v>
      </c>
      <c r="O261" s="459">
        <f t="shared" si="97"/>
        <v>8679.9989999999998</v>
      </c>
      <c r="P261" s="339"/>
      <c r="Q261" s="338"/>
      <c r="R261" s="388"/>
      <c r="S261" s="388"/>
      <c r="T261" s="339"/>
    </row>
    <row r="262" spans="1:20" x14ac:dyDescent="0.2">
      <c r="A262" s="454" t="s">
        <v>903</v>
      </c>
      <c r="B262" s="925" t="s">
        <v>1149</v>
      </c>
      <c r="C262" s="926" t="s">
        <v>654</v>
      </c>
      <c r="D262" s="677">
        <v>5</v>
      </c>
      <c r="E262" s="677">
        <v>1144</v>
      </c>
      <c r="F262" s="678">
        <v>5720</v>
      </c>
      <c r="G262" s="449">
        <v>0</v>
      </c>
      <c r="H262" s="459">
        <f t="shared" si="91"/>
        <v>0</v>
      </c>
      <c r="I262" s="470">
        <v>0</v>
      </c>
      <c r="J262" s="459">
        <f t="shared" si="92"/>
        <v>0</v>
      </c>
      <c r="K262" s="470">
        <f t="shared" si="93"/>
        <v>0</v>
      </c>
      <c r="L262" s="471">
        <f t="shared" si="94"/>
        <v>0</v>
      </c>
      <c r="M262" s="459">
        <f t="shared" si="95"/>
        <v>0</v>
      </c>
      <c r="N262" s="470">
        <f t="shared" si="96"/>
        <v>5</v>
      </c>
      <c r="O262" s="459">
        <f t="shared" si="97"/>
        <v>5720</v>
      </c>
      <c r="P262" s="339"/>
      <c r="Q262" s="338"/>
      <c r="R262" s="388"/>
      <c r="S262" s="388"/>
      <c r="T262" s="339"/>
    </row>
    <row r="263" spans="1:20" x14ac:dyDescent="0.2">
      <c r="A263" s="454" t="s">
        <v>904</v>
      </c>
      <c r="B263" s="925" t="s">
        <v>1150</v>
      </c>
      <c r="C263" s="926" t="s">
        <v>654</v>
      </c>
      <c r="D263" s="677">
        <v>10</v>
      </c>
      <c r="E263" s="677">
        <v>870</v>
      </c>
      <c r="F263" s="678">
        <v>8700</v>
      </c>
      <c r="G263" s="449">
        <v>0</v>
      </c>
      <c r="H263" s="459">
        <f t="shared" si="91"/>
        <v>0</v>
      </c>
      <c r="I263" s="470">
        <v>0</v>
      </c>
      <c r="J263" s="459">
        <f t="shared" si="92"/>
        <v>0</v>
      </c>
      <c r="K263" s="470">
        <f t="shared" si="93"/>
        <v>0</v>
      </c>
      <c r="L263" s="471">
        <f t="shared" si="94"/>
        <v>0</v>
      </c>
      <c r="M263" s="459">
        <f t="shared" si="95"/>
        <v>0</v>
      </c>
      <c r="N263" s="470">
        <f t="shared" si="96"/>
        <v>10</v>
      </c>
      <c r="O263" s="459">
        <f t="shared" si="97"/>
        <v>8700</v>
      </c>
      <c r="P263" s="339"/>
      <c r="Q263" s="338"/>
      <c r="R263" s="388"/>
      <c r="S263" s="388"/>
      <c r="T263" s="339"/>
    </row>
    <row r="264" spans="1:20" x14ac:dyDescent="0.2">
      <c r="A264" s="454" t="s">
        <v>905</v>
      </c>
      <c r="B264" s="925" t="s">
        <v>1151</v>
      </c>
      <c r="C264" s="926" t="s">
        <v>654</v>
      </c>
      <c r="D264" s="677">
        <v>20</v>
      </c>
      <c r="E264" s="677">
        <v>2161.7125000000001</v>
      </c>
      <c r="F264" s="678">
        <v>43234.25</v>
      </c>
      <c r="G264" s="449">
        <v>0</v>
      </c>
      <c r="H264" s="459">
        <f t="shared" si="91"/>
        <v>0</v>
      </c>
      <c r="I264" s="470">
        <v>0</v>
      </c>
      <c r="J264" s="459">
        <f t="shared" si="92"/>
        <v>0</v>
      </c>
      <c r="K264" s="470">
        <f t="shared" si="93"/>
        <v>0</v>
      </c>
      <c r="L264" s="471">
        <f t="shared" si="94"/>
        <v>0</v>
      </c>
      <c r="M264" s="459">
        <f t="shared" si="95"/>
        <v>0</v>
      </c>
      <c r="N264" s="470">
        <f t="shared" si="96"/>
        <v>20</v>
      </c>
      <c r="O264" s="459">
        <f t="shared" si="97"/>
        <v>43234.25</v>
      </c>
      <c r="P264" s="339"/>
      <c r="Q264" s="338"/>
      <c r="R264" s="388"/>
      <c r="S264" s="388"/>
      <c r="T264" s="339"/>
    </row>
    <row r="265" spans="1:20" x14ac:dyDescent="0.2">
      <c r="A265" s="454" t="s">
        <v>906</v>
      </c>
      <c r="B265" s="925" t="s">
        <v>1152</v>
      </c>
      <c r="C265" s="926" t="s">
        <v>654</v>
      </c>
      <c r="D265" s="677">
        <v>2</v>
      </c>
      <c r="E265" s="677">
        <v>2403</v>
      </c>
      <c r="F265" s="678">
        <v>4806</v>
      </c>
      <c r="G265" s="449">
        <v>0</v>
      </c>
      <c r="H265" s="459">
        <f t="shared" si="91"/>
        <v>0</v>
      </c>
      <c r="I265" s="470">
        <v>0</v>
      </c>
      <c r="J265" s="459">
        <f t="shared" si="92"/>
        <v>0</v>
      </c>
      <c r="K265" s="470">
        <f t="shared" si="93"/>
        <v>0</v>
      </c>
      <c r="L265" s="471">
        <f t="shared" si="94"/>
        <v>0</v>
      </c>
      <c r="M265" s="459">
        <f t="shared" si="95"/>
        <v>0</v>
      </c>
      <c r="N265" s="470">
        <f t="shared" si="96"/>
        <v>2</v>
      </c>
      <c r="O265" s="459">
        <f t="shared" si="97"/>
        <v>4806</v>
      </c>
      <c r="P265" s="339"/>
      <c r="Q265" s="338"/>
      <c r="R265" s="388"/>
      <c r="S265" s="388"/>
      <c r="T265" s="339"/>
    </row>
    <row r="266" spans="1:20" x14ac:dyDescent="0.2">
      <c r="A266" s="454" t="s">
        <v>907</v>
      </c>
      <c r="B266" s="925" t="s">
        <v>1153</v>
      </c>
      <c r="C266" s="926" t="s">
        <v>654</v>
      </c>
      <c r="D266" s="677">
        <v>3</v>
      </c>
      <c r="E266" s="677">
        <v>2800</v>
      </c>
      <c r="F266" s="678">
        <v>8400</v>
      </c>
      <c r="G266" s="449">
        <v>0</v>
      </c>
      <c r="H266" s="459">
        <f t="shared" si="91"/>
        <v>0</v>
      </c>
      <c r="I266" s="470">
        <v>0</v>
      </c>
      <c r="J266" s="459">
        <f t="shared" si="92"/>
        <v>0</v>
      </c>
      <c r="K266" s="470">
        <f t="shared" si="93"/>
        <v>0</v>
      </c>
      <c r="L266" s="471">
        <f t="shared" si="94"/>
        <v>0</v>
      </c>
      <c r="M266" s="459">
        <f t="shared" si="95"/>
        <v>0</v>
      </c>
      <c r="N266" s="470">
        <f t="shared" si="96"/>
        <v>3</v>
      </c>
      <c r="O266" s="459">
        <f t="shared" si="97"/>
        <v>8400</v>
      </c>
      <c r="P266" s="339"/>
      <c r="Q266" s="338"/>
      <c r="R266" s="388"/>
      <c r="S266" s="388"/>
      <c r="T266" s="339"/>
    </row>
    <row r="267" spans="1:20" x14ac:dyDescent="0.2">
      <c r="A267" s="454" t="s">
        <v>908</v>
      </c>
      <c r="B267" s="925" t="s">
        <v>1154</v>
      </c>
      <c r="C267" s="926" t="s">
        <v>654</v>
      </c>
      <c r="D267" s="677">
        <v>3</v>
      </c>
      <c r="E267" s="677">
        <v>1200</v>
      </c>
      <c r="F267" s="678">
        <v>3600</v>
      </c>
      <c r="G267" s="449">
        <v>0</v>
      </c>
      <c r="H267" s="459">
        <f t="shared" si="91"/>
        <v>0</v>
      </c>
      <c r="I267" s="470">
        <v>0</v>
      </c>
      <c r="J267" s="459">
        <f t="shared" si="92"/>
        <v>0</v>
      </c>
      <c r="K267" s="470">
        <f t="shared" si="93"/>
        <v>0</v>
      </c>
      <c r="L267" s="471">
        <f t="shared" si="94"/>
        <v>0</v>
      </c>
      <c r="M267" s="459">
        <f t="shared" si="95"/>
        <v>0</v>
      </c>
      <c r="N267" s="470">
        <f t="shared" si="96"/>
        <v>3</v>
      </c>
      <c r="O267" s="459">
        <f t="shared" si="97"/>
        <v>3600</v>
      </c>
      <c r="P267" s="339"/>
      <c r="Q267" s="338"/>
      <c r="R267" s="388"/>
      <c r="S267" s="388"/>
      <c r="T267" s="339"/>
    </row>
    <row r="268" spans="1:20" ht="10.8" thickBot="1" x14ac:dyDescent="0.25">
      <c r="A268" s="454" t="s">
        <v>909</v>
      </c>
      <c r="B268" s="925" t="s">
        <v>1155</v>
      </c>
      <c r="C268" s="926" t="s">
        <v>654</v>
      </c>
      <c r="D268" s="677">
        <v>5</v>
      </c>
      <c r="E268" s="677">
        <v>1008</v>
      </c>
      <c r="F268" s="678">
        <v>5040</v>
      </c>
      <c r="G268" s="449">
        <v>0</v>
      </c>
      <c r="H268" s="459">
        <f t="shared" si="91"/>
        <v>0</v>
      </c>
      <c r="I268" s="470">
        <v>0</v>
      </c>
      <c r="J268" s="459">
        <f t="shared" si="92"/>
        <v>0</v>
      </c>
      <c r="K268" s="470">
        <f t="shared" si="93"/>
        <v>0</v>
      </c>
      <c r="L268" s="471">
        <f t="shared" si="94"/>
        <v>0</v>
      </c>
      <c r="M268" s="459">
        <f t="shared" si="95"/>
        <v>0</v>
      </c>
      <c r="N268" s="470">
        <f t="shared" si="96"/>
        <v>5</v>
      </c>
      <c r="O268" s="459">
        <f t="shared" si="97"/>
        <v>5040</v>
      </c>
      <c r="P268" s="339"/>
      <c r="Q268" s="338"/>
      <c r="R268" s="388"/>
      <c r="S268" s="388"/>
      <c r="T268" s="339"/>
    </row>
    <row r="269" spans="1:20" ht="10.8" thickBot="1" x14ac:dyDescent="0.25">
      <c r="A269" s="778"/>
      <c r="B269" s="779" t="s">
        <v>0</v>
      </c>
      <c r="C269" s="780"/>
      <c r="D269" s="781"/>
      <c r="E269" s="782"/>
      <c r="F269" s="783">
        <f>SUM(F17:F268)</f>
        <v>4408297.8555799993</v>
      </c>
      <c r="G269" s="784"/>
      <c r="H269" s="783">
        <f>SUM(H17:H268)</f>
        <v>0</v>
      </c>
      <c r="I269" s="786"/>
      <c r="J269" s="783">
        <f>SUM(J17:J268)</f>
        <v>0</v>
      </c>
      <c r="K269" s="784"/>
      <c r="L269" s="783">
        <f>SUM(L17:L268)</f>
        <v>0</v>
      </c>
      <c r="M269" s="788"/>
      <c r="N269" s="789"/>
      <c r="O269" s="783">
        <f>SUM(O17:O268)</f>
        <v>4408297.8555799993</v>
      </c>
      <c r="P269" s="204">
        <f t="shared" ref="P269" si="98">+F269-L269-O269</f>
        <v>0</v>
      </c>
      <c r="S269" s="388"/>
      <c r="T269" s="339"/>
    </row>
    <row r="270" spans="1:20" x14ac:dyDescent="0.2">
      <c r="G270" s="139"/>
      <c r="H270" s="212">
        <f>+H269/F269</f>
        <v>0</v>
      </c>
      <c r="I270" s="705"/>
      <c r="J270" s="212">
        <f>+J269/F269</f>
        <v>0</v>
      </c>
      <c r="K270" s="206"/>
      <c r="L270" s="212">
        <f>+L269/F269</f>
        <v>0</v>
      </c>
      <c r="M270" s="206"/>
      <c r="N270" s="206"/>
      <c r="O270" s="391">
        <f>+O269/F269</f>
        <v>1</v>
      </c>
      <c r="S270" s="388"/>
      <c r="T270" s="339"/>
    </row>
    <row r="271" spans="1:20" x14ac:dyDescent="0.2">
      <c r="B271" s="204"/>
      <c r="E271" s="198" t="s">
        <v>238</v>
      </c>
      <c r="F271" s="402" t="e">
        <f>+#REF!</f>
        <v>#REF!</v>
      </c>
      <c r="G271" s="163">
        <v>100</v>
      </c>
      <c r="H271" s="164"/>
      <c r="I271" s="708"/>
      <c r="J271" s="163"/>
      <c r="K271" s="163"/>
      <c r="L271" s="163"/>
    </row>
    <row r="272" spans="1:20" x14ac:dyDescent="0.2">
      <c r="B272" s="197" t="s">
        <v>284</v>
      </c>
      <c r="F272" s="402" t="e">
        <f>+#REF!</f>
        <v>#REF!</v>
      </c>
      <c r="G272" s="188" t="s">
        <v>237</v>
      </c>
      <c r="H272" s="164" t="e">
        <f>+F272*G271/F271</f>
        <v>#REF!</v>
      </c>
      <c r="I272" s="708"/>
      <c r="J272" s="163"/>
      <c r="K272" s="163"/>
      <c r="L272" s="430"/>
    </row>
    <row r="273" spans="2:15" x14ac:dyDescent="0.2">
      <c r="G273" s="163"/>
      <c r="H273" s="164"/>
      <c r="I273" s="708"/>
      <c r="J273" s="163"/>
      <c r="K273" s="163"/>
      <c r="L273" s="474"/>
      <c r="O273" s="361"/>
    </row>
    <row r="274" spans="2:15" x14ac:dyDescent="0.2">
      <c r="G274" s="163"/>
      <c r="H274" s="164"/>
      <c r="I274" s="708"/>
      <c r="J274" s="163"/>
      <c r="K274" s="163"/>
      <c r="L274" s="430"/>
      <c r="M274" s="202"/>
    </row>
    <row r="275" spans="2:15" x14ac:dyDescent="0.2">
      <c r="E275" s="198" t="s">
        <v>236</v>
      </c>
      <c r="F275" s="402" t="e">
        <f>+#REF!</f>
        <v>#REF!</v>
      </c>
      <c r="G275" s="198">
        <v>100</v>
      </c>
      <c r="L275" s="430"/>
      <c r="M275" s="202"/>
      <c r="N275" s="202"/>
    </row>
    <row r="276" spans="2:15" x14ac:dyDescent="0.2">
      <c r="B276" s="204"/>
      <c r="F276" s="402" t="e">
        <f>+#REF!</f>
        <v>#REF!</v>
      </c>
      <c r="G276" s="188" t="s">
        <v>237</v>
      </c>
      <c r="H276" s="164" t="e">
        <f>+F276*G275/F275</f>
        <v>#REF!</v>
      </c>
      <c r="L276" s="474"/>
      <c r="M276" s="202"/>
      <c r="N276" s="202"/>
    </row>
    <row r="277" spans="2:15" x14ac:dyDescent="0.2">
      <c r="B277" s="197">
        <f>0.82*4408297.86</f>
        <v>3614804.2452000002</v>
      </c>
      <c r="L277" s="474"/>
      <c r="M277" s="202"/>
      <c r="N277" s="202"/>
    </row>
    <row r="278" spans="2:15" x14ac:dyDescent="0.2">
      <c r="L278" s="474"/>
      <c r="M278" s="202"/>
      <c r="N278" s="202"/>
    </row>
    <row r="279" spans="2:15" x14ac:dyDescent="0.2">
      <c r="L279" s="474"/>
      <c r="M279" s="202"/>
      <c r="N279" s="202"/>
    </row>
    <row r="280" spans="2:15" x14ac:dyDescent="0.2">
      <c r="L280" s="474"/>
      <c r="M280" s="202"/>
      <c r="N280" s="202"/>
    </row>
    <row r="281" spans="2:15" x14ac:dyDescent="0.2">
      <c r="L281" s="474"/>
      <c r="M281" s="202"/>
      <c r="N281" s="202"/>
    </row>
    <row r="282" spans="2:15" x14ac:dyDescent="0.2">
      <c r="L282" s="474"/>
      <c r="N282" s="202"/>
    </row>
    <row r="283" spans="2:15" x14ac:dyDescent="0.2">
      <c r="L283" s="474"/>
    </row>
    <row r="284" spans="2:15" x14ac:dyDescent="0.2">
      <c r="D284" s="392" t="s">
        <v>240</v>
      </c>
      <c r="F284" s="402">
        <f>+Hoja1!C9</f>
        <v>17878272.109999999</v>
      </c>
      <c r="L284" s="474"/>
    </row>
    <row r="285" spans="2:15" x14ac:dyDescent="0.2">
      <c r="D285" s="392" t="s">
        <v>239</v>
      </c>
      <c r="F285" s="402">
        <v>7768320.3169999998</v>
      </c>
      <c r="G285" s="2218" t="e">
        <f>+#REF!+#REF!+#REF!</f>
        <v>#REF!</v>
      </c>
      <c r="H285" s="2218"/>
      <c r="I285" s="709"/>
      <c r="L285" s="474"/>
    </row>
    <row r="286" spans="2:15" x14ac:dyDescent="0.2">
      <c r="D286" s="392" t="s">
        <v>241</v>
      </c>
      <c r="F286" s="2209">
        <f>+F284/F285</f>
        <v>2.3014334348283287</v>
      </c>
      <c r="G286" s="2209"/>
      <c r="L286" s="672"/>
    </row>
    <row r="287" spans="2:15" x14ac:dyDescent="0.2">
      <c r="F287" s="2209">
        <v>0.99995749184038185</v>
      </c>
      <c r="G287" s="2209"/>
      <c r="L287" s="672"/>
    </row>
    <row r="288" spans="2:15" x14ac:dyDescent="0.2">
      <c r="L288" s="672"/>
    </row>
    <row r="289" spans="2:12" x14ac:dyDescent="0.2">
      <c r="L289" s="672"/>
    </row>
    <row r="290" spans="2:12" x14ac:dyDescent="0.2">
      <c r="L290" s="672"/>
    </row>
    <row r="291" spans="2:12" x14ac:dyDescent="0.2">
      <c r="B291" s="422" t="s">
        <v>279</v>
      </c>
      <c r="D291" s="198">
        <v>3113204.7033898309</v>
      </c>
      <c r="E291" s="197"/>
    </row>
    <row r="292" spans="2:12" x14ac:dyDescent="0.2">
      <c r="B292" s="422" t="s">
        <v>278</v>
      </c>
      <c r="D292" s="392">
        <f>0.1*D291</f>
        <v>311320.47033898311</v>
      </c>
    </row>
    <row r="293" spans="2:12" x14ac:dyDescent="0.2">
      <c r="B293" s="422" t="s">
        <v>308</v>
      </c>
      <c r="D293" s="392">
        <f>0.1*D291</f>
        <v>311320.47033898311</v>
      </c>
    </row>
    <row r="294" spans="2:12" x14ac:dyDescent="0.2">
      <c r="B294" s="422" t="s">
        <v>280</v>
      </c>
      <c r="D294" s="392">
        <f>SUM(D291:D293)</f>
        <v>3735845.6440677969</v>
      </c>
    </row>
    <row r="295" spans="2:12" x14ac:dyDescent="0.2">
      <c r="B295" s="422" t="s">
        <v>281</v>
      </c>
      <c r="D295" s="392">
        <v>1</v>
      </c>
    </row>
    <row r="296" spans="2:12" x14ac:dyDescent="0.2">
      <c r="B296" s="422" t="s">
        <v>282</v>
      </c>
      <c r="D296" s="198">
        <v>3735845.6440677969</v>
      </c>
      <c r="E296" s="197"/>
    </row>
    <row r="297" spans="2:12" x14ac:dyDescent="0.2">
      <c r="B297" s="422" t="s">
        <v>173</v>
      </c>
      <c r="D297" s="392">
        <f>0.18*D296</f>
        <v>672452.21593220346</v>
      </c>
    </row>
    <row r="298" spans="2:12" ht="10.8" thickBot="1" x14ac:dyDescent="0.25">
      <c r="B298" s="423" t="s">
        <v>0</v>
      </c>
      <c r="D298" s="392">
        <v>4408297.8600000003</v>
      </c>
    </row>
  </sheetData>
  <autoFilter ref="A14:O268"/>
  <mergeCells count="15">
    <mergeCell ref="F287:G287"/>
    <mergeCell ref="A12:A13"/>
    <mergeCell ref="C12:F12"/>
    <mergeCell ref="G12:H12"/>
    <mergeCell ref="I12:J12"/>
    <mergeCell ref="G285:H285"/>
    <mergeCell ref="F286:G286"/>
    <mergeCell ref="K12:M12"/>
    <mergeCell ref="N12:O12"/>
    <mergeCell ref="A1:B1"/>
    <mergeCell ref="C1:J1"/>
    <mergeCell ref="A2:B2"/>
    <mergeCell ref="A3:O3"/>
    <mergeCell ref="A4:O4"/>
    <mergeCell ref="D6:O6"/>
  </mergeCells>
  <conditionalFormatting sqref="O271:O1048576 O1:O12 O14">
    <cfRule type="cellIs" dxfId="4" priority="11" operator="greaterThan">
      <formula>0</formula>
    </cfRule>
  </conditionalFormatting>
  <conditionalFormatting sqref="O270">
    <cfRule type="cellIs" dxfId="3" priority="1" operator="greaterThan">
      <formula>0</formula>
    </cfRule>
  </conditionalFormatting>
  <printOptions horizontalCentered="1"/>
  <pageMargins left="0.19685039370078741" right="0" top="1.1811023622047245" bottom="0.55118110236220474" header="0.31496062992125984" footer="0.31496062992125984"/>
  <pageSetup paperSize="9" scale="55" orientation="landscape" horizontalDpi="4294967294" r:id="rId1"/>
  <rowBreaks count="1" manualBreakCount="1">
    <brk id="217" max="14" man="1"/>
  </rowBreak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IS47"/>
  <sheetViews>
    <sheetView view="pageBreakPreview" topLeftCell="A12" zoomScale="85" zoomScaleNormal="90" zoomScaleSheetLayoutView="85" workbookViewId="0">
      <pane ySplit="876" activePane="bottomLeft"/>
      <selection activeCell="I1" sqref="I1:I1048576"/>
      <selection pane="bottomLeft" activeCell="A4" sqref="A4:O4"/>
    </sheetView>
  </sheetViews>
  <sheetFormatPr baseColWidth="10" defaultColWidth="10.5546875" defaultRowHeight="10.199999999999999" x14ac:dyDescent="0.2"/>
  <cols>
    <col min="1" max="1" width="11" style="205" customWidth="1"/>
    <col min="2" max="2" width="57.88671875" style="197" customWidth="1"/>
    <col min="3" max="3" width="6.88671875" style="198" customWidth="1"/>
    <col min="4" max="4" width="11" style="392" customWidth="1"/>
    <col min="5" max="5" width="11" style="198" customWidth="1"/>
    <col min="6" max="6" width="14.33203125" style="402" customWidth="1"/>
    <col min="7" max="7" width="11.5546875" style="198" customWidth="1"/>
    <col min="8" max="8" width="12.44140625" style="198" customWidth="1"/>
    <col min="9" max="9" width="11" style="704" customWidth="1"/>
    <col min="10" max="10" width="15" style="198" customWidth="1"/>
    <col min="11" max="11" width="11" style="198" customWidth="1"/>
    <col min="12" max="12" width="16" style="198" customWidth="1"/>
    <col min="13" max="13" width="7.44140625" style="198" customWidth="1"/>
    <col min="14" max="14" width="11" style="198" customWidth="1"/>
    <col min="15" max="15" width="17.33203125" style="198" customWidth="1"/>
    <col min="16" max="16" width="7.33203125" style="197" customWidth="1"/>
    <col min="17" max="17" width="10.5546875" style="197" customWidth="1"/>
    <col min="18" max="18" width="14.44140625" style="387" customWidth="1"/>
    <col min="19" max="19" width="18.6640625" style="387" customWidth="1"/>
    <col min="20" max="16384" width="10.5546875" style="197"/>
  </cols>
  <sheetData>
    <row r="1" spans="1:253" x14ac:dyDescent="0.2">
      <c r="A1" s="2172" t="str">
        <f>RESUM_VAL_!A1</f>
        <v>GOBIERNO REGIONAL AYACUCHO</v>
      </c>
      <c r="B1" s="2172"/>
      <c r="C1" s="2191"/>
      <c r="D1" s="2191"/>
      <c r="E1" s="2191"/>
      <c r="F1" s="2191"/>
      <c r="G1" s="2191"/>
      <c r="H1" s="2191"/>
      <c r="I1" s="2191"/>
      <c r="J1" s="2191"/>
      <c r="K1" s="139"/>
      <c r="L1" s="139"/>
      <c r="M1" s="139"/>
      <c r="N1" s="139"/>
      <c r="O1" s="139"/>
      <c r="P1" s="125"/>
      <c r="Q1" s="125"/>
      <c r="T1" s="125"/>
      <c r="U1" s="125"/>
      <c r="V1" s="125"/>
      <c r="W1" s="125"/>
      <c r="X1" s="125"/>
      <c r="Y1" s="125"/>
      <c r="Z1" s="125"/>
      <c r="AA1" s="125"/>
      <c r="AB1" s="125"/>
      <c r="AC1" s="125"/>
      <c r="AD1" s="125"/>
      <c r="AE1" s="125"/>
      <c r="AF1" s="125"/>
      <c r="AG1" s="125"/>
      <c r="AH1" s="125"/>
      <c r="AI1" s="125"/>
      <c r="AJ1" s="125"/>
      <c r="AK1" s="125"/>
      <c r="AL1" s="125"/>
      <c r="AM1" s="125"/>
      <c r="AN1" s="125"/>
      <c r="AO1" s="125"/>
      <c r="AP1" s="125"/>
      <c r="AQ1" s="125"/>
      <c r="AR1" s="125"/>
      <c r="AS1" s="125"/>
      <c r="AT1" s="125"/>
      <c r="AU1" s="125"/>
      <c r="AV1" s="125"/>
      <c r="AW1" s="125"/>
      <c r="AX1" s="125"/>
      <c r="AY1" s="125"/>
      <c r="AZ1" s="125"/>
      <c r="BA1" s="125"/>
      <c r="BB1" s="125"/>
      <c r="BC1" s="125"/>
      <c r="BD1" s="125"/>
      <c r="BE1" s="125"/>
      <c r="BF1" s="125"/>
      <c r="BG1" s="125"/>
      <c r="BH1" s="125"/>
      <c r="BI1" s="125"/>
      <c r="BJ1" s="125"/>
      <c r="BK1" s="125"/>
      <c r="BL1" s="125"/>
      <c r="BM1" s="125"/>
      <c r="BN1" s="125"/>
      <c r="BO1" s="125"/>
      <c r="BP1" s="125"/>
      <c r="BQ1" s="125"/>
      <c r="BR1" s="125"/>
      <c r="BS1" s="125"/>
      <c r="BT1" s="125"/>
      <c r="BU1" s="125"/>
      <c r="BV1" s="125"/>
      <c r="BW1" s="125"/>
      <c r="BX1" s="125"/>
      <c r="BY1" s="125"/>
      <c r="BZ1" s="125"/>
      <c r="CA1" s="125"/>
      <c r="CB1" s="125"/>
      <c r="CC1" s="125"/>
      <c r="CD1" s="125"/>
      <c r="CE1" s="125"/>
      <c r="CF1" s="125"/>
      <c r="CG1" s="125"/>
      <c r="CH1" s="125"/>
      <c r="CI1" s="125"/>
      <c r="CJ1" s="125"/>
      <c r="CK1" s="125"/>
      <c r="CL1" s="125"/>
      <c r="CM1" s="125"/>
      <c r="CN1" s="125"/>
      <c r="CO1" s="125"/>
      <c r="CP1" s="125"/>
      <c r="CQ1" s="125"/>
      <c r="CR1" s="125"/>
      <c r="CS1" s="125"/>
      <c r="CT1" s="125"/>
      <c r="CU1" s="125"/>
      <c r="CV1" s="125"/>
      <c r="CW1" s="125"/>
      <c r="CX1" s="125"/>
      <c r="CY1" s="125"/>
      <c r="CZ1" s="125"/>
      <c r="DA1" s="125"/>
      <c r="DB1" s="125"/>
      <c r="DC1" s="125"/>
      <c r="DD1" s="125"/>
      <c r="DE1" s="125"/>
      <c r="DF1" s="125"/>
      <c r="DG1" s="125"/>
      <c r="DH1" s="125"/>
      <c r="DI1" s="125"/>
      <c r="DJ1" s="125"/>
      <c r="DK1" s="125"/>
      <c r="DL1" s="125"/>
      <c r="DM1" s="125"/>
      <c r="DN1" s="125"/>
      <c r="DO1" s="125"/>
      <c r="DP1" s="125"/>
      <c r="DQ1" s="125"/>
      <c r="DR1" s="125"/>
      <c r="DS1" s="125"/>
      <c r="DT1" s="125"/>
      <c r="DU1" s="125"/>
      <c r="DV1" s="125"/>
      <c r="DW1" s="125"/>
      <c r="DX1" s="125"/>
      <c r="DY1" s="125"/>
      <c r="DZ1" s="125"/>
      <c r="EA1" s="125"/>
      <c r="EB1" s="125"/>
      <c r="EC1" s="125"/>
      <c r="ED1" s="125"/>
      <c r="EE1" s="125"/>
      <c r="EF1" s="125"/>
      <c r="EG1" s="125"/>
      <c r="EH1" s="125"/>
      <c r="EI1" s="125"/>
      <c r="EJ1" s="125"/>
      <c r="EK1" s="125"/>
      <c r="EL1" s="125"/>
      <c r="EM1" s="125"/>
      <c r="EN1" s="125"/>
      <c r="EO1" s="125"/>
      <c r="EP1" s="125"/>
      <c r="EQ1" s="125"/>
      <c r="ER1" s="125"/>
      <c r="ES1" s="125"/>
      <c r="ET1" s="125"/>
      <c r="EU1" s="125"/>
      <c r="EV1" s="125"/>
      <c r="EW1" s="125"/>
      <c r="EX1" s="125"/>
      <c r="EY1" s="125"/>
      <c r="EZ1" s="125"/>
      <c r="FA1" s="125"/>
      <c r="FB1" s="125"/>
      <c r="FC1" s="125"/>
      <c r="FD1" s="125"/>
      <c r="FE1" s="125"/>
      <c r="FF1" s="125"/>
      <c r="FG1" s="125"/>
      <c r="FH1" s="125"/>
      <c r="FI1" s="125"/>
      <c r="FJ1" s="125"/>
      <c r="FK1" s="125"/>
      <c r="FL1" s="125"/>
      <c r="FM1" s="125"/>
      <c r="FN1" s="125"/>
      <c r="FO1" s="125"/>
      <c r="FP1" s="125"/>
      <c r="FQ1" s="125"/>
      <c r="FR1" s="125"/>
      <c r="FS1" s="125"/>
      <c r="FT1" s="125"/>
      <c r="FU1" s="125"/>
      <c r="FV1" s="125"/>
      <c r="FW1" s="125"/>
      <c r="FX1" s="125"/>
      <c r="FY1" s="125"/>
      <c r="FZ1" s="125"/>
      <c r="GA1" s="125"/>
      <c r="GB1" s="125"/>
      <c r="GC1" s="125"/>
      <c r="GD1" s="125"/>
      <c r="GE1" s="125"/>
      <c r="GF1" s="125"/>
      <c r="GG1" s="125"/>
      <c r="GH1" s="125"/>
      <c r="GI1" s="125"/>
      <c r="GJ1" s="125"/>
      <c r="GK1" s="125"/>
      <c r="GL1" s="125"/>
      <c r="GM1" s="125"/>
      <c r="GN1" s="125"/>
      <c r="GO1" s="125"/>
      <c r="GP1" s="125"/>
      <c r="GQ1" s="125"/>
      <c r="GR1" s="125"/>
      <c r="GS1" s="125"/>
      <c r="GT1" s="125"/>
      <c r="GU1" s="125"/>
      <c r="GV1" s="125"/>
      <c r="GW1" s="125"/>
      <c r="GX1" s="125"/>
      <c r="GY1" s="125"/>
      <c r="GZ1" s="125"/>
      <c r="HA1" s="125"/>
      <c r="HB1" s="125"/>
      <c r="HC1" s="125"/>
      <c r="HD1" s="125"/>
      <c r="HE1" s="125"/>
      <c r="HF1" s="125"/>
      <c r="HG1" s="125"/>
      <c r="HH1" s="125"/>
      <c r="HI1" s="125"/>
      <c r="HJ1" s="125"/>
      <c r="HK1" s="125"/>
      <c r="HL1" s="125"/>
      <c r="HM1" s="125"/>
      <c r="HN1" s="125"/>
      <c r="HO1" s="125"/>
      <c r="HP1" s="125"/>
      <c r="HQ1" s="125"/>
      <c r="HR1" s="125"/>
      <c r="HS1" s="125"/>
      <c r="HT1" s="125"/>
      <c r="HU1" s="125"/>
      <c r="HV1" s="125"/>
      <c r="HW1" s="125"/>
      <c r="HX1" s="125"/>
      <c r="HY1" s="125"/>
      <c r="HZ1" s="125"/>
      <c r="IA1" s="125"/>
      <c r="IB1" s="125"/>
      <c r="IC1" s="125"/>
      <c r="ID1" s="125"/>
      <c r="IE1" s="125"/>
      <c r="IF1" s="125"/>
      <c r="IG1" s="125"/>
      <c r="IH1" s="125"/>
      <c r="II1" s="125"/>
      <c r="IJ1" s="125"/>
      <c r="IK1" s="125"/>
      <c r="IL1" s="125"/>
      <c r="IM1" s="125"/>
      <c r="IN1" s="125"/>
      <c r="IO1" s="125"/>
      <c r="IP1" s="125"/>
      <c r="IQ1" s="125"/>
      <c r="IR1" s="125"/>
      <c r="IS1" s="125"/>
    </row>
    <row r="2" spans="1:253" x14ac:dyDescent="0.2">
      <c r="A2" s="2172" t="str">
        <f>RESUM_VAL_!A2</f>
        <v>SUBGERENCIA DE SUPERVISION Y LIQUIDACION</v>
      </c>
      <c r="B2" s="2172"/>
      <c r="F2" s="400"/>
      <c r="G2" s="139"/>
      <c r="H2" s="139"/>
      <c r="J2" s="139"/>
      <c r="K2" s="139"/>
      <c r="L2" s="139"/>
      <c r="M2" s="139"/>
      <c r="N2" s="139"/>
      <c r="O2" s="139"/>
      <c r="P2" s="125"/>
      <c r="Q2" s="125"/>
      <c r="T2" s="125"/>
      <c r="U2" s="125"/>
      <c r="V2" s="125"/>
      <c r="W2" s="125"/>
      <c r="X2" s="125"/>
      <c r="Y2" s="125"/>
      <c r="Z2" s="125"/>
      <c r="AA2" s="125"/>
      <c r="AB2" s="125"/>
      <c r="AC2" s="125"/>
      <c r="AD2" s="125"/>
      <c r="AE2" s="125"/>
      <c r="AF2" s="125"/>
      <c r="AG2" s="125"/>
      <c r="AH2" s="125"/>
      <c r="AI2" s="125"/>
      <c r="AJ2" s="125"/>
      <c r="AK2" s="125"/>
      <c r="AL2" s="125"/>
      <c r="AM2" s="125"/>
      <c r="AN2" s="125"/>
      <c r="AO2" s="125"/>
      <c r="AP2" s="125"/>
      <c r="AQ2" s="125"/>
      <c r="AR2" s="125"/>
      <c r="AS2" s="125"/>
      <c r="AT2" s="125"/>
      <c r="AU2" s="125"/>
      <c r="AV2" s="125"/>
      <c r="AW2" s="125"/>
      <c r="AX2" s="125"/>
      <c r="AY2" s="125"/>
      <c r="AZ2" s="125"/>
      <c r="BA2" s="125"/>
      <c r="BB2" s="125"/>
      <c r="BC2" s="125"/>
      <c r="BD2" s="125"/>
      <c r="BE2" s="125"/>
      <c r="BF2" s="125"/>
      <c r="BG2" s="125"/>
      <c r="BH2" s="125"/>
      <c r="BI2" s="125"/>
      <c r="BJ2" s="125"/>
      <c r="BK2" s="125"/>
      <c r="BL2" s="125"/>
      <c r="BM2" s="125"/>
      <c r="BN2" s="125"/>
      <c r="BO2" s="125"/>
      <c r="BP2" s="125"/>
      <c r="BQ2" s="125"/>
      <c r="BR2" s="125"/>
      <c r="BS2" s="125"/>
      <c r="BT2" s="125"/>
      <c r="BU2" s="125"/>
      <c r="BV2" s="125"/>
      <c r="BW2" s="125"/>
      <c r="BX2" s="125"/>
      <c r="BY2" s="125"/>
      <c r="BZ2" s="125"/>
      <c r="CA2" s="125"/>
      <c r="CB2" s="125"/>
      <c r="CC2" s="125"/>
      <c r="CD2" s="125"/>
      <c r="CE2" s="125"/>
      <c r="CF2" s="125"/>
      <c r="CG2" s="125"/>
      <c r="CH2" s="125"/>
      <c r="CI2" s="125"/>
      <c r="CJ2" s="125"/>
      <c r="CK2" s="125"/>
      <c r="CL2" s="125"/>
      <c r="CM2" s="125"/>
      <c r="CN2" s="125"/>
      <c r="CO2" s="125"/>
      <c r="CP2" s="125"/>
      <c r="CQ2" s="125"/>
      <c r="CR2" s="125"/>
      <c r="CS2" s="125"/>
      <c r="CT2" s="125"/>
      <c r="CU2" s="125"/>
      <c r="CV2" s="125"/>
      <c r="CW2" s="125"/>
      <c r="CX2" s="125"/>
      <c r="CY2" s="125"/>
      <c r="CZ2" s="125"/>
      <c r="DA2" s="125"/>
      <c r="DB2" s="125"/>
      <c r="DC2" s="125"/>
      <c r="DD2" s="125"/>
      <c r="DE2" s="125"/>
      <c r="DF2" s="125"/>
      <c r="DG2" s="125"/>
      <c r="DH2" s="125"/>
      <c r="DI2" s="125"/>
      <c r="DJ2" s="125"/>
      <c r="DK2" s="125"/>
      <c r="DL2" s="125"/>
      <c r="DM2" s="125"/>
      <c r="DN2" s="125"/>
      <c r="DO2" s="125"/>
      <c r="DP2" s="125"/>
      <c r="DQ2" s="125"/>
      <c r="DR2" s="125"/>
      <c r="DS2" s="125"/>
      <c r="DT2" s="125"/>
      <c r="DU2" s="125"/>
      <c r="DV2" s="125"/>
      <c r="DW2" s="125"/>
      <c r="DX2" s="125"/>
      <c r="DY2" s="125"/>
      <c r="DZ2" s="125"/>
      <c r="EA2" s="125"/>
      <c r="EB2" s="125"/>
      <c r="EC2" s="125"/>
      <c r="ED2" s="125"/>
      <c r="EE2" s="125"/>
      <c r="EF2" s="125"/>
      <c r="EG2" s="125"/>
      <c r="EH2" s="125"/>
      <c r="EI2" s="125"/>
      <c r="EJ2" s="125"/>
      <c r="EK2" s="125"/>
      <c r="EL2" s="125"/>
      <c r="EM2" s="125"/>
      <c r="EN2" s="125"/>
      <c r="EO2" s="125"/>
      <c r="EP2" s="125"/>
      <c r="EQ2" s="125"/>
      <c r="ER2" s="125"/>
      <c r="ES2" s="125"/>
      <c r="ET2" s="125"/>
      <c r="EU2" s="125"/>
      <c r="EV2" s="125"/>
      <c r="EW2" s="125"/>
      <c r="EX2" s="125"/>
      <c r="EY2" s="125"/>
      <c r="EZ2" s="125"/>
      <c r="FA2" s="125"/>
      <c r="FB2" s="125"/>
      <c r="FC2" s="125"/>
      <c r="FD2" s="125"/>
      <c r="FE2" s="125"/>
      <c r="FF2" s="125"/>
      <c r="FG2" s="125"/>
      <c r="FH2" s="125"/>
      <c r="FI2" s="125"/>
      <c r="FJ2" s="125"/>
      <c r="FK2" s="125"/>
      <c r="FL2" s="125"/>
      <c r="FM2" s="125"/>
      <c r="FN2" s="125"/>
      <c r="FO2" s="125"/>
      <c r="FP2" s="125"/>
      <c r="FQ2" s="125"/>
      <c r="FR2" s="125"/>
      <c r="FS2" s="125"/>
      <c r="FT2" s="125"/>
      <c r="FU2" s="125"/>
      <c r="FV2" s="125"/>
      <c r="FW2" s="125"/>
      <c r="FX2" s="125"/>
      <c r="FY2" s="125"/>
      <c r="FZ2" s="125"/>
      <c r="GA2" s="125"/>
      <c r="GB2" s="125"/>
      <c r="GC2" s="125"/>
      <c r="GD2" s="125"/>
      <c r="GE2" s="125"/>
      <c r="GF2" s="125"/>
      <c r="GG2" s="125"/>
      <c r="GH2" s="125"/>
      <c r="GI2" s="125"/>
      <c r="GJ2" s="125"/>
      <c r="GK2" s="125"/>
      <c r="GL2" s="125"/>
      <c r="GM2" s="125"/>
      <c r="GN2" s="125"/>
      <c r="GO2" s="125"/>
      <c r="GP2" s="125"/>
      <c r="GQ2" s="125"/>
      <c r="GR2" s="125"/>
      <c r="GS2" s="125"/>
      <c r="GT2" s="125"/>
      <c r="GU2" s="125"/>
      <c r="GV2" s="125"/>
      <c r="GW2" s="125"/>
      <c r="GX2" s="125"/>
      <c r="GY2" s="125"/>
      <c r="GZ2" s="125"/>
      <c r="HA2" s="125"/>
      <c r="HB2" s="125"/>
      <c r="HC2" s="125"/>
      <c r="HD2" s="125"/>
      <c r="HE2" s="125"/>
      <c r="HF2" s="125"/>
      <c r="HG2" s="125"/>
      <c r="HH2" s="125"/>
      <c r="HI2" s="125"/>
      <c r="HJ2" s="125"/>
      <c r="HK2" s="125"/>
      <c r="HL2" s="125"/>
      <c r="HM2" s="125"/>
      <c r="HN2" s="125"/>
      <c r="HO2" s="125"/>
      <c r="HP2" s="125"/>
      <c r="HQ2" s="125"/>
      <c r="HR2" s="125"/>
      <c r="HS2" s="125"/>
      <c r="HT2" s="125"/>
      <c r="HU2" s="125"/>
      <c r="HV2" s="125"/>
      <c r="HW2" s="125"/>
      <c r="HX2" s="125"/>
      <c r="HY2" s="125"/>
      <c r="HZ2" s="125"/>
      <c r="IA2" s="125"/>
      <c r="IB2" s="125"/>
      <c r="IC2" s="125"/>
      <c r="ID2" s="125"/>
      <c r="IE2" s="125"/>
      <c r="IF2" s="125"/>
      <c r="IG2" s="125"/>
      <c r="IH2" s="125"/>
      <c r="II2" s="125"/>
      <c r="IJ2" s="125"/>
      <c r="IK2" s="125"/>
      <c r="IL2" s="125"/>
      <c r="IM2" s="125"/>
      <c r="IN2" s="125"/>
      <c r="IO2" s="125"/>
      <c r="IP2" s="125"/>
      <c r="IQ2" s="125"/>
      <c r="IR2" s="125"/>
      <c r="IS2" s="125"/>
    </row>
    <row r="3" spans="1:253" ht="18" x14ac:dyDescent="0.35">
      <c r="A3" s="2174" t="str">
        <f>CARAT_!A45</f>
        <v>INFORME DE SUPERVISIÓN N° 09 - DICIEMBRE - 2022</v>
      </c>
      <c r="B3" s="2174"/>
      <c r="C3" s="2174"/>
      <c r="D3" s="2174"/>
      <c r="E3" s="2174"/>
      <c r="F3" s="2174"/>
      <c r="G3" s="2174"/>
      <c r="H3" s="2174"/>
      <c r="I3" s="2174"/>
      <c r="J3" s="2174"/>
      <c r="K3" s="2174"/>
      <c r="L3" s="2174"/>
      <c r="M3" s="2174"/>
      <c r="N3" s="2174"/>
      <c r="O3" s="2174"/>
      <c r="P3" s="125"/>
      <c r="Q3" s="125"/>
      <c r="T3" s="125"/>
      <c r="U3" s="125"/>
      <c r="V3" s="125"/>
      <c r="W3" s="125"/>
      <c r="X3" s="125"/>
      <c r="Y3" s="125"/>
      <c r="Z3" s="125"/>
      <c r="AA3" s="125"/>
      <c r="AB3" s="125"/>
      <c r="AC3" s="125"/>
      <c r="AD3" s="125"/>
      <c r="AE3" s="125"/>
      <c r="AF3" s="125"/>
      <c r="AG3" s="125"/>
      <c r="AH3" s="125"/>
      <c r="AI3" s="125"/>
      <c r="AJ3" s="125"/>
      <c r="AK3" s="125"/>
      <c r="AL3" s="125"/>
      <c r="AM3" s="125"/>
      <c r="AN3" s="125"/>
      <c r="AO3" s="125"/>
      <c r="AP3" s="125"/>
      <c r="AQ3" s="125"/>
      <c r="AR3" s="125"/>
      <c r="AS3" s="125"/>
      <c r="AT3" s="125"/>
      <c r="AU3" s="125"/>
      <c r="AV3" s="125"/>
      <c r="AW3" s="125"/>
      <c r="AX3" s="125"/>
      <c r="AY3" s="125"/>
      <c r="AZ3" s="125"/>
      <c r="BA3" s="125"/>
      <c r="BB3" s="125"/>
      <c r="BC3" s="125"/>
      <c r="BD3" s="125"/>
      <c r="BE3" s="125"/>
      <c r="BF3" s="125"/>
      <c r="BG3" s="125"/>
      <c r="BH3" s="125"/>
      <c r="BI3" s="125"/>
      <c r="BJ3" s="125"/>
      <c r="BK3" s="125"/>
      <c r="BL3" s="125"/>
      <c r="BM3" s="125"/>
      <c r="BN3" s="125"/>
      <c r="BO3" s="125"/>
      <c r="BP3" s="125"/>
      <c r="BQ3" s="125"/>
      <c r="BR3" s="125"/>
      <c r="BS3" s="125"/>
      <c r="BT3" s="125"/>
      <c r="BU3" s="125"/>
      <c r="BV3" s="125"/>
      <c r="BW3" s="125"/>
      <c r="BX3" s="125"/>
      <c r="BY3" s="125"/>
      <c r="BZ3" s="125"/>
      <c r="CA3" s="125"/>
      <c r="CB3" s="125"/>
      <c r="CC3" s="125"/>
      <c r="CD3" s="125"/>
      <c r="CE3" s="125"/>
      <c r="CF3" s="125"/>
      <c r="CG3" s="125"/>
      <c r="CH3" s="125"/>
      <c r="CI3" s="125"/>
      <c r="CJ3" s="125"/>
      <c r="CK3" s="125"/>
      <c r="CL3" s="125"/>
      <c r="CM3" s="125"/>
      <c r="CN3" s="125"/>
      <c r="CO3" s="125"/>
      <c r="CP3" s="125"/>
      <c r="CQ3" s="125"/>
      <c r="CR3" s="125"/>
      <c r="CS3" s="125"/>
      <c r="CT3" s="125"/>
      <c r="CU3" s="125"/>
      <c r="CV3" s="125"/>
      <c r="CW3" s="125"/>
      <c r="CX3" s="125"/>
      <c r="CY3" s="125"/>
      <c r="CZ3" s="125"/>
      <c r="DA3" s="125"/>
      <c r="DB3" s="125"/>
      <c r="DC3" s="125"/>
      <c r="DD3" s="125"/>
      <c r="DE3" s="125"/>
      <c r="DF3" s="125"/>
      <c r="DG3" s="125"/>
      <c r="DH3" s="125"/>
      <c r="DI3" s="125"/>
      <c r="DJ3" s="125"/>
      <c r="DK3" s="125"/>
      <c r="DL3" s="125"/>
      <c r="DM3" s="125"/>
      <c r="DN3" s="125"/>
      <c r="DO3" s="125"/>
      <c r="DP3" s="125"/>
      <c r="DQ3" s="125"/>
      <c r="DR3" s="125"/>
      <c r="DS3" s="125"/>
      <c r="DT3" s="125"/>
      <c r="DU3" s="125"/>
      <c r="DV3" s="125"/>
      <c r="DW3" s="125"/>
      <c r="DX3" s="125"/>
      <c r="DY3" s="125"/>
      <c r="DZ3" s="125"/>
      <c r="EA3" s="125"/>
      <c r="EB3" s="125"/>
      <c r="EC3" s="125"/>
      <c r="ED3" s="125"/>
      <c r="EE3" s="125"/>
      <c r="EF3" s="125"/>
      <c r="EG3" s="125"/>
      <c r="EH3" s="125"/>
      <c r="EI3" s="125"/>
      <c r="EJ3" s="125"/>
      <c r="EK3" s="125"/>
      <c r="EL3" s="125"/>
      <c r="EM3" s="125"/>
      <c r="EN3" s="125"/>
      <c r="EO3" s="125"/>
      <c r="EP3" s="125"/>
      <c r="EQ3" s="125"/>
      <c r="ER3" s="125"/>
      <c r="ES3" s="125"/>
      <c r="ET3" s="125"/>
      <c r="EU3" s="125"/>
      <c r="EV3" s="125"/>
      <c r="EW3" s="125"/>
      <c r="EX3" s="125"/>
      <c r="EY3" s="125"/>
      <c r="EZ3" s="125"/>
      <c r="FA3" s="125"/>
      <c r="FB3" s="125"/>
      <c r="FC3" s="125"/>
      <c r="FD3" s="125"/>
      <c r="FE3" s="125"/>
      <c r="FF3" s="125"/>
      <c r="FG3" s="125"/>
      <c r="FH3" s="125"/>
      <c r="FI3" s="125"/>
      <c r="FJ3" s="125"/>
      <c r="FK3" s="125"/>
      <c r="FL3" s="125"/>
      <c r="FM3" s="125"/>
      <c r="FN3" s="125"/>
      <c r="FO3" s="125"/>
      <c r="FP3" s="125"/>
      <c r="FQ3" s="125"/>
      <c r="FR3" s="125"/>
      <c r="FS3" s="125"/>
      <c r="FT3" s="125"/>
      <c r="FU3" s="125"/>
      <c r="FV3" s="125"/>
      <c r="FW3" s="125"/>
      <c r="FX3" s="125"/>
      <c r="FY3" s="125"/>
      <c r="FZ3" s="125"/>
      <c r="GA3" s="125"/>
      <c r="GB3" s="125"/>
      <c r="GC3" s="125"/>
      <c r="GD3" s="125"/>
      <c r="GE3" s="125"/>
      <c r="GF3" s="125"/>
      <c r="GG3" s="125"/>
      <c r="GH3" s="125"/>
      <c r="GI3" s="125"/>
      <c r="GJ3" s="125"/>
      <c r="GK3" s="125"/>
      <c r="GL3" s="125"/>
      <c r="GM3" s="125"/>
      <c r="GN3" s="125"/>
      <c r="GO3" s="125"/>
      <c r="GP3" s="125"/>
      <c r="GQ3" s="125"/>
      <c r="GR3" s="125"/>
      <c r="GS3" s="125"/>
      <c r="GT3" s="125"/>
      <c r="GU3" s="125"/>
      <c r="GV3" s="125"/>
      <c r="GW3" s="125"/>
      <c r="GX3" s="125"/>
      <c r="GY3" s="125"/>
      <c r="GZ3" s="125"/>
      <c r="HA3" s="125"/>
      <c r="HB3" s="125"/>
      <c r="HC3" s="125"/>
      <c r="HD3" s="125"/>
      <c r="HE3" s="125"/>
      <c r="HF3" s="125"/>
      <c r="HG3" s="125"/>
      <c r="HH3" s="125"/>
      <c r="HI3" s="125"/>
      <c r="HJ3" s="125"/>
      <c r="HK3" s="125"/>
      <c r="HL3" s="125"/>
      <c r="HM3" s="125"/>
      <c r="HN3" s="125"/>
      <c r="HO3" s="125"/>
      <c r="HP3" s="125"/>
      <c r="HQ3" s="125"/>
      <c r="HR3" s="125"/>
      <c r="HS3" s="125"/>
      <c r="HT3" s="125"/>
      <c r="HU3" s="125"/>
      <c r="HV3" s="125"/>
      <c r="HW3" s="125"/>
      <c r="HX3" s="125"/>
      <c r="HY3" s="125"/>
      <c r="HZ3" s="125"/>
      <c r="IA3" s="125"/>
      <c r="IB3" s="125"/>
      <c r="IC3" s="125"/>
      <c r="ID3" s="125"/>
      <c r="IE3" s="125"/>
      <c r="IF3" s="125"/>
      <c r="IG3" s="125"/>
      <c r="IH3" s="125"/>
      <c r="II3" s="125"/>
      <c r="IJ3" s="125"/>
      <c r="IK3" s="125"/>
      <c r="IL3" s="125"/>
      <c r="IM3" s="125"/>
      <c r="IN3" s="125"/>
      <c r="IO3" s="125"/>
      <c r="IP3" s="125"/>
      <c r="IQ3" s="125"/>
      <c r="IR3" s="125"/>
      <c r="IS3" s="125"/>
    </row>
    <row r="4" spans="1:253" x14ac:dyDescent="0.2">
      <c r="A4" s="2193"/>
      <c r="B4" s="2193"/>
      <c r="C4" s="2193"/>
      <c r="D4" s="2193"/>
      <c r="E4" s="2193"/>
      <c r="F4" s="2193"/>
      <c r="G4" s="2193"/>
      <c r="H4" s="2193"/>
      <c r="I4" s="2193"/>
      <c r="J4" s="2193"/>
      <c r="K4" s="2193"/>
      <c r="L4" s="2193"/>
      <c r="M4" s="2193"/>
      <c r="N4" s="2193"/>
      <c r="O4" s="2193"/>
      <c r="P4" s="125"/>
      <c r="Q4" s="125"/>
      <c r="T4" s="125"/>
      <c r="U4" s="125"/>
      <c r="V4" s="125"/>
      <c r="W4" s="125"/>
      <c r="X4" s="125"/>
      <c r="Y4" s="125"/>
      <c r="Z4" s="125"/>
      <c r="AA4" s="125"/>
      <c r="AB4" s="125"/>
      <c r="AC4" s="125"/>
      <c r="AD4" s="125"/>
      <c r="AE4" s="125"/>
      <c r="AF4" s="125"/>
      <c r="AG4" s="125"/>
      <c r="AH4" s="125"/>
      <c r="AI4" s="125"/>
      <c r="AJ4" s="125"/>
      <c r="AK4" s="125"/>
      <c r="AL4" s="125"/>
      <c r="AM4" s="125"/>
      <c r="AN4" s="125"/>
      <c r="AO4" s="125"/>
      <c r="AP4" s="125"/>
      <c r="AQ4" s="125"/>
      <c r="AR4" s="125"/>
      <c r="AS4" s="125"/>
      <c r="AT4" s="125"/>
      <c r="AU4" s="125"/>
      <c r="AV4" s="125"/>
      <c r="AW4" s="125"/>
      <c r="AX4" s="125"/>
      <c r="AY4" s="125"/>
      <c r="AZ4" s="125"/>
      <c r="BA4" s="125"/>
      <c r="BB4" s="125"/>
      <c r="BC4" s="125"/>
      <c r="BD4" s="125"/>
      <c r="BE4" s="125"/>
      <c r="BF4" s="125"/>
      <c r="BG4" s="125"/>
      <c r="BH4" s="125"/>
      <c r="BI4" s="125"/>
      <c r="BJ4" s="125"/>
      <c r="BK4" s="125"/>
      <c r="BL4" s="125"/>
      <c r="BM4" s="125"/>
      <c r="BN4" s="125"/>
      <c r="BO4" s="125"/>
      <c r="BP4" s="125"/>
      <c r="BQ4" s="125"/>
      <c r="BR4" s="125"/>
      <c r="BS4" s="125"/>
      <c r="BT4" s="125"/>
      <c r="BU4" s="125"/>
      <c r="BV4" s="125"/>
      <c r="BW4" s="125"/>
      <c r="BX4" s="125"/>
      <c r="BY4" s="125"/>
      <c r="BZ4" s="125"/>
      <c r="CA4" s="125"/>
      <c r="CB4" s="125"/>
      <c r="CC4" s="125"/>
      <c r="CD4" s="125"/>
      <c r="CE4" s="125"/>
      <c r="CF4" s="125"/>
      <c r="CG4" s="125"/>
      <c r="CH4" s="125"/>
      <c r="CI4" s="125"/>
      <c r="CJ4" s="125"/>
      <c r="CK4" s="125"/>
      <c r="CL4" s="125"/>
      <c r="CM4" s="125"/>
      <c r="CN4" s="125"/>
      <c r="CO4" s="125"/>
      <c r="CP4" s="125"/>
      <c r="CQ4" s="125"/>
      <c r="CR4" s="125"/>
      <c r="CS4" s="125"/>
      <c r="CT4" s="125"/>
      <c r="CU4" s="125"/>
      <c r="CV4" s="125"/>
      <c r="CW4" s="125"/>
      <c r="CX4" s="125"/>
      <c r="CY4" s="125"/>
      <c r="CZ4" s="125"/>
      <c r="DA4" s="125"/>
      <c r="DB4" s="125"/>
      <c r="DC4" s="125"/>
      <c r="DD4" s="125"/>
      <c r="DE4" s="125"/>
      <c r="DF4" s="125"/>
      <c r="DG4" s="125"/>
      <c r="DH4" s="125"/>
      <c r="DI4" s="125"/>
      <c r="DJ4" s="125"/>
      <c r="DK4" s="125"/>
      <c r="DL4" s="125"/>
      <c r="DM4" s="125"/>
      <c r="DN4" s="125"/>
      <c r="DO4" s="125"/>
      <c r="DP4" s="125"/>
      <c r="DQ4" s="125"/>
      <c r="DR4" s="125"/>
      <c r="DS4" s="125"/>
      <c r="DT4" s="125"/>
      <c r="DU4" s="125"/>
      <c r="DV4" s="125"/>
      <c r="DW4" s="125"/>
      <c r="DX4" s="125"/>
      <c r="DY4" s="125"/>
      <c r="DZ4" s="125"/>
      <c r="EA4" s="125"/>
      <c r="EB4" s="125"/>
      <c r="EC4" s="125"/>
      <c r="ED4" s="125"/>
      <c r="EE4" s="125"/>
      <c r="EF4" s="125"/>
      <c r="EG4" s="125"/>
      <c r="EH4" s="125"/>
      <c r="EI4" s="125"/>
      <c r="EJ4" s="125"/>
      <c r="EK4" s="125"/>
      <c r="EL4" s="125"/>
      <c r="EM4" s="125"/>
      <c r="EN4" s="125"/>
      <c r="EO4" s="125"/>
      <c r="EP4" s="125"/>
      <c r="EQ4" s="125"/>
      <c r="ER4" s="125"/>
      <c r="ES4" s="125"/>
      <c r="ET4" s="125"/>
      <c r="EU4" s="125"/>
      <c r="EV4" s="125"/>
      <c r="EW4" s="125"/>
      <c r="EX4" s="125"/>
      <c r="EY4" s="125"/>
      <c r="EZ4" s="125"/>
      <c r="FA4" s="125"/>
      <c r="FB4" s="125"/>
      <c r="FC4" s="125"/>
      <c r="FD4" s="125"/>
      <c r="FE4" s="125"/>
      <c r="FF4" s="125"/>
      <c r="FG4" s="125"/>
      <c r="FH4" s="125"/>
      <c r="FI4" s="125"/>
      <c r="FJ4" s="125"/>
      <c r="FK4" s="125"/>
      <c r="FL4" s="125"/>
      <c r="FM4" s="125"/>
      <c r="FN4" s="125"/>
      <c r="FO4" s="125"/>
      <c r="FP4" s="125"/>
      <c r="FQ4" s="125"/>
      <c r="FR4" s="125"/>
      <c r="FS4" s="125"/>
      <c r="FT4" s="125"/>
      <c r="FU4" s="125"/>
      <c r="FV4" s="125"/>
      <c r="FW4" s="125"/>
      <c r="FX4" s="125"/>
      <c r="FY4" s="125"/>
      <c r="FZ4" s="125"/>
      <c r="GA4" s="125"/>
      <c r="GB4" s="125"/>
      <c r="GC4" s="125"/>
      <c r="GD4" s="125"/>
      <c r="GE4" s="125"/>
      <c r="GF4" s="125"/>
      <c r="GG4" s="125"/>
      <c r="GH4" s="125"/>
      <c r="GI4" s="125"/>
      <c r="GJ4" s="125"/>
      <c r="GK4" s="125"/>
      <c r="GL4" s="125"/>
      <c r="GM4" s="125"/>
      <c r="GN4" s="125"/>
      <c r="GO4" s="125"/>
      <c r="GP4" s="125"/>
      <c r="GQ4" s="125"/>
      <c r="GR4" s="125"/>
      <c r="GS4" s="125"/>
      <c r="GT4" s="125"/>
      <c r="GU4" s="125"/>
      <c r="GV4" s="125"/>
      <c r="GW4" s="125"/>
      <c r="GX4" s="125"/>
      <c r="GY4" s="125"/>
      <c r="GZ4" s="125"/>
      <c r="HA4" s="125"/>
      <c r="HB4" s="125"/>
      <c r="HC4" s="125"/>
      <c r="HD4" s="125"/>
      <c r="HE4" s="125"/>
      <c r="HF4" s="125"/>
      <c r="HG4" s="125"/>
      <c r="HH4" s="125"/>
      <c r="HI4" s="125"/>
      <c r="HJ4" s="125"/>
      <c r="HK4" s="125"/>
      <c r="HL4" s="125"/>
      <c r="HM4" s="125"/>
      <c r="HN4" s="125"/>
      <c r="HO4" s="125"/>
      <c r="HP4" s="125"/>
      <c r="HQ4" s="125"/>
      <c r="HR4" s="125"/>
      <c r="HS4" s="125"/>
      <c r="HT4" s="125"/>
      <c r="HU4" s="125"/>
      <c r="HV4" s="125"/>
      <c r="HW4" s="125"/>
      <c r="HX4" s="125"/>
      <c r="HY4" s="125"/>
      <c r="HZ4" s="125"/>
      <c r="IA4" s="125"/>
      <c r="IB4" s="125"/>
      <c r="IC4" s="125"/>
      <c r="ID4" s="125"/>
      <c r="IE4" s="125"/>
      <c r="IF4" s="125"/>
      <c r="IG4" s="125"/>
      <c r="IH4" s="125"/>
      <c r="II4" s="125"/>
      <c r="IJ4" s="125"/>
      <c r="IK4" s="125"/>
      <c r="IL4" s="125"/>
      <c r="IM4" s="125"/>
      <c r="IN4" s="125"/>
      <c r="IO4" s="125"/>
      <c r="IP4" s="125"/>
      <c r="IQ4" s="125"/>
      <c r="IR4" s="125"/>
      <c r="IS4" s="125"/>
    </row>
    <row r="5" spans="1:253" x14ac:dyDescent="0.2">
      <c r="A5" s="200" t="s">
        <v>164</v>
      </c>
      <c r="B5" s="199"/>
      <c r="C5" s="198" t="s">
        <v>7</v>
      </c>
      <c r="D5" s="393" t="str">
        <f>CARAT_!$F$47</f>
        <v>ESPECIFICO Nº SP-2022-012</v>
      </c>
      <c r="F5" s="400"/>
      <c r="G5" s="139"/>
      <c r="H5" s="139"/>
      <c r="J5" s="139"/>
      <c r="K5" s="139"/>
      <c r="L5" s="139"/>
      <c r="M5" s="139"/>
      <c r="N5" s="139"/>
      <c r="O5" s="139"/>
      <c r="P5" s="125"/>
      <c r="Q5" s="125"/>
      <c r="T5" s="125"/>
      <c r="U5" s="125"/>
      <c r="V5" s="125"/>
      <c r="W5" s="125"/>
      <c r="X5" s="125"/>
      <c r="Y5" s="125"/>
      <c r="Z5" s="125"/>
      <c r="AA5" s="125"/>
      <c r="AB5" s="125"/>
      <c r="AC5" s="125"/>
      <c r="AD5" s="125"/>
      <c r="AE5" s="125"/>
      <c r="AF5" s="125"/>
      <c r="AG5" s="125"/>
      <c r="AH5" s="125"/>
      <c r="AI5" s="125"/>
      <c r="AJ5" s="125"/>
      <c r="AK5" s="125"/>
      <c r="AL5" s="125"/>
      <c r="AM5" s="125"/>
      <c r="AN5" s="125"/>
      <c r="AO5" s="125"/>
      <c r="AP5" s="125"/>
      <c r="AQ5" s="125"/>
      <c r="AR5" s="125"/>
      <c r="AS5" s="125"/>
      <c r="AT5" s="125"/>
      <c r="AU5" s="125"/>
      <c r="AV5" s="125"/>
      <c r="AW5" s="125"/>
      <c r="AX5" s="125"/>
      <c r="AY5" s="125"/>
      <c r="AZ5" s="125"/>
      <c r="BA5" s="125"/>
      <c r="BB5" s="125"/>
      <c r="BC5" s="125"/>
      <c r="BD5" s="125"/>
      <c r="BE5" s="125"/>
      <c r="BF5" s="125"/>
      <c r="BG5" s="125"/>
      <c r="BH5" s="125"/>
      <c r="BI5" s="125"/>
      <c r="BJ5" s="125"/>
      <c r="BK5" s="125"/>
      <c r="BL5" s="125"/>
      <c r="BM5" s="125"/>
      <c r="BN5" s="125"/>
      <c r="BO5" s="125"/>
      <c r="BP5" s="125"/>
      <c r="BQ5" s="125"/>
      <c r="BR5" s="125"/>
      <c r="BS5" s="125"/>
      <c r="BT5" s="125"/>
      <c r="BU5" s="125"/>
      <c r="BV5" s="125"/>
      <c r="BW5" s="125"/>
      <c r="BX5" s="125"/>
      <c r="BY5" s="125"/>
      <c r="BZ5" s="125"/>
      <c r="CA5" s="125"/>
      <c r="CB5" s="125"/>
      <c r="CC5" s="125"/>
      <c r="CD5" s="125"/>
      <c r="CE5" s="125"/>
      <c r="CF5" s="125"/>
      <c r="CG5" s="125"/>
      <c r="CH5" s="125"/>
      <c r="CI5" s="125"/>
      <c r="CJ5" s="125"/>
      <c r="CK5" s="125"/>
      <c r="CL5" s="125"/>
      <c r="CM5" s="125"/>
      <c r="CN5" s="125"/>
      <c r="CO5" s="125"/>
      <c r="CP5" s="125"/>
      <c r="CQ5" s="125"/>
      <c r="CR5" s="125"/>
      <c r="CS5" s="125"/>
      <c r="CT5" s="125"/>
      <c r="CU5" s="125"/>
      <c r="CV5" s="125"/>
      <c r="CW5" s="125"/>
      <c r="CX5" s="125"/>
      <c r="CY5" s="125"/>
      <c r="CZ5" s="125"/>
      <c r="DA5" s="125"/>
      <c r="DB5" s="125"/>
      <c r="DC5" s="125"/>
      <c r="DD5" s="125"/>
      <c r="DE5" s="125"/>
      <c r="DF5" s="125"/>
      <c r="DG5" s="125"/>
      <c r="DH5" s="125"/>
      <c r="DI5" s="125"/>
      <c r="DJ5" s="125"/>
      <c r="DK5" s="125"/>
      <c r="DL5" s="125"/>
      <c r="DM5" s="125"/>
      <c r="DN5" s="125"/>
      <c r="DO5" s="125"/>
      <c r="DP5" s="125"/>
      <c r="DQ5" s="125"/>
      <c r="DR5" s="125"/>
      <c r="DS5" s="125"/>
      <c r="DT5" s="125"/>
      <c r="DU5" s="125"/>
      <c r="DV5" s="125"/>
      <c r="DW5" s="125"/>
      <c r="DX5" s="125"/>
      <c r="DY5" s="125"/>
      <c r="DZ5" s="125"/>
      <c r="EA5" s="125"/>
      <c r="EB5" s="125"/>
      <c r="EC5" s="125"/>
      <c r="ED5" s="125"/>
      <c r="EE5" s="125"/>
      <c r="EF5" s="125"/>
      <c r="EG5" s="125"/>
      <c r="EH5" s="125"/>
      <c r="EI5" s="125"/>
      <c r="EJ5" s="125"/>
      <c r="EK5" s="125"/>
      <c r="EL5" s="125"/>
      <c r="EM5" s="125"/>
      <c r="EN5" s="125"/>
      <c r="EO5" s="125"/>
      <c r="EP5" s="125"/>
      <c r="EQ5" s="125"/>
      <c r="ER5" s="125"/>
      <c r="ES5" s="125"/>
      <c r="ET5" s="125"/>
      <c r="EU5" s="125"/>
      <c r="EV5" s="125"/>
      <c r="EW5" s="125"/>
      <c r="EX5" s="125"/>
      <c r="EY5" s="125"/>
      <c r="EZ5" s="125"/>
      <c r="FA5" s="125"/>
      <c r="FB5" s="125"/>
      <c r="FC5" s="125"/>
      <c r="FD5" s="125"/>
      <c r="FE5" s="125"/>
      <c r="FF5" s="125"/>
      <c r="FG5" s="125"/>
      <c r="FH5" s="125"/>
      <c r="FI5" s="125"/>
      <c r="FJ5" s="125"/>
      <c r="FK5" s="125"/>
      <c r="FL5" s="125"/>
      <c r="FM5" s="125"/>
      <c r="FN5" s="125"/>
      <c r="FO5" s="125"/>
      <c r="FP5" s="125"/>
      <c r="FQ5" s="125"/>
      <c r="FR5" s="125"/>
      <c r="FS5" s="125"/>
      <c r="FT5" s="125"/>
      <c r="FU5" s="125"/>
      <c r="FV5" s="125"/>
      <c r="FW5" s="125"/>
      <c r="FX5" s="125"/>
      <c r="FY5" s="125"/>
      <c r="FZ5" s="125"/>
      <c r="GA5" s="125"/>
      <c r="GB5" s="125"/>
      <c r="GC5" s="125"/>
      <c r="GD5" s="125"/>
      <c r="GE5" s="125"/>
      <c r="GF5" s="125"/>
      <c r="GG5" s="125"/>
      <c r="GH5" s="125"/>
      <c r="GI5" s="125"/>
      <c r="GJ5" s="125"/>
      <c r="GK5" s="125"/>
      <c r="GL5" s="125"/>
      <c r="GM5" s="125"/>
      <c r="GN5" s="125"/>
      <c r="GO5" s="125"/>
      <c r="GP5" s="125"/>
      <c r="GQ5" s="125"/>
      <c r="GR5" s="125"/>
      <c r="GS5" s="125"/>
      <c r="GT5" s="125"/>
      <c r="GU5" s="125"/>
      <c r="GV5" s="125"/>
      <c r="GW5" s="125"/>
      <c r="GX5" s="125"/>
      <c r="GY5" s="125"/>
      <c r="GZ5" s="125"/>
      <c r="HA5" s="125"/>
      <c r="HB5" s="125"/>
      <c r="HC5" s="125"/>
      <c r="HD5" s="125"/>
      <c r="HE5" s="125"/>
      <c r="HF5" s="125"/>
      <c r="HG5" s="125"/>
      <c r="HH5" s="125"/>
      <c r="HI5" s="125"/>
      <c r="HJ5" s="125"/>
      <c r="HK5" s="125"/>
      <c r="HL5" s="125"/>
      <c r="HM5" s="125"/>
      <c r="HN5" s="125"/>
      <c r="HO5" s="125"/>
      <c r="HP5" s="125"/>
      <c r="HQ5" s="125"/>
      <c r="HR5" s="125"/>
      <c r="HS5" s="125"/>
      <c r="HT5" s="125"/>
      <c r="HU5" s="125"/>
      <c r="HV5" s="125"/>
      <c r="HW5" s="125"/>
      <c r="HX5" s="125"/>
      <c r="HY5" s="125"/>
      <c r="HZ5" s="125"/>
      <c r="IA5" s="125"/>
      <c r="IB5" s="125"/>
      <c r="IC5" s="125"/>
      <c r="ID5" s="125"/>
      <c r="IE5" s="125"/>
      <c r="IF5" s="125"/>
      <c r="IG5" s="125"/>
      <c r="IH5" s="125"/>
      <c r="II5" s="125"/>
      <c r="IJ5" s="125"/>
      <c r="IK5" s="125"/>
      <c r="IL5" s="125"/>
      <c r="IM5" s="125"/>
      <c r="IN5" s="125"/>
      <c r="IO5" s="125"/>
      <c r="IP5" s="125"/>
      <c r="IQ5" s="125"/>
      <c r="IR5" s="125"/>
      <c r="IS5" s="125"/>
    </row>
    <row r="6" spans="1:253" x14ac:dyDescent="0.2">
      <c r="A6" s="385" t="s">
        <v>18</v>
      </c>
      <c r="B6" s="199"/>
      <c r="C6" s="198" t="s">
        <v>7</v>
      </c>
      <c r="D6" s="2189" t="str">
        <f>CARAT_!F48</f>
        <v>“CREACION DEL PUENTE VEHICULAR CCANCHIS SOBRE EL RIO PAMPAS, DISTRITO DE CHUNGUI - PROVINCIA LA MAR - DEPARTAMENTO AYACUCHO”.</v>
      </c>
      <c r="E6" s="2189"/>
      <c r="F6" s="2189"/>
      <c r="G6" s="2189"/>
      <c r="H6" s="2189"/>
      <c r="I6" s="2189"/>
      <c r="J6" s="2189"/>
      <c r="K6" s="2189"/>
      <c r="L6" s="2189"/>
      <c r="M6" s="2189"/>
      <c r="N6" s="2189"/>
      <c r="O6" s="2189"/>
      <c r="P6" s="125"/>
      <c r="Q6" s="125"/>
      <c r="T6" s="125"/>
      <c r="U6" s="125"/>
      <c r="V6" s="125"/>
      <c r="W6" s="125"/>
      <c r="X6" s="125"/>
      <c r="Y6" s="125"/>
      <c r="Z6" s="125"/>
      <c r="AA6" s="125"/>
      <c r="AB6" s="125"/>
      <c r="AC6" s="125"/>
      <c r="AD6" s="125"/>
      <c r="AE6" s="125"/>
      <c r="AF6" s="125"/>
      <c r="AG6" s="125"/>
      <c r="AH6" s="125"/>
      <c r="AI6" s="125"/>
      <c r="AJ6" s="125"/>
      <c r="AK6" s="125"/>
      <c r="AL6" s="125"/>
      <c r="AM6" s="125"/>
      <c r="AN6" s="125"/>
      <c r="AO6" s="125"/>
      <c r="AP6" s="125"/>
      <c r="AQ6" s="125"/>
      <c r="AR6" s="125"/>
      <c r="AS6" s="125"/>
      <c r="AT6" s="125"/>
      <c r="AU6" s="125"/>
      <c r="AV6" s="125"/>
      <c r="AW6" s="125"/>
      <c r="AX6" s="125"/>
      <c r="AY6" s="125"/>
      <c r="AZ6" s="125"/>
      <c r="BA6" s="125"/>
      <c r="BB6" s="125"/>
      <c r="BC6" s="125"/>
      <c r="BD6" s="125"/>
      <c r="BE6" s="125"/>
      <c r="BF6" s="125"/>
      <c r="BG6" s="125"/>
      <c r="BH6" s="125"/>
      <c r="BI6" s="125"/>
      <c r="BJ6" s="125"/>
      <c r="BK6" s="125"/>
      <c r="BL6" s="125"/>
      <c r="BM6" s="125"/>
      <c r="BN6" s="125"/>
      <c r="BO6" s="125"/>
      <c r="BP6" s="125"/>
      <c r="BQ6" s="125"/>
      <c r="BR6" s="125"/>
      <c r="BS6" s="125"/>
      <c r="BT6" s="125"/>
      <c r="BU6" s="125"/>
      <c r="BV6" s="125"/>
      <c r="BW6" s="125"/>
      <c r="BX6" s="125"/>
      <c r="BY6" s="125"/>
      <c r="BZ6" s="125"/>
      <c r="CA6" s="125"/>
      <c r="CB6" s="125"/>
      <c r="CC6" s="125"/>
      <c r="CD6" s="125"/>
      <c r="CE6" s="125"/>
      <c r="CF6" s="125"/>
      <c r="CG6" s="125"/>
      <c r="CH6" s="125"/>
      <c r="CI6" s="125"/>
      <c r="CJ6" s="125"/>
      <c r="CK6" s="125"/>
      <c r="CL6" s="125"/>
      <c r="CM6" s="125"/>
      <c r="CN6" s="125"/>
      <c r="CO6" s="125"/>
      <c r="CP6" s="125"/>
      <c r="CQ6" s="125"/>
      <c r="CR6" s="125"/>
      <c r="CS6" s="125"/>
      <c r="CT6" s="125"/>
      <c r="CU6" s="125"/>
      <c r="CV6" s="125"/>
      <c r="CW6" s="125"/>
      <c r="CX6" s="125"/>
      <c r="CY6" s="125"/>
      <c r="CZ6" s="125"/>
      <c r="DA6" s="125"/>
      <c r="DB6" s="125"/>
      <c r="DC6" s="125"/>
      <c r="DD6" s="125"/>
      <c r="DE6" s="125"/>
      <c r="DF6" s="125"/>
      <c r="DG6" s="125"/>
      <c r="DH6" s="125"/>
      <c r="DI6" s="125"/>
      <c r="DJ6" s="125"/>
      <c r="DK6" s="125"/>
      <c r="DL6" s="125"/>
      <c r="DM6" s="125"/>
      <c r="DN6" s="125"/>
      <c r="DO6" s="125"/>
      <c r="DP6" s="125"/>
      <c r="DQ6" s="125"/>
      <c r="DR6" s="125"/>
      <c r="DS6" s="125"/>
      <c r="DT6" s="125"/>
      <c r="DU6" s="125"/>
      <c r="DV6" s="125"/>
      <c r="DW6" s="125"/>
      <c r="DX6" s="125"/>
      <c r="DY6" s="125"/>
      <c r="DZ6" s="125"/>
      <c r="EA6" s="125"/>
      <c r="EB6" s="125"/>
      <c r="EC6" s="125"/>
      <c r="ED6" s="125"/>
      <c r="EE6" s="125"/>
      <c r="EF6" s="125"/>
      <c r="EG6" s="125"/>
      <c r="EH6" s="125"/>
      <c r="EI6" s="125"/>
      <c r="EJ6" s="125"/>
      <c r="EK6" s="125"/>
      <c r="EL6" s="125"/>
      <c r="EM6" s="125"/>
      <c r="EN6" s="125"/>
      <c r="EO6" s="125"/>
      <c r="EP6" s="125"/>
      <c r="EQ6" s="125"/>
      <c r="ER6" s="125"/>
      <c r="ES6" s="125"/>
      <c r="ET6" s="125"/>
      <c r="EU6" s="125"/>
      <c r="EV6" s="125"/>
      <c r="EW6" s="125"/>
      <c r="EX6" s="125"/>
      <c r="EY6" s="125"/>
      <c r="EZ6" s="125"/>
      <c r="FA6" s="125"/>
      <c r="FB6" s="125"/>
      <c r="FC6" s="125"/>
      <c r="FD6" s="125"/>
      <c r="FE6" s="125"/>
      <c r="FF6" s="125"/>
      <c r="FG6" s="125"/>
      <c r="FH6" s="125"/>
      <c r="FI6" s="125"/>
      <c r="FJ6" s="125"/>
      <c r="FK6" s="125"/>
      <c r="FL6" s="125"/>
      <c r="FM6" s="125"/>
      <c r="FN6" s="125"/>
      <c r="FO6" s="125"/>
      <c r="FP6" s="125"/>
      <c r="FQ6" s="125"/>
      <c r="FR6" s="125"/>
      <c r="FS6" s="125"/>
      <c r="FT6" s="125"/>
      <c r="FU6" s="125"/>
      <c r="FV6" s="125"/>
      <c r="FW6" s="125"/>
      <c r="FX6" s="125"/>
      <c r="FY6" s="125"/>
      <c r="FZ6" s="125"/>
      <c r="GA6" s="125"/>
      <c r="GB6" s="125"/>
      <c r="GC6" s="125"/>
      <c r="GD6" s="125"/>
      <c r="GE6" s="125"/>
      <c r="GF6" s="125"/>
      <c r="GG6" s="125"/>
      <c r="GH6" s="125"/>
      <c r="GI6" s="125"/>
      <c r="GJ6" s="125"/>
      <c r="GK6" s="125"/>
      <c r="GL6" s="125"/>
      <c r="GM6" s="125"/>
      <c r="GN6" s="125"/>
      <c r="GO6" s="125"/>
      <c r="GP6" s="125"/>
      <c r="GQ6" s="125"/>
      <c r="GR6" s="125"/>
      <c r="GS6" s="125"/>
      <c r="GT6" s="125"/>
      <c r="GU6" s="125"/>
      <c r="GV6" s="125"/>
      <c r="GW6" s="125"/>
      <c r="GX6" s="125"/>
      <c r="GY6" s="125"/>
      <c r="GZ6" s="125"/>
      <c r="HA6" s="125"/>
      <c r="HB6" s="125"/>
      <c r="HC6" s="125"/>
      <c r="HD6" s="125"/>
      <c r="HE6" s="125"/>
      <c r="HF6" s="125"/>
      <c r="HG6" s="125"/>
      <c r="HH6" s="125"/>
      <c r="HI6" s="125"/>
      <c r="HJ6" s="125"/>
      <c r="HK6" s="125"/>
      <c r="HL6" s="125"/>
      <c r="HM6" s="125"/>
      <c r="HN6" s="125"/>
      <c r="HO6" s="125"/>
      <c r="HP6" s="125"/>
      <c r="HQ6" s="125"/>
      <c r="HR6" s="125"/>
      <c r="HS6" s="125"/>
      <c r="HT6" s="125"/>
      <c r="HU6" s="125"/>
      <c r="HV6" s="125"/>
      <c r="HW6" s="125"/>
      <c r="HX6" s="125"/>
      <c r="HY6" s="125"/>
      <c r="HZ6" s="125"/>
      <c r="IA6" s="125"/>
      <c r="IB6" s="125"/>
      <c r="IC6" s="125"/>
      <c r="ID6" s="125"/>
      <c r="IE6" s="125"/>
      <c r="IF6" s="125"/>
      <c r="IG6" s="125"/>
      <c r="IH6" s="125"/>
      <c r="II6" s="125"/>
      <c r="IJ6" s="125"/>
      <c r="IK6" s="125"/>
      <c r="IL6" s="125"/>
      <c r="IM6" s="125"/>
      <c r="IN6" s="125"/>
      <c r="IO6" s="125"/>
      <c r="IP6" s="125"/>
      <c r="IQ6" s="125"/>
      <c r="IR6" s="125"/>
      <c r="IS6" s="125"/>
    </row>
    <row r="7" spans="1:253" x14ac:dyDescent="0.2">
      <c r="A7" s="385" t="s">
        <v>1</v>
      </c>
      <c r="B7" s="199"/>
      <c r="C7" s="198" t="s">
        <v>7</v>
      </c>
      <c r="D7" s="393" t="str">
        <f>CARAT_!$F$52</f>
        <v>SIMA PERU S.A.</v>
      </c>
      <c r="F7" s="400"/>
      <c r="G7" s="139"/>
      <c r="H7" s="139"/>
      <c r="J7" s="139"/>
      <c r="K7" s="139"/>
      <c r="L7" s="139"/>
      <c r="M7" s="139"/>
      <c r="N7" s="139"/>
      <c r="O7" s="139"/>
      <c r="P7" s="125"/>
      <c r="Q7" s="125"/>
      <c r="T7" s="125"/>
      <c r="U7" s="125"/>
      <c r="V7" s="125"/>
      <c r="W7" s="125"/>
      <c r="X7" s="125"/>
      <c r="Y7" s="125"/>
      <c r="Z7" s="125"/>
      <c r="AA7" s="125"/>
      <c r="AB7" s="125"/>
      <c r="AC7" s="125"/>
      <c r="AD7" s="125"/>
      <c r="AE7" s="125"/>
      <c r="AF7" s="125"/>
      <c r="AG7" s="125"/>
      <c r="AH7" s="125"/>
      <c r="AI7" s="125"/>
      <c r="AJ7" s="125"/>
      <c r="AK7" s="125"/>
      <c r="AL7" s="125"/>
      <c r="AM7" s="125"/>
      <c r="AN7" s="125"/>
      <c r="AO7" s="125"/>
      <c r="AP7" s="125"/>
      <c r="AQ7" s="125"/>
      <c r="AR7" s="125"/>
      <c r="AS7" s="125"/>
      <c r="AT7" s="125"/>
      <c r="AU7" s="125"/>
      <c r="AV7" s="125"/>
      <c r="AW7" s="125"/>
      <c r="AX7" s="125"/>
      <c r="AY7" s="125"/>
      <c r="AZ7" s="125"/>
      <c r="BA7" s="125"/>
      <c r="BB7" s="125"/>
      <c r="BC7" s="125"/>
      <c r="BD7" s="125"/>
      <c r="BE7" s="125"/>
      <c r="BF7" s="125"/>
      <c r="BG7" s="125"/>
      <c r="BH7" s="125"/>
      <c r="BI7" s="125"/>
      <c r="BJ7" s="125"/>
      <c r="BK7" s="125"/>
      <c r="BL7" s="125"/>
      <c r="BM7" s="125"/>
      <c r="BN7" s="125"/>
      <c r="BO7" s="125"/>
      <c r="BP7" s="125"/>
      <c r="BQ7" s="125"/>
      <c r="BR7" s="125"/>
      <c r="BS7" s="125"/>
      <c r="BT7" s="125"/>
      <c r="BU7" s="125"/>
      <c r="BV7" s="125"/>
      <c r="BW7" s="125"/>
      <c r="BX7" s="125"/>
      <c r="BY7" s="125"/>
      <c r="BZ7" s="125"/>
      <c r="CA7" s="125"/>
      <c r="CB7" s="125"/>
      <c r="CC7" s="125"/>
      <c r="CD7" s="125"/>
      <c r="CE7" s="125"/>
      <c r="CF7" s="125"/>
      <c r="CG7" s="125"/>
      <c r="CH7" s="125"/>
      <c r="CI7" s="125"/>
      <c r="CJ7" s="125"/>
      <c r="CK7" s="125"/>
      <c r="CL7" s="125"/>
      <c r="CM7" s="125"/>
      <c r="CN7" s="125"/>
      <c r="CO7" s="125"/>
      <c r="CP7" s="125"/>
      <c r="CQ7" s="125"/>
      <c r="CR7" s="125"/>
      <c r="CS7" s="125"/>
      <c r="CT7" s="125"/>
      <c r="CU7" s="125"/>
      <c r="CV7" s="125"/>
      <c r="CW7" s="125"/>
      <c r="CX7" s="125"/>
      <c r="CY7" s="125"/>
      <c r="CZ7" s="125"/>
      <c r="DA7" s="125"/>
      <c r="DB7" s="125"/>
      <c r="DC7" s="125"/>
      <c r="DD7" s="125"/>
      <c r="DE7" s="125"/>
      <c r="DF7" s="125"/>
      <c r="DG7" s="125"/>
      <c r="DH7" s="125"/>
      <c r="DI7" s="125"/>
      <c r="DJ7" s="125"/>
      <c r="DK7" s="125"/>
      <c r="DL7" s="125"/>
      <c r="DM7" s="125"/>
      <c r="DN7" s="125"/>
      <c r="DO7" s="125"/>
      <c r="DP7" s="125"/>
      <c r="DQ7" s="125"/>
      <c r="DR7" s="125"/>
      <c r="DS7" s="125"/>
      <c r="DT7" s="125"/>
      <c r="DU7" s="125"/>
      <c r="DV7" s="125"/>
      <c r="DW7" s="125"/>
      <c r="DX7" s="125"/>
      <c r="DY7" s="125"/>
      <c r="DZ7" s="125"/>
      <c r="EA7" s="125"/>
      <c r="EB7" s="125"/>
      <c r="EC7" s="125"/>
      <c r="ED7" s="125"/>
      <c r="EE7" s="125"/>
      <c r="EF7" s="125"/>
      <c r="EG7" s="125"/>
      <c r="EH7" s="125"/>
      <c r="EI7" s="125"/>
      <c r="EJ7" s="125"/>
      <c r="EK7" s="125"/>
      <c r="EL7" s="125"/>
      <c r="EM7" s="125"/>
      <c r="EN7" s="125"/>
      <c r="EO7" s="125"/>
      <c r="EP7" s="125"/>
      <c r="EQ7" s="125"/>
      <c r="ER7" s="125"/>
      <c r="ES7" s="125"/>
      <c r="ET7" s="125"/>
      <c r="EU7" s="125"/>
      <c r="EV7" s="125"/>
      <c r="EW7" s="125"/>
      <c r="EX7" s="125"/>
      <c r="EY7" s="125"/>
      <c r="EZ7" s="125"/>
      <c r="FA7" s="125"/>
      <c r="FB7" s="125"/>
      <c r="FC7" s="125"/>
      <c r="FD7" s="125"/>
      <c r="FE7" s="125"/>
      <c r="FF7" s="125"/>
      <c r="FG7" s="125"/>
      <c r="FH7" s="125"/>
      <c r="FI7" s="125"/>
      <c r="FJ7" s="125"/>
      <c r="FK7" s="125"/>
      <c r="FL7" s="125"/>
      <c r="FM7" s="125"/>
      <c r="FN7" s="125"/>
      <c r="FO7" s="125"/>
      <c r="FP7" s="125"/>
      <c r="FQ7" s="125"/>
      <c r="FR7" s="125"/>
      <c r="FS7" s="125"/>
      <c r="FT7" s="125"/>
      <c r="FU7" s="125"/>
      <c r="FV7" s="125"/>
      <c r="FW7" s="125"/>
      <c r="FX7" s="125"/>
      <c r="FY7" s="125"/>
      <c r="FZ7" s="125"/>
      <c r="GA7" s="125"/>
      <c r="GB7" s="125"/>
      <c r="GC7" s="125"/>
      <c r="GD7" s="125"/>
      <c r="GE7" s="125"/>
      <c r="GF7" s="125"/>
      <c r="GG7" s="125"/>
      <c r="GH7" s="125"/>
      <c r="GI7" s="125"/>
      <c r="GJ7" s="125"/>
      <c r="GK7" s="125"/>
      <c r="GL7" s="125"/>
      <c r="GM7" s="125"/>
      <c r="GN7" s="125"/>
      <c r="GO7" s="125"/>
      <c r="GP7" s="125"/>
      <c r="GQ7" s="125"/>
      <c r="GR7" s="125"/>
      <c r="GS7" s="125"/>
      <c r="GT7" s="125"/>
      <c r="GU7" s="125"/>
      <c r="GV7" s="125"/>
      <c r="GW7" s="125"/>
      <c r="GX7" s="125"/>
      <c r="GY7" s="125"/>
      <c r="GZ7" s="125"/>
      <c r="HA7" s="125"/>
      <c r="HB7" s="125"/>
      <c r="HC7" s="125"/>
      <c r="HD7" s="125"/>
      <c r="HE7" s="125"/>
      <c r="HF7" s="125"/>
      <c r="HG7" s="125"/>
      <c r="HH7" s="125"/>
      <c r="HI7" s="125"/>
      <c r="HJ7" s="125"/>
      <c r="HK7" s="125"/>
      <c r="HL7" s="125"/>
      <c r="HM7" s="125"/>
      <c r="HN7" s="125"/>
      <c r="HO7" s="125"/>
      <c r="HP7" s="125"/>
      <c r="HQ7" s="125"/>
      <c r="HR7" s="125"/>
      <c r="HS7" s="125"/>
      <c r="HT7" s="125"/>
      <c r="HU7" s="125"/>
      <c r="HV7" s="125"/>
      <c r="HW7" s="125"/>
      <c r="HX7" s="125"/>
      <c r="HY7" s="125"/>
      <c r="HZ7" s="125"/>
      <c r="IA7" s="125"/>
      <c r="IB7" s="125"/>
      <c r="IC7" s="125"/>
      <c r="ID7" s="125"/>
      <c r="IE7" s="125"/>
      <c r="IF7" s="125"/>
      <c r="IG7" s="125"/>
      <c r="IH7" s="125"/>
      <c r="II7" s="125"/>
      <c r="IJ7" s="125"/>
      <c r="IK7" s="125"/>
      <c r="IL7" s="125"/>
      <c r="IM7" s="125"/>
      <c r="IN7" s="125"/>
      <c r="IO7" s="125"/>
      <c r="IP7" s="125"/>
      <c r="IQ7" s="125"/>
      <c r="IR7" s="125"/>
      <c r="IS7" s="125"/>
    </row>
    <row r="8" spans="1:253" x14ac:dyDescent="0.2">
      <c r="A8" s="385" t="s">
        <v>2</v>
      </c>
      <c r="B8" s="199"/>
      <c r="C8" s="198" t="s">
        <v>7</v>
      </c>
      <c r="D8" s="393" t="str">
        <f>CARAT_!$F$53</f>
        <v>SUB GERENCIA DE SUPERVISION Y LIQUIDACION</v>
      </c>
      <c r="F8" s="400"/>
      <c r="G8" s="139"/>
      <c r="H8" s="139"/>
      <c r="J8" s="139"/>
      <c r="K8" s="139"/>
      <c r="L8" s="139"/>
      <c r="M8" s="139"/>
      <c r="N8" s="139"/>
      <c r="O8" s="139"/>
      <c r="P8" s="125"/>
      <c r="Q8" s="125"/>
      <c r="T8" s="125"/>
      <c r="U8" s="125"/>
      <c r="V8" s="125"/>
      <c r="W8" s="125"/>
      <c r="X8" s="125"/>
      <c r="Y8" s="125"/>
      <c r="Z8" s="125"/>
      <c r="AA8" s="125"/>
      <c r="AB8" s="125"/>
      <c r="AC8" s="125"/>
      <c r="AD8" s="125"/>
      <c r="AE8" s="125"/>
      <c r="AF8" s="125"/>
      <c r="AG8" s="125"/>
      <c r="AH8" s="125"/>
      <c r="AI8" s="125"/>
      <c r="AJ8" s="125"/>
      <c r="AK8" s="125"/>
      <c r="AL8" s="125"/>
      <c r="AM8" s="125"/>
      <c r="AN8" s="125"/>
      <c r="AO8" s="125"/>
      <c r="AP8" s="125"/>
      <c r="AQ8" s="125"/>
      <c r="AR8" s="125"/>
      <c r="AS8" s="125"/>
      <c r="AT8" s="125"/>
      <c r="AU8" s="125"/>
      <c r="AV8" s="125"/>
      <c r="AW8" s="125"/>
      <c r="AX8" s="125"/>
      <c r="AY8" s="125"/>
      <c r="AZ8" s="125"/>
      <c r="BA8" s="125"/>
      <c r="BB8" s="125"/>
      <c r="BC8" s="125"/>
      <c r="BD8" s="125"/>
      <c r="BE8" s="125"/>
      <c r="BF8" s="125"/>
      <c r="BG8" s="125"/>
      <c r="BH8" s="125"/>
      <c r="BI8" s="125"/>
      <c r="BJ8" s="125"/>
      <c r="BK8" s="125"/>
      <c r="BL8" s="125"/>
      <c r="BM8" s="125"/>
      <c r="BN8" s="125"/>
      <c r="BO8" s="125"/>
      <c r="BP8" s="125"/>
      <c r="BQ8" s="125"/>
      <c r="BR8" s="125"/>
      <c r="BS8" s="125"/>
      <c r="BT8" s="125"/>
      <c r="BU8" s="125"/>
      <c r="BV8" s="125"/>
      <c r="BW8" s="125"/>
      <c r="BX8" s="125"/>
      <c r="BY8" s="125"/>
      <c r="BZ8" s="125"/>
      <c r="CA8" s="125"/>
      <c r="CB8" s="125"/>
      <c r="CC8" s="125"/>
      <c r="CD8" s="125"/>
      <c r="CE8" s="125"/>
      <c r="CF8" s="125"/>
      <c r="CG8" s="125"/>
      <c r="CH8" s="125"/>
      <c r="CI8" s="125"/>
      <c r="CJ8" s="125"/>
      <c r="CK8" s="125"/>
      <c r="CL8" s="125"/>
      <c r="CM8" s="125"/>
      <c r="CN8" s="125"/>
      <c r="CO8" s="125"/>
      <c r="CP8" s="125"/>
      <c r="CQ8" s="125"/>
      <c r="CR8" s="125"/>
      <c r="CS8" s="125"/>
      <c r="CT8" s="125"/>
      <c r="CU8" s="125"/>
      <c r="CV8" s="125"/>
      <c r="CW8" s="125"/>
      <c r="CX8" s="125"/>
      <c r="CY8" s="125"/>
      <c r="CZ8" s="125"/>
      <c r="DA8" s="125"/>
      <c r="DB8" s="125"/>
      <c r="DC8" s="125"/>
      <c r="DD8" s="125"/>
      <c r="DE8" s="125"/>
      <c r="DF8" s="125"/>
      <c r="DG8" s="125"/>
      <c r="DH8" s="125"/>
      <c r="DI8" s="125"/>
      <c r="DJ8" s="125"/>
      <c r="DK8" s="125"/>
      <c r="DL8" s="125"/>
      <c r="DM8" s="125"/>
      <c r="DN8" s="125"/>
      <c r="DO8" s="125"/>
      <c r="DP8" s="125"/>
      <c r="DQ8" s="125"/>
      <c r="DR8" s="125"/>
      <c r="DS8" s="125"/>
      <c r="DT8" s="125"/>
      <c r="DU8" s="125"/>
      <c r="DV8" s="125"/>
      <c r="DW8" s="125"/>
      <c r="DX8" s="125"/>
      <c r="DY8" s="125"/>
      <c r="DZ8" s="125"/>
      <c r="EA8" s="125"/>
      <c r="EB8" s="125"/>
      <c r="EC8" s="125"/>
      <c r="ED8" s="125"/>
      <c r="EE8" s="125"/>
      <c r="EF8" s="125"/>
      <c r="EG8" s="125"/>
      <c r="EH8" s="125"/>
      <c r="EI8" s="125"/>
      <c r="EJ8" s="125"/>
      <c r="EK8" s="125"/>
      <c r="EL8" s="125"/>
      <c r="EM8" s="125"/>
      <c r="EN8" s="125"/>
      <c r="EO8" s="125"/>
      <c r="EP8" s="125"/>
      <c r="EQ8" s="125"/>
      <c r="ER8" s="125"/>
      <c r="ES8" s="125"/>
      <c r="ET8" s="125"/>
      <c r="EU8" s="125"/>
      <c r="EV8" s="125"/>
      <c r="EW8" s="125"/>
      <c r="EX8" s="125"/>
      <c r="EY8" s="125"/>
      <c r="EZ8" s="125"/>
      <c r="FA8" s="125"/>
      <c r="FB8" s="125"/>
      <c r="FC8" s="125"/>
      <c r="FD8" s="125"/>
      <c r="FE8" s="125"/>
      <c r="FF8" s="125"/>
      <c r="FG8" s="125"/>
      <c r="FH8" s="125"/>
      <c r="FI8" s="125"/>
      <c r="FJ8" s="125"/>
      <c r="FK8" s="125"/>
      <c r="FL8" s="125"/>
      <c r="FM8" s="125"/>
      <c r="FN8" s="125"/>
      <c r="FO8" s="125"/>
      <c r="FP8" s="125"/>
      <c r="FQ8" s="125"/>
      <c r="FR8" s="125"/>
      <c r="FS8" s="125"/>
      <c r="FT8" s="125"/>
      <c r="FU8" s="125"/>
      <c r="FV8" s="125"/>
      <c r="FW8" s="125"/>
      <c r="FX8" s="125"/>
      <c r="FY8" s="125"/>
      <c r="FZ8" s="125"/>
      <c r="GA8" s="125"/>
      <c r="GB8" s="125"/>
      <c r="GC8" s="125"/>
      <c r="GD8" s="125"/>
      <c r="GE8" s="125"/>
      <c r="GF8" s="125"/>
      <c r="GG8" s="125"/>
      <c r="GH8" s="125"/>
      <c r="GI8" s="125"/>
      <c r="GJ8" s="125"/>
      <c r="GK8" s="125"/>
      <c r="GL8" s="125"/>
      <c r="GM8" s="125"/>
      <c r="GN8" s="125"/>
      <c r="GO8" s="125"/>
      <c r="GP8" s="125"/>
      <c r="GQ8" s="125"/>
      <c r="GR8" s="125"/>
      <c r="GS8" s="125"/>
      <c r="GT8" s="125"/>
      <c r="GU8" s="125"/>
      <c r="GV8" s="125"/>
      <c r="GW8" s="125"/>
      <c r="GX8" s="125"/>
      <c r="GY8" s="125"/>
      <c r="GZ8" s="125"/>
      <c r="HA8" s="125"/>
      <c r="HB8" s="125"/>
      <c r="HC8" s="125"/>
      <c r="HD8" s="125"/>
      <c r="HE8" s="125"/>
      <c r="HF8" s="125"/>
      <c r="HG8" s="125"/>
      <c r="HH8" s="125"/>
      <c r="HI8" s="125"/>
      <c r="HJ8" s="125"/>
      <c r="HK8" s="125"/>
      <c r="HL8" s="125"/>
      <c r="HM8" s="125"/>
      <c r="HN8" s="125"/>
      <c r="HO8" s="125"/>
      <c r="HP8" s="125"/>
      <c r="HQ8" s="125"/>
      <c r="HR8" s="125"/>
      <c r="HS8" s="125"/>
      <c r="HT8" s="125"/>
      <c r="HU8" s="125"/>
      <c r="HV8" s="125"/>
      <c r="HW8" s="125"/>
      <c r="HX8" s="125"/>
      <c r="HY8" s="125"/>
      <c r="HZ8" s="125"/>
      <c r="IA8" s="125"/>
      <c r="IB8" s="125"/>
      <c r="IC8" s="125"/>
      <c r="ID8" s="125"/>
      <c r="IE8" s="125"/>
      <c r="IF8" s="125"/>
      <c r="IG8" s="125"/>
      <c r="IH8" s="125"/>
      <c r="II8" s="125"/>
      <c r="IJ8" s="125"/>
      <c r="IK8" s="125"/>
      <c r="IL8" s="125"/>
      <c r="IM8" s="125"/>
      <c r="IN8" s="125"/>
      <c r="IO8" s="125"/>
      <c r="IP8" s="125"/>
      <c r="IQ8" s="125"/>
      <c r="IR8" s="125"/>
      <c r="IS8" s="125"/>
    </row>
    <row r="9" spans="1:253" x14ac:dyDescent="0.2">
      <c r="A9" s="385" t="s">
        <v>3</v>
      </c>
      <c r="B9" s="199"/>
      <c r="C9" s="198" t="s">
        <v>7</v>
      </c>
      <c r="D9" s="393" t="str">
        <f>CARAT_!$F$54</f>
        <v>MES DE DICIEMBRE DE 2022</v>
      </c>
      <c r="E9" s="202"/>
      <c r="F9" s="400"/>
      <c r="G9" s="122"/>
      <c r="H9" s="122"/>
      <c r="I9" s="705"/>
      <c r="J9" s="122"/>
      <c r="K9" s="139"/>
      <c r="L9" s="139"/>
      <c r="M9" s="139"/>
      <c r="N9" s="139"/>
      <c r="O9" s="139"/>
      <c r="P9" s="125"/>
      <c r="Q9" s="125"/>
      <c r="T9" s="125"/>
      <c r="U9" s="125"/>
      <c r="V9" s="125"/>
      <c r="W9" s="125"/>
      <c r="X9" s="125"/>
      <c r="Y9" s="125"/>
      <c r="Z9" s="125"/>
      <c r="AA9" s="125"/>
      <c r="AB9" s="125"/>
      <c r="AC9" s="125"/>
      <c r="AD9" s="125"/>
      <c r="AE9" s="125"/>
      <c r="AF9" s="125"/>
      <c r="AG9" s="125"/>
      <c r="AH9" s="125"/>
      <c r="AI9" s="125"/>
      <c r="AJ9" s="125"/>
      <c r="AK9" s="125"/>
      <c r="AL9" s="125"/>
      <c r="AM9" s="125"/>
      <c r="AN9" s="125"/>
      <c r="AO9" s="125"/>
      <c r="AP9" s="125"/>
      <c r="AQ9" s="125"/>
      <c r="AR9" s="125"/>
      <c r="AS9" s="125"/>
      <c r="AT9" s="125"/>
      <c r="AU9" s="125"/>
      <c r="AV9" s="125"/>
      <c r="AW9" s="125"/>
      <c r="AX9" s="125"/>
      <c r="AY9" s="125"/>
      <c r="AZ9" s="125"/>
      <c r="BA9" s="125"/>
      <c r="BB9" s="125"/>
      <c r="BC9" s="125"/>
      <c r="BD9" s="125"/>
      <c r="BE9" s="125"/>
      <c r="BF9" s="125"/>
      <c r="BG9" s="125"/>
      <c r="BH9" s="125"/>
      <c r="BI9" s="125"/>
      <c r="BJ9" s="125"/>
      <c r="BK9" s="125"/>
      <c r="BL9" s="125"/>
      <c r="BM9" s="125"/>
      <c r="BN9" s="125"/>
      <c r="BO9" s="125"/>
      <c r="BP9" s="125"/>
      <c r="BQ9" s="125"/>
      <c r="BR9" s="125"/>
      <c r="BS9" s="125"/>
      <c r="BT9" s="125"/>
      <c r="BU9" s="125"/>
      <c r="BV9" s="125"/>
      <c r="BW9" s="125"/>
      <c r="BX9" s="125"/>
      <c r="BY9" s="125"/>
      <c r="BZ9" s="125"/>
      <c r="CA9" s="125"/>
      <c r="CB9" s="125"/>
      <c r="CC9" s="125"/>
      <c r="CD9" s="125"/>
      <c r="CE9" s="125"/>
      <c r="CF9" s="125"/>
      <c r="CG9" s="125"/>
      <c r="CH9" s="125"/>
      <c r="CI9" s="125"/>
      <c r="CJ9" s="125"/>
      <c r="CK9" s="125"/>
      <c r="CL9" s="125"/>
      <c r="CM9" s="125"/>
      <c r="CN9" s="125"/>
      <c r="CO9" s="125"/>
      <c r="CP9" s="125"/>
      <c r="CQ9" s="125"/>
      <c r="CR9" s="125"/>
      <c r="CS9" s="125"/>
      <c r="CT9" s="125"/>
      <c r="CU9" s="125"/>
      <c r="CV9" s="125"/>
      <c r="CW9" s="125"/>
      <c r="CX9" s="125"/>
      <c r="CY9" s="125"/>
      <c r="CZ9" s="125"/>
      <c r="DA9" s="125"/>
      <c r="DB9" s="125"/>
      <c r="DC9" s="125"/>
      <c r="DD9" s="125"/>
      <c r="DE9" s="125"/>
      <c r="DF9" s="125"/>
      <c r="DG9" s="125"/>
      <c r="DH9" s="125"/>
      <c r="DI9" s="125"/>
      <c r="DJ9" s="125"/>
      <c r="DK9" s="125"/>
      <c r="DL9" s="125"/>
      <c r="DM9" s="125"/>
      <c r="DN9" s="125"/>
      <c r="DO9" s="125"/>
      <c r="DP9" s="125"/>
      <c r="DQ9" s="125"/>
      <c r="DR9" s="125"/>
      <c r="DS9" s="125"/>
      <c r="DT9" s="125"/>
      <c r="DU9" s="125"/>
      <c r="DV9" s="125"/>
      <c r="DW9" s="125"/>
      <c r="DX9" s="125"/>
      <c r="DY9" s="125"/>
      <c r="DZ9" s="125"/>
      <c r="EA9" s="125"/>
      <c r="EB9" s="125"/>
      <c r="EC9" s="125"/>
      <c r="ED9" s="125"/>
      <c r="EE9" s="125"/>
      <c r="EF9" s="125"/>
      <c r="EG9" s="125"/>
      <c r="EH9" s="125"/>
      <c r="EI9" s="125"/>
      <c r="EJ9" s="125"/>
      <c r="EK9" s="125"/>
      <c r="EL9" s="125"/>
      <c r="EM9" s="125"/>
      <c r="EN9" s="125"/>
      <c r="EO9" s="125"/>
      <c r="EP9" s="125"/>
      <c r="EQ9" s="125"/>
      <c r="ER9" s="125"/>
      <c r="ES9" s="125"/>
      <c r="ET9" s="125"/>
      <c r="EU9" s="125"/>
      <c r="EV9" s="125"/>
      <c r="EW9" s="125"/>
      <c r="EX9" s="125"/>
      <c r="EY9" s="125"/>
      <c r="EZ9" s="125"/>
      <c r="FA9" s="125"/>
      <c r="FB9" s="125"/>
      <c r="FC9" s="125"/>
      <c r="FD9" s="125"/>
      <c r="FE9" s="125"/>
      <c r="FF9" s="125"/>
      <c r="FG9" s="125"/>
      <c r="FH9" s="125"/>
      <c r="FI9" s="125"/>
      <c r="FJ9" s="125"/>
      <c r="FK9" s="125"/>
      <c r="FL9" s="125"/>
      <c r="FM9" s="125"/>
      <c r="FN9" s="125"/>
      <c r="FO9" s="125"/>
      <c r="FP9" s="125"/>
      <c r="FQ9" s="125"/>
      <c r="FR9" s="125"/>
      <c r="FS9" s="125"/>
      <c r="FT9" s="125"/>
      <c r="FU9" s="125"/>
      <c r="FV9" s="125"/>
      <c r="FW9" s="125"/>
      <c r="FX9" s="125"/>
      <c r="FY9" s="125"/>
      <c r="FZ9" s="125"/>
      <c r="GA9" s="125"/>
      <c r="GB9" s="125"/>
      <c r="GC9" s="125"/>
      <c r="GD9" s="125"/>
      <c r="GE9" s="125"/>
      <c r="GF9" s="125"/>
      <c r="GG9" s="125"/>
      <c r="GH9" s="125"/>
      <c r="GI9" s="125"/>
      <c r="GJ9" s="125"/>
      <c r="GK9" s="125"/>
      <c r="GL9" s="125"/>
      <c r="GM9" s="125"/>
      <c r="GN9" s="125"/>
      <c r="GO9" s="125"/>
      <c r="GP9" s="125"/>
      <c r="GQ9" s="125"/>
      <c r="GR9" s="125"/>
      <c r="GS9" s="125"/>
      <c r="GT9" s="125"/>
      <c r="GU9" s="125"/>
      <c r="GV9" s="125"/>
      <c r="GW9" s="125"/>
      <c r="GX9" s="125"/>
      <c r="GY9" s="125"/>
      <c r="GZ9" s="125"/>
      <c r="HA9" s="125"/>
      <c r="HB9" s="125"/>
      <c r="HC9" s="125"/>
      <c r="HD9" s="125"/>
      <c r="HE9" s="125"/>
      <c r="HF9" s="125"/>
      <c r="HG9" s="125"/>
      <c r="HH9" s="125"/>
      <c r="HI9" s="125"/>
      <c r="HJ9" s="125"/>
      <c r="HK9" s="125"/>
      <c r="HL9" s="125"/>
      <c r="HM9" s="125"/>
      <c r="HN9" s="125"/>
      <c r="HO9" s="125"/>
      <c r="HP9" s="125"/>
      <c r="HQ9" s="125"/>
      <c r="HR9" s="125"/>
      <c r="HS9" s="125"/>
      <c r="HT9" s="125"/>
      <c r="HU9" s="125"/>
      <c r="HV9" s="125"/>
      <c r="HW9" s="125"/>
      <c r="HX9" s="125"/>
      <c r="HY9" s="125"/>
      <c r="HZ9" s="125"/>
      <c r="IA9" s="125"/>
      <c r="IB9" s="125"/>
      <c r="IC9" s="125"/>
      <c r="ID9" s="125"/>
      <c r="IE9" s="125"/>
      <c r="IF9" s="125"/>
      <c r="IG9" s="125"/>
      <c r="IH9" s="125"/>
      <c r="II9" s="125"/>
      <c r="IJ9" s="125"/>
      <c r="IK9" s="125"/>
      <c r="IL9" s="125"/>
      <c r="IM9" s="125"/>
      <c r="IN9" s="125"/>
      <c r="IO9" s="125"/>
      <c r="IP9" s="125"/>
      <c r="IQ9" s="125"/>
      <c r="IR9" s="125"/>
      <c r="IS9" s="125"/>
    </row>
    <row r="10" spans="1:253" x14ac:dyDescent="0.2">
      <c r="A10" s="385" t="s">
        <v>4</v>
      </c>
      <c r="B10" s="199"/>
      <c r="C10" s="198" t="s">
        <v>7</v>
      </c>
      <c r="D10" s="394">
        <f>VAL_RES.!S15</f>
        <v>0</v>
      </c>
      <c r="E10" s="202"/>
      <c r="F10" s="400"/>
      <c r="G10" s="122"/>
      <c r="H10" s="122"/>
      <c r="I10" s="705"/>
      <c r="J10" s="122"/>
      <c r="K10" s="139"/>
      <c r="L10" s="139"/>
      <c r="M10" s="139"/>
      <c r="N10" s="139"/>
      <c r="O10" s="139"/>
      <c r="P10" s="125"/>
      <c r="Q10" s="125"/>
      <c r="T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5"/>
      <c r="AS10" s="125"/>
      <c r="AT10" s="125"/>
      <c r="AU10" s="125"/>
      <c r="AV10" s="125"/>
      <c r="AW10" s="125"/>
      <c r="AX10" s="125"/>
      <c r="AY10" s="125"/>
      <c r="AZ10" s="125"/>
      <c r="BA10" s="125"/>
      <c r="BB10" s="125"/>
      <c r="BC10" s="125"/>
      <c r="BD10" s="125"/>
      <c r="BE10" s="125"/>
      <c r="BF10" s="125"/>
      <c r="BG10" s="125"/>
      <c r="BH10" s="125"/>
      <c r="BI10" s="125"/>
      <c r="BJ10" s="125"/>
      <c r="BK10" s="125"/>
      <c r="BL10" s="125"/>
      <c r="BM10" s="125"/>
      <c r="BN10" s="125"/>
      <c r="BO10" s="125"/>
      <c r="BP10" s="125"/>
      <c r="BQ10" s="125"/>
      <c r="BR10" s="125"/>
      <c r="BS10" s="125"/>
      <c r="BT10" s="125"/>
      <c r="BU10" s="125"/>
      <c r="BV10" s="125"/>
      <c r="BW10" s="125"/>
      <c r="BX10" s="125"/>
      <c r="BY10" s="125"/>
      <c r="BZ10" s="125"/>
      <c r="CA10" s="125"/>
      <c r="CB10" s="125"/>
      <c r="CC10" s="125"/>
      <c r="CD10" s="125"/>
      <c r="CE10" s="125"/>
      <c r="CF10" s="125"/>
      <c r="CG10" s="125"/>
      <c r="CH10" s="125"/>
      <c r="CI10" s="125"/>
      <c r="CJ10" s="125"/>
      <c r="CK10" s="125"/>
      <c r="CL10" s="125"/>
      <c r="CM10" s="125"/>
      <c r="CN10" s="125"/>
      <c r="CO10" s="125"/>
      <c r="CP10" s="125"/>
      <c r="CQ10" s="125"/>
      <c r="CR10" s="125"/>
      <c r="CS10" s="125"/>
      <c r="CT10" s="125"/>
      <c r="CU10" s="125"/>
      <c r="CV10" s="125"/>
      <c r="CW10" s="125"/>
      <c r="CX10" s="125"/>
      <c r="CY10" s="125"/>
      <c r="CZ10" s="125"/>
      <c r="DA10" s="125"/>
      <c r="DB10" s="125"/>
      <c r="DC10" s="125"/>
      <c r="DD10" s="125"/>
      <c r="DE10" s="125"/>
      <c r="DF10" s="125"/>
      <c r="DG10" s="125"/>
      <c r="DH10" s="125"/>
      <c r="DI10" s="125"/>
      <c r="DJ10" s="125"/>
      <c r="DK10" s="125"/>
      <c r="DL10" s="125"/>
      <c r="DM10" s="125"/>
      <c r="DN10" s="125"/>
      <c r="DO10" s="125"/>
      <c r="DP10" s="125"/>
      <c r="DQ10" s="125"/>
      <c r="DR10" s="125"/>
      <c r="DS10" s="125"/>
      <c r="DT10" s="125"/>
      <c r="DU10" s="125"/>
      <c r="DV10" s="125"/>
      <c r="DW10" s="125"/>
      <c r="DX10" s="125"/>
      <c r="DY10" s="125"/>
      <c r="DZ10" s="125"/>
      <c r="EA10" s="125"/>
      <c r="EB10" s="125"/>
      <c r="EC10" s="125"/>
      <c r="ED10" s="125"/>
      <c r="EE10" s="125"/>
      <c r="EF10" s="125"/>
      <c r="EG10" s="125"/>
      <c r="EH10" s="125"/>
      <c r="EI10" s="125"/>
      <c r="EJ10" s="125"/>
      <c r="EK10" s="125"/>
      <c r="EL10" s="125"/>
      <c r="EM10" s="125"/>
      <c r="EN10" s="125"/>
      <c r="EO10" s="125"/>
      <c r="EP10" s="125"/>
      <c r="EQ10" s="125"/>
      <c r="ER10" s="125"/>
      <c r="ES10" s="125"/>
      <c r="ET10" s="125"/>
      <c r="EU10" s="125"/>
      <c r="EV10" s="125"/>
      <c r="EW10" s="125"/>
      <c r="EX10" s="125"/>
      <c r="EY10" s="125"/>
      <c r="EZ10" s="125"/>
      <c r="FA10" s="125"/>
      <c r="FB10" s="125"/>
      <c r="FC10" s="125"/>
      <c r="FD10" s="125"/>
      <c r="FE10" s="125"/>
      <c r="FF10" s="125"/>
      <c r="FG10" s="125"/>
      <c r="FH10" s="125"/>
      <c r="FI10" s="125"/>
      <c r="FJ10" s="125"/>
      <c r="FK10" s="125"/>
      <c r="FL10" s="125"/>
      <c r="FM10" s="125"/>
      <c r="FN10" s="125"/>
      <c r="FO10" s="125"/>
      <c r="FP10" s="125"/>
      <c r="FQ10" s="125"/>
      <c r="FR10" s="125"/>
      <c r="FS10" s="125"/>
      <c r="FT10" s="125"/>
      <c r="FU10" s="125"/>
      <c r="FV10" s="125"/>
      <c r="FW10" s="125"/>
      <c r="FX10" s="125"/>
      <c r="FY10" s="125"/>
      <c r="FZ10" s="125"/>
      <c r="GA10" s="125"/>
      <c r="GB10" s="125"/>
      <c r="GC10" s="125"/>
      <c r="GD10" s="125"/>
      <c r="GE10" s="125"/>
      <c r="GF10" s="125"/>
      <c r="GG10" s="125"/>
      <c r="GH10" s="125"/>
      <c r="GI10" s="125"/>
      <c r="GJ10" s="125"/>
      <c r="GK10" s="125"/>
      <c r="GL10" s="125"/>
      <c r="GM10" s="125"/>
      <c r="GN10" s="125"/>
      <c r="GO10" s="125"/>
      <c r="GP10" s="125"/>
      <c r="GQ10" s="125"/>
      <c r="GR10" s="125"/>
      <c r="GS10" s="125"/>
      <c r="GT10" s="125"/>
      <c r="GU10" s="125"/>
      <c r="GV10" s="125"/>
      <c r="GW10" s="125"/>
      <c r="GX10" s="125"/>
      <c r="GY10" s="125"/>
      <c r="GZ10" s="125"/>
      <c r="HA10" s="125"/>
      <c r="HB10" s="125"/>
      <c r="HC10" s="125"/>
      <c r="HD10" s="125"/>
      <c r="HE10" s="125"/>
      <c r="HF10" s="125"/>
      <c r="HG10" s="125"/>
      <c r="HH10" s="125"/>
      <c r="HI10" s="125"/>
      <c r="HJ10" s="125"/>
      <c r="HK10" s="125"/>
      <c r="HL10" s="125"/>
      <c r="HM10" s="125"/>
      <c r="HN10" s="125"/>
      <c r="HO10" s="125"/>
      <c r="HP10" s="125"/>
      <c r="HQ10" s="125"/>
      <c r="HR10" s="125"/>
      <c r="HS10" s="125"/>
      <c r="HT10" s="125"/>
      <c r="HU10" s="125"/>
      <c r="HV10" s="125"/>
      <c r="HW10" s="125"/>
      <c r="HX10" s="125"/>
      <c r="HY10" s="125"/>
      <c r="HZ10" s="125"/>
      <c r="IA10" s="125"/>
      <c r="IB10" s="125"/>
      <c r="IC10" s="125"/>
      <c r="ID10" s="125"/>
      <c r="IE10" s="125"/>
      <c r="IF10" s="125"/>
      <c r="IG10" s="125"/>
      <c r="IH10" s="125"/>
      <c r="II10" s="125"/>
      <c r="IJ10" s="125"/>
      <c r="IK10" s="125"/>
      <c r="IL10" s="125"/>
      <c r="IM10" s="125"/>
      <c r="IN10" s="125"/>
      <c r="IO10" s="125"/>
      <c r="IP10" s="125"/>
      <c r="IQ10" s="125"/>
      <c r="IR10" s="125"/>
      <c r="IS10" s="125"/>
    </row>
    <row r="11" spans="1:253" ht="10.8" thickBot="1" x14ac:dyDescent="0.25">
      <c r="A11" s="203"/>
      <c r="B11" s="125"/>
      <c r="E11" s="202"/>
      <c r="F11" s="400"/>
      <c r="G11" s="122"/>
      <c r="H11" s="122"/>
      <c r="I11" s="705"/>
      <c r="J11" s="122"/>
      <c r="K11" s="139"/>
      <c r="L11" s="139"/>
      <c r="M11" s="139"/>
      <c r="N11" s="139"/>
      <c r="O11" s="139"/>
      <c r="P11" s="125"/>
      <c r="Q11" s="125"/>
      <c r="T11" s="125"/>
      <c r="U11" s="125"/>
      <c r="V11" s="125"/>
      <c r="W11" s="125"/>
      <c r="X11" s="125"/>
      <c r="Y11" s="125"/>
      <c r="Z11" s="125"/>
      <c r="AA11" s="125"/>
      <c r="AB11" s="125"/>
      <c r="AC11" s="125"/>
      <c r="AD11" s="125"/>
      <c r="AE11" s="125"/>
      <c r="AF11" s="125"/>
      <c r="AG11" s="125"/>
      <c r="AH11" s="125"/>
      <c r="AI11" s="125"/>
      <c r="AJ11" s="125"/>
      <c r="AK11" s="125"/>
      <c r="AL11" s="125"/>
      <c r="AM11" s="125"/>
      <c r="AN11" s="125"/>
      <c r="AO11" s="125"/>
      <c r="AP11" s="125"/>
      <c r="AQ11" s="125"/>
      <c r="AR11" s="125"/>
      <c r="AS11" s="125"/>
      <c r="AT11" s="125"/>
      <c r="AU11" s="125"/>
      <c r="AV11" s="125"/>
      <c r="AW11" s="125"/>
      <c r="AX11" s="125"/>
      <c r="AY11" s="125"/>
      <c r="AZ11" s="125"/>
      <c r="BA11" s="125"/>
      <c r="BB11" s="125"/>
      <c r="BC11" s="125"/>
      <c r="BD11" s="125"/>
      <c r="BE11" s="125"/>
      <c r="BF11" s="125"/>
      <c r="BG11" s="125"/>
      <c r="BH11" s="125"/>
      <c r="BI11" s="125"/>
      <c r="BJ11" s="125"/>
      <c r="BK11" s="125"/>
      <c r="BL11" s="125"/>
      <c r="BM11" s="125"/>
      <c r="BN11" s="125"/>
      <c r="BO11" s="125"/>
      <c r="BP11" s="125"/>
      <c r="BQ11" s="125"/>
      <c r="BR11" s="125"/>
      <c r="BS11" s="125"/>
      <c r="BT11" s="125"/>
      <c r="BU11" s="125"/>
      <c r="BV11" s="125"/>
      <c r="BW11" s="125"/>
      <c r="BX11" s="125"/>
      <c r="BY11" s="125"/>
      <c r="BZ11" s="125"/>
      <c r="CA11" s="125"/>
      <c r="CB11" s="125"/>
      <c r="CC11" s="125"/>
      <c r="CD11" s="125"/>
      <c r="CE11" s="125"/>
      <c r="CF11" s="125"/>
      <c r="CG11" s="125"/>
      <c r="CH11" s="125"/>
      <c r="CI11" s="125"/>
      <c r="CJ11" s="125"/>
      <c r="CK11" s="125"/>
      <c r="CL11" s="125"/>
      <c r="CM11" s="125"/>
      <c r="CN11" s="125"/>
      <c r="CO11" s="125"/>
      <c r="CP11" s="125"/>
      <c r="CQ11" s="125"/>
      <c r="CR11" s="125"/>
      <c r="CS11" s="125"/>
      <c r="CT11" s="125"/>
      <c r="CU11" s="125"/>
      <c r="CV11" s="125"/>
      <c r="CW11" s="125"/>
      <c r="CX11" s="125"/>
      <c r="CY11" s="125"/>
      <c r="CZ11" s="125"/>
      <c r="DA11" s="125"/>
      <c r="DB11" s="125"/>
      <c r="DC11" s="125"/>
      <c r="DD11" s="125"/>
      <c r="DE11" s="125"/>
      <c r="DF11" s="125"/>
      <c r="DG11" s="125"/>
      <c r="DH11" s="125"/>
      <c r="DI11" s="125"/>
      <c r="DJ11" s="125"/>
      <c r="DK11" s="125"/>
      <c r="DL11" s="125"/>
      <c r="DM11" s="125"/>
      <c r="DN11" s="125"/>
      <c r="DO11" s="125"/>
      <c r="DP11" s="125"/>
      <c r="DQ11" s="125"/>
      <c r="DR11" s="125"/>
      <c r="DS11" s="125"/>
      <c r="DT11" s="125"/>
      <c r="DU11" s="125"/>
      <c r="DV11" s="125"/>
      <c r="DW11" s="125"/>
      <c r="DX11" s="125"/>
      <c r="DY11" s="125"/>
      <c r="DZ11" s="125"/>
      <c r="EA11" s="125"/>
      <c r="EB11" s="125"/>
      <c r="EC11" s="125"/>
      <c r="ED11" s="125"/>
      <c r="EE11" s="125"/>
      <c r="EF11" s="125"/>
      <c r="EG11" s="125"/>
      <c r="EH11" s="125"/>
      <c r="EI11" s="125"/>
      <c r="EJ11" s="125"/>
      <c r="EK11" s="125"/>
      <c r="EL11" s="125"/>
      <c r="EM11" s="125"/>
      <c r="EN11" s="125"/>
      <c r="EO11" s="125"/>
      <c r="EP11" s="125"/>
      <c r="EQ11" s="125"/>
      <c r="ER11" s="125"/>
      <c r="ES11" s="125"/>
      <c r="ET11" s="125"/>
      <c r="EU11" s="125"/>
      <c r="EV11" s="125"/>
      <c r="EW11" s="125"/>
      <c r="EX11" s="125"/>
      <c r="EY11" s="125"/>
      <c r="EZ11" s="125"/>
      <c r="FA11" s="125"/>
      <c r="FB11" s="125"/>
      <c r="FC11" s="125"/>
      <c r="FD11" s="125"/>
      <c r="FE11" s="125"/>
      <c r="FF11" s="125"/>
      <c r="FG11" s="125"/>
      <c r="FH11" s="125"/>
      <c r="FI11" s="125"/>
      <c r="FJ11" s="125"/>
      <c r="FK11" s="125"/>
      <c r="FL11" s="125"/>
      <c r="FM11" s="125"/>
      <c r="FN11" s="125"/>
      <c r="FO11" s="125"/>
      <c r="FP11" s="125"/>
      <c r="FQ11" s="125"/>
      <c r="FR11" s="125"/>
      <c r="FS11" s="125"/>
      <c r="FT11" s="125"/>
      <c r="FU11" s="125"/>
      <c r="FV11" s="125"/>
      <c r="FW11" s="125"/>
      <c r="FX11" s="125"/>
      <c r="FY11" s="125"/>
      <c r="FZ11" s="125"/>
      <c r="GA11" s="125"/>
      <c r="GB11" s="125"/>
      <c r="GC11" s="125"/>
      <c r="GD11" s="125"/>
      <c r="GE11" s="125"/>
      <c r="GF11" s="125"/>
      <c r="GG11" s="125"/>
      <c r="GH11" s="125"/>
      <c r="GI11" s="125"/>
      <c r="GJ11" s="125"/>
      <c r="GK11" s="125"/>
      <c r="GL11" s="125"/>
      <c r="GM11" s="125"/>
      <c r="GN11" s="125"/>
      <c r="GO11" s="125"/>
      <c r="GP11" s="125"/>
      <c r="GQ11" s="125"/>
      <c r="GR11" s="125"/>
      <c r="GS11" s="125"/>
      <c r="GT11" s="125"/>
      <c r="GU11" s="125"/>
      <c r="GV11" s="125"/>
      <c r="GW11" s="125"/>
      <c r="GX11" s="125"/>
      <c r="GY11" s="125"/>
      <c r="GZ11" s="125"/>
      <c r="HA11" s="125"/>
      <c r="HB11" s="125"/>
      <c r="HC11" s="125"/>
      <c r="HD11" s="125"/>
      <c r="HE11" s="125"/>
      <c r="HF11" s="125"/>
      <c r="HG11" s="125"/>
      <c r="HH11" s="125"/>
      <c r="HI11" s="125"/>
      <c r="HJ11" s="125"/>
      <c r="HK11" s="125"/>
      <c r="HL11" s="125"/>
      <c r="HM11" s="125"/>
      <c r="HN11" s="125"/>
      <c r="HO11" s="125"/>
      <c r="HP11" s="125"/>
      <c r="HQ11" s="125"/>
      <c r="HR11" s="125"/>
      <c r="HS11" s="125"/>
      <c r="HT11" s="125"/>
      <c r="HU11" s="125"/>
      <c r="HV11" s="125"/>
      <c r="HW11" s="125"/>
      <c r="HX11" s="125"/>
      <c r="HY11" s="125"/>
      <c r="HZ11" s="125"/>
      <c r="IA11" s="125"/>
      <c r="IB11" s="125"/>
      <c r="IC11" s="125"/>
      <c r="ID11" s="125"/>
      <c r="IE11" s="125"/>
      <c r="IF11" s="125"/>
      <c r="IG11" s="125"/>
      <c r="IH11" s="125"/>
      <c r="II11" s="125"/>
      <c r="IJ11" s="125"/>
      <c r="IK11" s="125"/>
      <c r="IL11" s="125"/>
      <c r="IM11" s="125"/>
      <c r="IN11" s="125"/>
      <c r="IO11" s="125"/>
      <c r="IP11" s="125"/>
      <c r="IQ11" s="125"/>
      <c r="IR11" s="125"/>
      <c r="IS11" s="125"/>
    </row>
    <row r="12" spans="1:253" x14ac:dyDescent="0.2">
      <c r="A12" s="2210" t="s">
        <v>8</v>
      </c>
      <c r="B12" s="187" t="s">
        <v>9</v>
      </c>
      <c r="C12" s="2212" t="s">
        <v>283</v>
      </c>
      <c r="D12" s="2213"/>
      <c r="E12" s="2214"/>
      <c r="F12" s="2215"/>
      <c r="G12" s="2216" t="s">
        <v>300</v>
      </c>
      <c r="H12" s="2217"/>
      <c r="I12" s="2206" t="s">
        <v>10</v>
      </c>
      <c r="J12" s="2208"/>
      <c r="K12" s="2206" t="s">
        <v>11</v>
      </c>
      <c r="L12" s="2207"/>
      <c r="M12" s="2208"/>
      <c r="N12" s="2206" t="s">
        <v>12</v>
      </c>
      <c r="O12" s="2208"/>
      <c r="P12" s="125"/>
      <c r="Q12" s="125"/>
      <c r="T12" s="125"/>
      <c r="U12" s="125"/>
      <c r="V12" s="125"/>
      <c r="W12" s="125"/>
      <c r="X12" s="125"/>
      <c r="Y12" s="125"/>
      <c r="Z12" s="125"/>
      <c r="AA12" s="125"/>
      <c r="AB12" s="125"/>
      <c r="AC12" s="125"/>
      <c r="AD12" s="125"/>
      <c r="AE12" s="125"/>
      <c r="AF12" s="125"/>
      <c r="AG12" s="125"/>
      <c r="AH12" s="125"/>
      <c r="AI12" s="125"/>
      <c r="AJ12" s="125"/>
      <c r="AK12" s="125"/>
      <c r="AL12" s="125"/>
      <c r="AM12" s="125"/>
      <c r="AN12" s="125"/>
      <c r="AO12" s="125"/>
      <c r="AP12" s="125"/>
      <c r="AQ12" s="125"/>
      <c r="AR12" s="125"/>
      <c r="AS12" s="125"/>
      <c r="AT12" s="125"/>
      <c r="AU12" s="125"/>
      <c r="AV12" s="125"/>
      <c r="AW12" s="125"/>
      <c r="AX12" s="125"/>
      <c r="AY12" s="125"/>
      <c r="AZ12" s="125"/>
      <c r="BA12" s="125"/>
      <c r="BB12" s="125"/>
      <c r="BC12" s="125"/>
      <c r="BD12" s="125"/>
      <c r="BE12" s="125"/>
      <c r="BF12" s="125"/>
      <c r="BG12" s="125"/>
      <c r="BH12" s="125"/>
      <c r="BI12" s="125"/>
      <c r="BJ12" s="125"/>
      <c r="BK12" s="125"/>
      <c r="BL12" s="125"/>
      <c r="BM12" s="125"/>
      <c r="BN12" s="125"/>
      <c r="BO12" s="125"/>
      <c r="BP12" s="125"/>
      <c r="BQ12" s="125"/>
      <c r="BR12" s="125"/>
      <c r="BS12" s="125"/>
      <c r="BT12" s="125"/>
      <c r="BU12" s="125"/>
      <c r="BV12" s="125"/>
      <c r="BW12" s="125"/>
      <c r="BX12" s="125"/>
      <c r="BY12" s="125"/>
      <c r="BZ12" s="125"/>
      <c r="CA12" s="125"/>
      <c r="CB12" s="125"/>
      <c r="CC12" s="125"/>
      <c r="CD12" s="125"/>
      <c r="CE12" s="125"/>
      <c r="CF12" s="125"/>
      <c r="CG12" s="125"/>
      <c r="CH12" s="125"/>
      <c r="CI12" s="125"/>
      <c r="CJ12" s="125"/>
      <c r="CK12" s="125"/>
      <c r="CL12" s="125"/>
      <c r="CM12" s="125"/>
      <c r="CN12" s="125"/>
      <c r="CO12" s="125"/>
      <c r="CP12" s="125"/>
      <c r="CQ12" s="125"/>
      <c r="CR12" s="125"/>
      <c r="CS12" s="125"/>
      <c r="CT12" s="125"/>
      <c r="CU12" s="125"/>
      <c r="CV12" s="125"/>
      <c r="CW12" s="125"/>
      <c r="CX12" s="125"/>
      <c r="CY12" s="125"/>
      <c r="CZ12" s="125"/>
      <c r="DA12" s="125"/>
      <c r="DB12" s="125"/>
      <c r="DC12" s="125"/>
      <c r="DD12" s="125"/>
      <c r="DE12" s="125"/>
      <c r="DF12" s="125"/>
      <c r="DG12" s="125"/>
      <c r="DH12" s="125"/>
      <c r="DI12" s="125"/>
      <c r="DJ12" s="125"/>
      <c r="DK12" s="125"/>
      <c r="DL12" s="125"/>
      <c r="DM12" s="125"/>
      <c r="DN12" s="125"/>
      <c r="DO12" s="125"/>
      <c r="DP12" s="125"/>
      <c r="DQ12" s="125"/>
      <c r="DR12" s="125"/>
      <c r="DS12" s="125"/>
      <c r="DT12" s="125"/>
      <c r="DU12" s="125"/>
      <c r="DV12" s="125"/>
      <c r="DW12" s="125"/>
      <c r="DX12" s="125"/>
      <c r="DY12" s="125"/>
      <c r="DZ12" s="125"/>
      <c r="EA12" s="125"/>
      <c r="EB12" s="125"/>
      <c r="EC12" s="125"/>
      <c r="ED12" s="125"/>
      <c r="EE12" s="125"/>
      <c r="EF12" s="125"/>
      <c r="EG12" s="125"/>
      <c r="EH12" s="125"/>
      <c r="EI12" s="125"/>
      <c r="EJ12" s="125"/>
      <c r="EK12" s="125"/>
      <c r="EL12" s="125"/>
      <c r="EM12" s="125"/>
      <c r="EN12" s="125"/>
      <c r="EO12" s="125"/>
      <c r="EP12" s="125"/>
      <c r="EQ12" s="125"/>
      <c r="ER12" s="125"/>
      <c r="ES12" s="125"/>
      <c r="ET12" s="125"/>
      <c r="EU12" s="125"/>
      <c r="EV12" s="125"/>
      <c r="EW12" s="125"/>
      <c r="EX12" s="125"/>
      <c r="EY12" s="125"/>
      <c r="EZ12" s="125"/>
      <c r="FA12" s="125"/>
      <c r="FB12" s="125"/>
      <c r="FC12" s="125"/>
      <c r="FD12" s="125"/>
      <c r="FE12" s="125"/>
      <c r="FF12" s="125"/>
      <c r="FG12" s="125"/>
      <c r="FH12" s="125"/>
      <c r="FI12" s="125"/>
      <c r="FJ12" s="125"/>
      <c r="FK12" s="125"/>
      <c r="FL12" s="125"/>
      <c r="FM12" s="125"/>
      <c r="FN12" s="125"/>
      <c r="FO12" s="125"/>
      <c r="FP12" s="125"/>
      <c r="FQ12" s="125"/>
      <c r="FR12" s="125"/>
      <c r="FS12" s="125"/>
      <c r="FT12" s="125"/>
      <c r="FU12" s="125"/>
      <c r="FV12" s="125"/>
      <c r="FW12" s="125"/>
      <c r="FX12" s="125"/>
      <c r="FY12" s="125"/>
      <c r="FZ12" s="125"/>
      <c r="GA12" s="125"/>
      <c r="GB12" s="125"/>
      <c r="GC12" s="125"/>
      <c r="GD12" s="125"/>
      <c r="GE12" s="125"/>
      <c r="GF12" s="125"/>
      <c r="GG12" s="125"/>
      <c r="GH12" s="125"/>
      <c r="GI12" s="125"/>
      <c r="GJ12" s="125"/>
      <c r="GK12" s="125"/>
      <c r="GL12" s="125"/>
      <c r="GM12" s="125"/>
      <c r="GN12" s="125"/>
      <c r="GO12" s="125"/>
      <c r="GP12" s="125"/>
      <c r="GQ12" s="125"/>
      <c r="GR12" s="125"/>
      <c r="GS12" s="125"/>
      <c r="GT12" s="125"/>
      <c r="GU12" s="125"/>
      <c r="GV12" s="125"/>
      <c r="GW12" s="125"/>
      <c r="GX12" s="125"/>
      <c r="GY12" s="125"/>
      <c r="GZ12" s="125"/>
      <c r="HA12" s="125"/>
      <c r="HB12" s="125"/>
      <c r="HC12" s="125"/>
      <c r="HD12" s="125"/>
      <c r="HE12" s="125"/>
      <c r="HF12" s="125"/>
      <c r="HG12" s="125"/>
      <c r="HH12" s="125"/>
      <c r="HI12" s="125"/>
      <c r="HJ12" s="125"/>
      <c r="HK12" s="125"/>
      <c r="HL12" s="125"/>
      <c r="HM12" s="125"/>
      <c r="HN12" s="125"/>
      <c r="HO12" s="125"/>
      <c r="HP12" s="125"/>
      <c r="HQ12" s="125"/>
      <c r="HR12" s="125"/>
      <c r="HS12" s="125"/>
      <c r="HT12" s="125"/>
      <c r="HU12" s="125"/>
      <c r="HV12" s="125"/>
      <c r="HW12" s="125"/>
      <c r="HX12" s="125"/>
      <c r="HY12" s="125"/>
      <c r="HZ12" s="125"/>
      <c r="IA12" s="125"/>
      <c r="IB12" s="125"/>
      <c r="IC12" s="125"/>
      <c r="ID12" s="125"/>
      <c r="IE12" s="125"/>
      <c r="IF12" s="125"/>
      <c r="IG12" s="125"/>
      <c r="IH12" s="125"/>
      <c r="II12" s="125"/>
      <c r="IJ12" s="125"/>
      <c r="IK12" s="125"/>
      <c r="IL12" s="125"/>
      <c r="IM12" s="125"/>
      <c r="IN12" s="125"/>
      <c r="IO12" s="125"/>
      <c r="IP12" s="125"/>
      <c r="IQ12" s="125"/>
      <c r="IR12" s="125"/>
      <c r="IS12" s="125"/>
    </row>
    <row r="13" spans="1:253" ht="10.8" thickBot="1" x14ac:dyDescent="0.25">
      <c r="A13" s="2211"/>
      <c r="B13" s="373"/>
      <c r="C13" s="372" t="s">
        <v>13</v>
      </c>
      <c r="D13" s="395" t="s">
        <v>14</v>
      </c>
      <c r="E13" s="165" t="s">
        <v>15</v>
      </c>
      <c r="F13" s="458" t="s">
        <v>16</v>
      </c>
      <c r="G13" s="160" t="s">
        <v>14</v>
      </c>
      <c r="H13" s="161" t="s">
        <v>16</v>
      </c>
      <c r="I13" s="487" t="s">
        <v>14</v>
      </c>
      <c r="J13" s="161" t="s">
        <v>16</v>
      </c>
      <c r="K13" s="160" t="s">
        <v>14</v>
      </c>
      <c r="L13" s="162" t="s">
        <v>16</v>
      </c>
      <c r="M13" s="161" t="s">
        <v>17</v>
      </c>
      <c r="N13" s="160" t="s">
        <v>14</v>
      </c>
      <c r="O13" s="374" t="s">
        <v>16</v>
      </c>
      <c r="P13" s="125"/>
      <c r="Q13" s="125"/>
      <c r="T13" s="125"/>
      <c r="U13" s="125"/>
      <c r="V13" s="125"/>
      <c r="W13" s="125"/>
      <c r="X13" s="125"/>
      <c r="Y13" s="125"/>
      <c r="Z13" s="125"/>
      <c r="AA13" s="125"/>
      <c r="AB13" s="125"/>
      <c r="AC13" s="125"/>
      <c r="AD13" s="125"/>
      <c r="AE13" s="125"/>
      <c r="AF13" s="125"/>
      <c r="AG13" s="125"/>
      <c r="AH13" s="125"/>
      <c r="AI13" s="125"/>
      <c r="AJ13" s="125"/>
      <c r="AK13" s="125"/>
      <c r="AL13" s="125"/>
      <c r="AM13" s="125"/>
      <c r="AN13" s="125"/>
      <c r="AO13" s="125"/>
      <c r="AP13" s="125"/>
      <c r="AQ13" s="125"/>
      <c r="AR13" s="125"/>
      <c r="AS13" s="125"/>
      <c r="AT13" s="125"/>
      <c r="AU13" s="125"/>
      <c r="AV13" s="125"/>
      <c r="AW13" s="125"/>
      <c r="AX13" s="125"/>
      <c r="AY13" s="125"/>
      <c r="AZ13" s="125"/>
      <c r="BA13" s="125"/>
      <c r="BB13" s="125"/>
      <c r="BC13" s="125"/>
      <c r="BD13" s="125"/>
      <c r="BE13" s="125"/>
      <c r="BF13" s="125"/>
      <c r="BG13" s="125"/>
      <c r="BH13" s="125"/>
      <c r="BI13" s="125"/>
      <c r="BJ13" s="125"/>
      <c r="BK13" s="125"/>
      <c r="BL13" s="125"/>
      <c r="BM13" s="125"/>
      <c r="BN13" s="125"/>
      <c r="BO13" s="125"/>
      <c r="BP13" s="125"/>
      <c r="BQ13" s="125"/>
      <c r="BR13" s="125"/>
      <c r="BS13" s="125"/>
      <c r="BT13" s="125"/>
      <c r="BU13" s="125"/>
      <c r="BV13" s="125"/>
      <c r="BW13" s="125"/>
      <c r="BX13" s="125"/>
      <c r="BY13" s="125"/>
      <c r="BZ13" s="125"/>
      <c r="CA13" s="125"/>
      <c r="CB13" s="125"/>
      <c r="CC13" s="125"/>
      <c r="CD13" s="125"/>
      <c r="CE13" s="125"/>
      <c r="CF13" s="125"/>
      <c r="CG13" s="125"/>
      <c r="CH13" s="125"/>
      <c r="CI13" s="125"/>
      <c r="CJ13" s="125"/>
      <c r="CK13" s="125"/>
      <c r="CL13" s="125"/>
      <c r="CM13" s="125"/>
      <c r="CN13" s="125"/>
      <c r="CO13" s="125"/>
      <c r="CP13" s="125"/>
      <c r="CQ13" s="125"/>
      <c r="CR13" s="125"/>
      <c r="CS13" s="125"/>
      <c r="CT13" s="125"/>
      <c r="CU13" s="125"/>
      <c r="CV13" s="125"/>
      <c r="CW13" s="125"/>
      <c r="CX13" s="125"/>
      <c r="CY13" s="125"/>
      <c r="CZ13" s="125"/>
      <c r="DA13" s="125"/>
      <c r="DB13" s="125"/>
      <c r="DC13" s="125"/>
      <c r="DD13" s="125"/>
      <c r="DE13" s="125"/>
      <c r="DF13" s="125"/>
      <c r="DG13" s="125"/>
      <c r="DH13" s="125"/>
      <c r="DI13" s="125"/>
      <c r="DJ13" s="125"/>
      <c r="DK13" s="125"/>
      <c r="DL13" s="125"/>
      <c r="DM13" s="125"/>
      <c r="DN13" s="125"/>
      <c r="DO13" s="125"/>
      <c r="DP13" s="125"/>
      <c r="DQ13" s="125"/>
      <c r="DR13" s="125"/>
      <c r="DS13" s="125"/>
      <c r="DT13" s="125"/>
      <c r="DU13" s="125"/>
      <c r="DV13" s="125"/>
      <c r="DW13" s="125"/>
      <c r="DX13" s="125"/>
      <c r="DY13" s="125"/>
      <c r="DZ13" s="125"/>
      <c r="EA13" s="125"/>
      <c r="EB13" s="125"/>
      <c r="EC13" s="125"/>
      <c r="ED13" s="125"/>
      <c r="EE13" s="125"/>
      <c r="EF13" s="125"/>
      <c r="EG13" s="125"/>
      <c r="EH13" s="125"/>
      <c r="EI13" s="125"/>
      <c r="EJ13" s="125"/>
      <c r="EK13" s="125"/>
      <c r="EL13" s="125"/>
      <c r="EM13" s="125"/>
      <c r="EN13" s="125"/>
      <c r="EO13" s="125"/>
      <c r="EP13" s="125"/>
      <c r="EQ13" s="125"/>
      <c r="ER13" s="125"/>
      <c r="ES13" s="125"/>
      <c r="ET13" s="125"/>
      <c r="EU13" s="125"/>
      <c r="EV13" s="125"/>
      <c r="EW13" s="125"/>
      <c r="EX13" s="125"/>
      <c r="EY13" s="125"/>
      <c r="EZ13" s="125"/>
      <c r="FA13" s="125"/>
      <c r="FB13" s="125"/>
      <c r="FC13" s="125"/>
      <c r="FD13" s="125"/>
      <c r="FE13" s="125"/>
      <c r="FF13" s="125"/>
      <c r="FG13" s="125"/>
      <c r="FH13" s="125"/>
      <c r="FI13" s="125"/>
      <c r="FJ13" s="125"/>
      <c r="FK13" s="125"/>
      <c r="FL13" s="125"/>
      <c r="FM13" s="125"/>
      <c r="FN13" s="125"/>
      <c r="FO13" s="125"/>
      <c r="FP13" s="125"/>
      <c r="FQ13" s="125"/>
      <c r="FR13" s="125"/>
      <c r="FS13" s="125"/>
      <c r="FT13" s="125"/>
      <c r="FU13" s="125"/>
      <c r="FV13" s="125"/>
      <c r="FW13" s="125"/>
      <c r="FX13" s="125"/>
      <c r="FY13" s="125"/>
      <c r="FZ13" s="125"/>
      <c r="GA13" s="125"/>
      <c r="GB13" s="125"/>
      <c r="GC13" s="125"/>
      <c r="GD13" s="125"/>
      <c r="GE13" s="125"/>
      <c r="GF13" s="125"/>
      <c r="GG13" s="125"/>
      <c r="GH13" s="125"/>
      <c r="GI13" s="125"/>
      <c r="GJ13" s="125"/>
      <c r="GK13" s="125"/>
      <c r="GL13" s="125"/>
      <c r="GM13" s="125"/>
      <c r="GN13" s="125"/>
      <c r="GO13" s="125"/>
      <c r="GP13" s="125"/>
      <c r="GQ13" s="125"/>
      <c r="GR13" s="125"/>
      <c r="GS13" s="125"/>
      <c r="GT13" s="125"/>
      <c r="GU13" s="125"/>
      <c r="GV13" s="125"/>
      <c r="GW13" s="125"/>
      <c r="GX13" s="125"/>
      <c r="GY13" s="125"/>
      <c r="GZ13" s="125"/>
      <c r="HA13" s="125"/>
      <c r="HB13" s="125"/>
      <c r="HC13" s="125"/>
      <c r="HD13" s="125"/>
      <c r="HE13" s="125"/>
      <c r="HF13" s="125"/>
      <c r="HG13" s="125"/>
      <c r="HH13" s="125"/>
      <c r="HI13" s="125"/>
      <c r="HJ13" s="125"/>
      <c r="HK13" s="125"/>
      <c r="HL13" s="125"/>
      <c r="HM13" s="125"/>
      <c r="HN13" s="125"/>
      <c r="HO13" s="125"/>
      <c r="HP13" s="125"/>
      <c r="HQ13" s="125"/>
      <c r="HR13" s="125"/>
      <c r="HS13" s="125"/>
      <c r="HT13" s="125"/>
      <c r="HU13" s="125"/>
      <c r="HV13" s="125"/>
      <c r="HW13" s="125"/>
      <c r="HX13" s="125"/>
      <c r="HY13" s="125"/>
      <c r="HZ13" s="125"/>
      <c r="IA13" s="125"/>
      <c r="IB13" s="125"/>
      <c r="IC13" s="125"/>
      <c r="ID13" s="125"/>
      <c r="IE13" s="125"/>
      <c r="IF13" s="125"/>
      <c r="IG13" s="125"/>
      <c r="IH13" s="125"/>
      <c r="II13" s="125"/>
      <c r="IJ13" s="125"/>
      <c r="IK13" s="125"/>
      <c r="IL13" s="125"/>
      <c r="IM13" s="125"/>
      <c r="IN13" s="125"/>
      <c r="IO13" s="125"/>
      <c r="IP13" s="125"/>
      <c r="IQ13" s="125"/>
      <c r="IR13" s="125"/>
      <c r="IS13" s="125"/>
    </row>
    <row r="14" spans="1:253" x14ac:dyDescent="0.2">
      <c r="A14" s="384"/>
      <c r="B14" s="727"/>
      <c r="C14" s="472"/>
      <c r="D14" s="396"/>
      <c r="E14" s="383"/>
      <c r="F14" s="473"/>
      <c r="G14" s="460"/>
      <c r="H14" s="461"/>
      <c r="I14" s="472"/>
      <c r="J14" s="461"/>
      <c r="K14" s="462"/>
      <c r="L14" s="463"/>
      <c r="M14" s="461"/>
      <c r="N14" s="462"/>
      <c r="O14" s="461"/>
      <c r="P14" s="125"/>
      <c r="Q14" s="125"/>
      <c r="T14" s="125"/>
      <c r="U14" s="125"/>
      <c r="V14" s="125"/>
      <c r="W14" s="125"/>
      <c r="X14" s="125"/>
      <c r="Y14" s="125"/>
      <c r="Z14" s="125"/>
      <c r="AA14" s="125"/>
      <c r="AB14" s="125"/>
      <c r="AC14" s="125"/>
      <c r="AD14" s="125"/>
      <c r="AE14" s="125"/>
      <c r="AF14" s="125"/>
      <c r="AG14" s="125"/>
      <c r="AH14" s="125"/>
      <c r="AI14" s="125"/>
      <c r="AJ14" s="125"/>
      <c r="AK14" s="125"/>
      <c r="AL14" s="125"/>
      <c r="AM14" s="125"/>
      <c r="AN14" s="125"/>
      <c r="AO14" s="125"/>
      <c r="AP14" s="125"/>
      <c r="AQ14" s="125"/>
      <c r="AR14" s="125"/>
      <c r="AS14" s="125"/>
      <c r="AT14" s="125"/>
      <c r="AU14" s="125"/>
      <c r="AV14" s="125"/>
      <c r="AW14" s="125"/>
      <c r="AX14" s="125"/>
      <c r="AY14" s="125"/>
      <c r="AZ14" s="125"/>
      <c r="BA14" s="125"/>
      <c r="BB14" s="125"/>
      <c r="BC14" s="125"/>
      <c r="BD14" s="125"/>
      <c r="BE14" s="125"/>
      <c r="BF14" s="125"/>
      <c r="BG14" s="125"/>
      <c r="BH14" s="125"/>
      <c r="BI14" s="125"/>
      <c r="BJ14" s="125"/>
      <c r="BK14" s="125"/>
      <c r="BL14" s="125"/>
      <c r="BM14" s="125"/>
      <c r="BN14" s="125"/>
      <c r="BO14" s="125"/>
      <c r="BP14" s="125"/>
      <c r="BQ14" s="125"/>
      <c r="BR14" s="125"/>
      <c r="BS14" s="125"/>
      <c r="BT14" s="125"/>
      <c r="BU14" s="125"/>
      <c r="BV14" s="125"/>
      <c r="BW14" s="125"/>
      <c r="BX14" s="125"/>
      <c r="BY14" s="125"/>
      <c r="BZ14" s="125"/>
      <c r="CA14" s="125"/>
      <c r="CB14" s="125"/>
      <c r="CC14" s="125"/>
      <c r="CD14" s="125"/>
      <c r="CE14" s="125"/>
      <c r="CF14" s="125"/>
      <c r="CG14" s="125"/>
      <c r="CH14" s="125"/>
      <c r="CI14" s="125"/>
      <c r="CJ14" s="125"/>
      <c r="CK14" s="125"/>
      <c r="CL14" s="125"/>
      <c r="CM14" s="125"/>
      <c r="CN14" s="125"/>
      <c r="CO14" s="125"/>
      <c r="CP14" s="125"/>
      <c r="CQ14" s="125"/>
      <c r="CR14" s="125"/>
      <c r="CS14" s="125"/>
      <c r="CT14" s="125"/>
      <c r="CU14" s="125"/>
      <c r="CV14" s="125"/>
      <c r="CW14" s="125"/>
      <c r="CX14" s="125"/>
      <c r="CY14" s="125"/>
      <c r="CZ14" s="125"/>
      <c r="DA14" s="125"/>
      <c r="DB14" s="125"/>
      <c r="DC14" s="125"/>
      <c r="DD14" s="125"/>
      <c r="DE14" s="125"/>
      <c r="DF14" s="125"/>
      <c r="DG14" s="125"/>
      <c r="DH14" s="125"/>
      <c r="DI14" s="125"/>
      <c r="DJ14" s="125"/>
      <c r="DK14" s="125"/>
      <c r="DL14" s="125"/>
      <c r="DM14" s="125"/>
      <c r="DN14" s="125"/>
      <c r="DO14" s="125"/>
      <c r="DP14" s="125"/>
      <c r="DQ14" s="125"/>
      <c r="DR14" s="125"/>
      <c r="DS14" s="125"/>
      <c r="DT14" s="125"/>
      <c r="DU14" s="125"/>
      <c r="DV14" s="125"/>
      <c r="DW14" s="125"/>
      <c r="DX14" s="125"/>
      <c r="DY14" s="125"/>
      <c r="DZ14" s="125"/>
      <c r="EA14" s="125"/>
      <c r="EB14" s="125"/>
      <c r="EC14" s="125"/>
      <c r="ED14" s="125"/>
      <c r="EE14" s="125"/>
      <c r="EF14" s="125"/>
      <c r="EG14" s="125"/>
      <c r="EH14" s="125"/>
      <c r="EI14" s="125"/>
      <c r="EJ14" s="125"/>
      <c r="EK14" s="125"/>
      <c r="EL14" s="125"/>
      <c r="EM14" s="125"/>
      <c r="EN14" s="125"/>
      <c r="EO14" s="125"/>
      <c r="EP14" s="125"/>
      <c r="EQ14" s="125"/>
      <c r="ER14" s="125"/>
      <c r="ES14" s="125"/>
      <c r="ET14" s="125"/>
      <c r="EU14" s="125"/>
      <c r="EV14" s="125"/>
      <c r="EW14" s="125"/>
      <c r="EX14" s="125"/>
      <c r="EY14" s="125"/>
      <c r="EZ14" s="125"/>
      <c r="FA14" s="125"/>
      <c r="FB14" s="125"/>
      <c r="FC14" s="125"/>
      <c r="FD14" s="125"/>
      <c r="FE14" s="125"/>
      <c r="FF14" s="125"/>
      <c r="FG14" s="125"/>
      <c r="FH14" s="125"/>
      <c r="FI14" s="125"/>
      <c r="FJ14" s="125"/>
      <c r="FK14" s="125"/>
      <c r="FL14" s="125"/>
      <c r="FM14" s="125"/>
      <c r="FN14" s="125"/>
      <c r="FO14" s="125"/>
      <c r="FP14" s="125"/>
      <c r="FQ14" s="125"/>
      <c r="FR14" s="125"/>
      <c r="FS14" s="125"/>
      <c r="FT14" s="125"/>
      <c r="FU14" s="125"/>
      <c r="FV14" s="125"/>
      <c r="FW14" s="125"/>
      <c r="FX14" s="125"/>
      <c r="FY14" s="125"/>
      <c r="FZ14" s="125"/>
      <c r="GA14" s="125"/>
      <c r="GB14" s="125"/>
      <c r="GC14" s="125"/>
      <c r="GD14" s="125"/>
      <c r="GE14" s="125"/>
      <c r="GF14" s="125"/>
      <c r="GG14" s="125"/>
      <c r="GH14" s="125"/>
      <c r="GI14" s="125"/>
      <c r="GJ14" s="125"/>
      <c r="GK14" s="125"/>
      <c r="GL14" s="125"/>
      <c r="GM14" s="125"/>
      <c r="GN14" s="125"/>
      <c r="GO14" s="125"/>
      <c r="GP14" s="125"/>
      <c r="GQ14" s="125"/>
      <c r="GR14" s="125"/>
      <c r="GS14" s="125"/>
      <c r="GT14" s="125"/>
      <c r="GU14" s="125"/>
      <c r="GV14" s="125"/>
      <c r="GW14" s="125"/>
      <c r="GX14" s="125"/>
      <c r="GY14" s="125"/>
      <c r="GZ14" s="125"/>
      <c r="HA14" s="125"/>
      <c r="HB14" s="125"/>
      <c r="HC14" s="125"/>
      <c r="HD14" s="125"/>
      <c r="HE14" s="125"/>
      <c r="HF14" s="125"/>
      <c r="HG14" s="125"/>
      <c r="HH14" s="125"/>
      <c r="HI14" s="125"/>
      <c r="HJ14" s="125"/>
      <c r="HK14" s="125"/>
      <c r="HL14" s="125"/>
      <c r="HM14" s="125"/>
      <c r="HN14" s="125"/>
      <c r="HO14" s="125"/>
      <c r="HP14" s="125"/>
      <c r="HQ14" s="125"/>
      <c r="HR14" s="125"/>
      <c r="HS14" s="125"/>
      <c r="HT14" s="125"/>
      <c r="HU14" s="125"/>
      <c r="HV14" s="125"/>
      <c r="HW14" s="125"/>
      <c r="HX14" s="125"/>
      <c r="HY14" s="125"/>
      <c r="HZ14" s="125"/>
      <c r="IA14" s="125"/>
      <c r="IB14" s="125"/>
      <c r="IC14" s="125"/>
      <c r="ID14" s="125"/>
      <c r="IE14" s="125"/>
      <c r="IF14" s="125"/>
      <c r="IG14" s="125"/>
      <c r="IH14" s="125"/>
      <c r="II14" s="125"/>
      <c r="IJ14" s="125"/>
      <c r="IK14" s="125"/>
      <c r="IL14" s="125"/>
      <c r="IM14" s="125"/>
      <c r="IN14" s="125"/>
      <c r="IO14" s="125"/>
      <c r="IP14" s="125"/>
      <c r="IQ14" s="125"/>
      <c r="IR14" s="125"/>
      <c r="IS14" s="125"/>
    </row>
    <row r="15" spans="1:253" x14ac:dyDescent="0.2">
      <c r="A15" s="453" t="s">
        <v>38</v>
      </c>
      <c r="B15" s="2219" t="s">
        <v>336</v>
      </c>
      <c r="C15" s="728"/>
      <c r="D15" s="447"/>
      <c r="E15" s="451"/>
      <c r="F15" s="452"/>
      <c r="G15" s="449"/>
      <c r="H15" s="459"/>
      <c r="I15" s="470"/>
      <c r="J15" s="459"/>
      <c r="K15" s="470"/>
      <c r="L15" s="471"/>
      <c r="M15" s="459"/>
      <c r="N15" s="470"/>
      <c r="O15" s="459"/>
      <c r="P15" s="339"/>
      <c r="Q15" s="338"/>
      <c r="R15" s="388"/>
      <c r="S15" s="388"/>
      <c r="T15" s="339"/>
    </row>
    <row r="16" spans="1:253" x14ac:dyDescent="0.2">
      <c r="A16" s="453"/>
      <c r="B16" s="2219"/>
      <c r="C16" s="728"/>
      <c r="D16" s="447"/>
      <c r="E16" s="451"/>
      <c r="F16" s="452"/>
      <c r="G16" s="449"/>
      <c r="H16" s="459"/>
      <c r="I16" s="470"/>
      <c r="J16" s="459"/>
      <c r="K16" s="470"/>
      <c r="L16" s="471"/>
      <c r="M16" s="459"/>
      <c r="N16" s="470"/>
      <c r="O16" s="459"/>
      <c r="P16" s="339"/>
      <c r="Q16" s="338"/>
      <c r="R16" s="388"/>
      <c r="S16" s="388"/>
      <c r="T16" s="339"/>
    </row>
    <row r="17" spans="1:20" x14ac:dyDescent="0.2">
      <c r="A17" s="450" t="s">
        <v>165</v>
      </c>
      <c r="B17" s="2220" t="s">
        <v>337</v>
      </c>
      <c r="C17" s="728" t="s">
        <v>277</v>
      </c>
      <c r="D17" s="447">
        <v>1</v>
      </c>
      <c r="E17" s="451">
        <v>63310</v>
      </c>
      <c r="F17" s="452">
        <f>D17*E17</f>
        <v>63310</v>
      </c>
      <c r="G17" s="449">
        <v>0</v>
      </c>
      <c r="H17" s="459">
        <f t="shared" ref="H17" si="0">+G17*E17</f>
        <v>0</v>
      </c>
      <c r="I17" s="470">
        <v>0</v>
      </c>
      <c r="J17" s="459">
        <f t="shared" ref="J17" si="1">+I17*E17</f>
        <v>0</v>
      </c>
      <c r="K17" s="470">
        <f t="shared" ref="K17" si="2">+G17+I17</f>
        <v>0</v>
      </c>
      <c r="L17" s="471">
        <f t="shared" ref="L17" si="3">+K17*E17</f>
        <v>0</v>
      </c>
      <c r="M17" s="459">
        <f t="shared" ref="M17" si="4">+K17*100/D17</f>
        <v>0</v>
      </c>
      <c r="N17" s="470">
        <f t="shared" ref="N17" si="5">+D17-K17</f>
        <v>1</v>
      </c>
      <c r="O17" s="459">
        <f t="shared" ref="O17" si="6">+F17-L17</f>
        <v>63310</v>
      </c>
      <c r="P17" s="339">
        <f t="shared" ref="P17" si="7">+D17-G17</f>
        <v>1</v>
      </c>
      <c r="Q17" s="338">
        <f t="shared" ref="Q17" si="8">+K17-D17</f>
        <v>-1</v>
      </c>
      <c r="R17" s="388"/>
      <c r="S17" s="388"/>
      <c r="T17" s="339"/>
    </row>
    <row r="18" spans="1:20" ht="10.8" thickBot="1" x14ac:dyDescent="0.25">
      <c r="A18" s="450"/>
      <c r="B18" s="2221"/>
      <c r="C18" s="729"/>
      <c r="D18" s="455"/>
      <c r="E18" s="456"/>
      <c r="F18" s="457"/>
      <c r="G18" s="449"/>
      <c r="H18" s="459"/>
      <c r="I18" s="470"/>
      <c r="J18" s="459"/>
      <c r="K18" s="470"/>
      <c r="L18" s="471"/>
      <c r="M18" s="459"/>
      <c r="N18" s="470"/>
      <c r="O18" s="459"/>
      <c r="P18" s="339"/>
      <c r="Q18" s="338"/>
      <c r="R18" s="388"/>
      <c r="S18" s="388"/>
      <c r="T18" s="339"/>
    </row>
    <row r="19" spans="1:20" ht="10.8" thickBot="1" x14ac:dyDescent="0.25">
      <c r="A19" s="778"/>
      <c r="B19" s="779" t="s">
        <v>0</v>
      </c>
      <c r="C19" s="780"/>
      <c r="D19" s="781"/>
      <c r="E19" s="782"/>
      <c r="F19" s="783">
        <f>ROUND(SUM(F17:F18),3)</f>
        <v>63310</v>
      </c>
      <c r="G19" s="784"/>
      <c r="H19" s="785">
        <f>ROUND(SUM(H17:H18),3)</f>
        <v>0</v>
      </c>
      <c r="I19" s="786"/>
      <c r="J19" s="785">
        <f>ROUND(SUM(J17:J18),3)</f>
        <v>0</v>
      </c>
      <c r="K19" s="784"/>
      <c r="L19" s="787">
        <f>ROUND(SUM(L17:L18),3)</f>
        <v>0</v>
      </c>
      <c r="M19" s="788"/>
      <c r="N19" s="789"/>
      <c r="O19" s="790">
        <f>ROUND(SUM(O17:O18),3)</f>
        <v>63310</v>
      </c>
      <c r="P19" s="204">
        <f t="shared" ref="P19" si="9">+F19-L19-O19</f>
        <v>0</v>
      </c>
      <c r="S19" s="388"/>
      <c r="T19" s="339"/>
    </row>
    <row r="20" spans="1:20" x14ac:dyDescent="0.2">
      <c r="G20" s="163"/>
      <c r="H20" s="164"/>
      <c r="I20" s="708"/>
      <c r="J20" s="163"/>
      <c r="K20" s="163"/>
      <c r="L20" s="474"/>
      <c r="O20" s="361"/>
    </row>
    <row r="21" spans="1:20" x14ac:dyDescent="0.2">
      <c r="G21" s="163"/>
      <c r="H21" s="164"/>
      <c r="I21" s="708"/>
      <c r="J21" s="163"/>
      <c r="K21" s="163"/>
      <c r="L21" s="430"/>
      <c r="M21" s="202"/>
    </row>
    <row r="22" spans="1:20" x14ac:dyDescent="0.2">
      <c r="E22" s="198" t="s">
        <v>236</v>
      </c>
      <c r="F22" s="402" t="e">
        <f>+#REF!</f>
        <v>#REF!</v>
      </c>
      <c r="G22" s="198">
        <v>100</v>
      </c>
      <c r="L22" s="430"/>
      <c r="M22" s="202"/>
      <c r="N22" s="202"/>
    </row>
    <row r="23" spans="1:20" x14ac:dyDescent="0.2">
      <c r="B23" s="204"/>
      <c r="F23" s="402" t="e">
        <f>+#REF!</f>
        <v>#REF!</v>
      </c>
      <c r="G23" s="188" t="s">
        <v>237</v>
      </c>
      <c r="H23" s="164" t="e">
        <f>+F23*G22/F22</f>
        <v>#REF!</v>
      </c>
      <c r="L23" s="474"/>
      <c r="M23" s="202"/>
      <c r="N23" s="202"/>
    </row>
    <row r="24" spans="1:20" x14ac:dyDescent="0.2">
      <c r="L24" s="474"/>
      <c r="M24" s="202"/>
      <c r="N24" s="202"/>
    </row>
    <row r="25" spans="1:20" x14ac:dyDescent="0.2">
      <c r="L25" s="474"/>
      <c r="M25" s="202"/>
      <c r="N25" s="202"/>
    </row>
    <row r="26" spans="1:20" x14ac:dyDescent="0.2">
      <c r="L26" s="474"/>
      <c r="M26" s="202"/>
      <c r="N26" s="202"/>
    </row>
    <row r="27" spans="1:20" x14ac:dyDescent="0.2">
      <c r="L27" s="474"/>
      <c r="M27" s="202"/>
      <c r="N27" s="202"/>
    </row>
    <row r="28" spans="1:20" x14ac:dyDescent="0.2">
      <c r="L28" s="474"/>
      <c r="M28" s="202"/>
      <c r="N28" s="202"/>
    </row>
    <row r="29" spans="1:20" x14ac:dyDescent="0.2">
      <c r="L29" s="474"/>
      <c r="N29" s="202"/>
    </row>
    <row r="30" spans="1:20" x14ac:dyDescent="0.2">
      <c r="L30" s="474"/>
    </row>
    <row r="31" spans="1:20" x14ac:dyDescent="0.2">
      <c r="D31" s="392" t="s">
        <v>240</v>
      </c>
      <c r="F31" s="402">
        <f>+Hoja1!C9</f>
        <v>17878272.109999999</v>
      </c>
      <c r="L31" s="474"/>
    </row>
    <row r="32" spans="1:20" x14ac:dyDescent="0.2">
      <c r="D32" s="392" t="s">
        <v>239</v>
      </c>
      <c r="F32" s="402">
        <v>7768320.3169999998</v>
      </c>
      <c r="G32" s="2218" t="e">
        <f>+#REF!+#REF!+#REF!</f>
        <v>#REF!</v>
      </c>
      <c r="H32" s="2218"/>
      <c r="I32" s="709"/>
      <c r="L32" s="474"/>
    </row>
    <row r="33" spans="2:12" x14ac:dyDescent="0.2">
      <c r="D33" s="392" t="s">
        <v>241</v>
      </c>
      <c r="F33" s="2209">
        <f>+F31/F32</f>
        <v>2.3014334348283287</v>
      </c>
      <c r="G33" s="2209"/>
      <c r="L33" s="672"/>
    </row>
    <row r="34" spans="2:12" x14ac:dyDescent="0.2">
      <c r="F34" s="2209">
        <v>0.99995749184038185</v>
      </c>
      <c r="G34" s="2209"/>
      <c r="L34" s="672"/>
    </row>
    <row r="35" spans="2:12" x14ac:dyDescent="0.2">
      <c r="L35" s="672"/>
    </row>
    <row r="36" spans="2:12" x14ac:dyDescent="0.2">
      <c r="L36" s="672"/>
    </row>
    <row r="37" spans="2:12" x14ac:dyDescent="0.2">
      <c r="L37" s="672"/>
    </row>
    <row r="40" spans="2:12" x14ac:dyDescent="0.2">
      <c r="B40" s="422" t="s">
        <v>279</v>
      </c>
      <c r="D40" s="198">
        <v>44710.451977401135</v>
      </c>
    </row>
    <row r="41" spans="2:12" x14ac:dyDescent="0.2">
      <c r="B41" s="422" t="s">
        <v>278</v>
      </c>
      <c r="D41" s="392">
        <f>0.1*D40</f>
        <v>4471.0451977401135</v>
      </c>
    </row>
    <row r="42" spans="2:12" x14ac:dyDescent="0.2">
      <c r="B42" s="422" t="s">
        <v>308</v>
      </c>
      <c r="D42" s="392">
        <f>0.1*D40</f>
        <v>4471.0451977401135</v>
      </c>
    </row>
    <row r="43" spans="2:12" x14ac:dyDescent="0.2">
      <c r="B43" s="422" t="s">
        <v>280</v>
      </c>
      <c r="D43" s="392">
        <f>SUM(D40:D42)</f>
        <v>53652.542372881362</v>
      </c>
    </row>
    <row r="44" spans="2:12" x14ac:dyDescent="0.2">
      <c r="B44" s="422" t="s">
        <v>281</v>
      </c>
      <c r="D44" s="392">
        <v>1</v>
      </c>
    </row>
    <row r="45" spans="2:12" x14ac:dyDescent="0.2">
      <c r="B45" s="422" t="s">
        <v>282</v>
      </c>
      <c r="D45" s="198">
        <v>53652.542372881362</v>
      </c>
    </row>
    <row r="46" spans="2:12" x14ac:dyDescent="0.2">
      <c r="B46" s="422" t="s">
        <v>173</v>
      </c>
      <c r="D46" s="392">
        <f>0.18*D45</f>
        <v>9657.4576271186452</v>
      </c>
    </row>
    <row r="47" spans="2:12" ht="10.8" thickBot="1" x14ac:dyDescent="0.25">
      <c r="B47" s="423" t="s">
        <v>0</v>
      </c>
      <c r="D47" s="392">
        <v>63310</v>
      </c>
    </row>
  </sheetData>
  <autoFilter ref="A14:O17"/>
  <mergeCells count="17">
    <mergeCell ref="F34:G34"/>
    <mergeCell ref="A12:A13"/>
    <mergeCell ref="C12:F12"/>
    <mergeCell ref="G12:H12"/>
    <mergeCell ref="I12:J12"/>
    <mergeCell ref="B15:B16"/>
    <mergeCell ref="B17:B18"/>
    <mergeCell ref="G32:H32"/>
    <mergeCell ref="F33:G33"/>
    <mergeCell ref="K12:M12"/>
    <mergeCell ref="N12:O12"/>
    <mergeCell ref="A1:B1"/>
    <mergeCell ref="C1:J1"/>
    <mergeCell ref="A2:B2"/>
    <mergeCell ref="A3:O3"/>
    <mergeCell ref="A4:O4"/>
    <mergeCell ref="D6:O6"/>
  </mergeCells>
  <conditionalFormatting sqref="O1:O12 O14 O20:O1048576">
    <cfRule type="cellIs" dxfId="2" priority="10" operator="greaterThan">
      <formula>0</formula>
    </cfRule>
  </conditionalFormatting>
  <printOptions horizontalCentered="1"/>
  <pageMargins left="0.19685039370078741" right="0" top="1.1811023622047245" bottom="0.55118110236220474" header="0.31496062992125984" footer="0.31496062992125984"/>
  <pageSetup paperSize="9" scale="56" orientation="landscape" horizontalDpi="4294967294"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IS234"/>
  <sheetViews>
    <sheetView view="pageBreakPreview" topLeftCell="A12" zoomScale="90" zoomScaleNormal="90" zoomScaleSheetLayoutView="90" workbookViewId="0">
      <pane ySplit="924" topLeftCell="A204" activePane="bottomLeft"/>
      <selection activeCell="I13" sqref="I1:I1048576"/>
      <selection pane="bottomLeft" activeCell="H205" sqref="H205"/>
    </sheetView>
  </sheetViews>
  <sheetFormatPr baseColWidth="10" defaultColWidth="10.5546875" defaultRowHeight="10.199999999999999" x14ac:dyDescent="0.2"/>
  <cols>
    <col min="1" max="1" width="11" style="205" customWidth="1"/>
    <col min="2" max="2" width="49" style="197" customWidth="1"/>
    <col min="3" max="3" width="6.88671875" style="198" customWidth="1"/>
    <col min="4" max="4" width="11" style="392" customWidth="1"/>
    <col min="5" max="5" width="11" style="198" customWidth="1"/>
    <col min="6" max="6" width="16.88671875" style="402" customWidth="1"/>
    <col min="7" max="7" width="12.5546875" style="198" customWidth="1"/>
    <col min="8" max="8" width="11.5546875" style="198" customWidth="1"/>
    <col min="9" max="9" width="10.33203125" style="704" bestFit="1" customWidth="1"/>
    <col min="10" max="10" width="12" style="198" customWidth="1"/>
    <col min="11" max="12" width="11.5546875" style="198" customWidth="1"/>
    <col min="13" max="13" width="6.109375" style="198" customWidth="1"/>
    <col min="14" max="14" width="10.33203125" style="198" bestFit="1" customWidth="1"/>
    <col min="15" max="15" width="11.5546875" style="198" bestFit="1" customWidth="1"/>
    <col min="16" max="16" width="11.6640625" style="197" customWidth="1"/>
    <col min="17" max="17" width="10.5546875" style="197" customWidth="1"/>
    <col min="18" max="18" width="16" style="387" customWidth="1"/>
    <col min="19" max="19" width="17.44140625" style="387" customWidth="1"/>
    <col min="20" max="20" width="15.109375" style="197" customWidth="1"/>
    <col min="21" max="16384" width="10.5546875" style="197"/>
  </cols>
  <sheetData>
    <row r="1" spans="1:253" x14ac:dyDescent="0.2">
      <c r="A1" s="2172" t="str">
        <f>RESUM_VAL_!A1</f>
        <v>GOBIERNO REGIONAL AYACUCHO</v>
      </c>
      <c r="B1" s="2172"/>
      <c r="C1" s="2191"/>
      <c r="D1" s="2191"/>
      <c r="E1" s="2191"/>
      <c r="F1" s="2191"/>
      <c r="G1" s="2191"/>
      <c r="H1" s="2191"/>
      <c r="I1" s="2192"/>
      <c r="J1" s="2191"/>
      <c r="K1" s="139"/>
      <c r="L1" s="139"/>
      <c r="M1" s="139"/>
      <c r="N1" s="139"/>
      <c r="O1" s="139"/>
      <c r="P1" s="125"/>
      <c r="Q1" s="125"/>
      <c r="T1" s="125"/>
      <c r="U1" s="125"/>
      <c r="V1" s="125"/>
      <c r="W1" s="125"/>
      <c r="X1" s="125"/>
      <c r="Y1" s="125"/>
      <c r="Z1" s="125"/>
      <c r="AA1" s="125"/>
      <c r="AB1" s="125"/>
      <c r="AC1" s="125"/>
      <c r="AD1" s="125"/>
      <c r="AE1" s="125"/>
      <c r="AF1" s="125"/>
      <c r="AG1" s="125"/>
      <c r="AH1" s="125"/>
      <c r="AI1" s="125"/>
      <c r="AJ1" s="125"/>
      <c r="AK1" s="125"/>
      <c r="AL1" s="125"/>
      <c r="AM1" s="125"/>
      <c r="AN1" s="125"/>
      <c r="AO1" s="125"/>
      <c r="AP1" s="125"/>
      <c r="AQ1" s="125"/>
      <c r="AR1" s="125"/>
      <c r="AS1" s="125"/>
      <c r="AT1" s="125"/>
      <c r="AU1" s="125"/>
      <c r="AV1" s="125"/>
      <c r="AW1" s="125"/>
      <c r="AX1" s="125"/>
      <c r="AY1" s="125"/>
      <c r="AZ1" s="125"/>
      <c r="BA1" s="125"/>
      <c r="BB1" s="125"/>
      <c r="BC1" s="125"/>
      <c r="BD1" s="125"/>
      <c r="BE1" s="125"/>
      <c r="BF1" s="125"/>
      <c r="BG1" s="125"/>
      <c r="BH1" s="125"/>
      <c r="BI1" s="125"/>
      <c r="BJ1" s="125"/>
      <c r="BK1" s="125"/>
      <c r="BL1" s="125"/>
      <c r="BM1" s="125"/>
      <c r="BN1" s="125"/>
      <c r="BO1" s="125"/>
      <c r="BP1" s="125"/>
      <c r="BQ1" s="125"/>
      <c r="BR1" s="125"/>
      <c r="BS1" s="125"/>
      <c r="BT1" s="125"/>
      <c r="BU1" s="125"/>
      <c r="BV1" s="125"/>
      <c r="BW1" s="125"/>
      <c r="BX1" s="125"/>
      <c r="BY1" s="125"/>
      <c r="BZ1" s="125"/>
      <c r="CA1" s="125"/>
      <c r="CB1" s="125"/>
      <c r="CC1" s="125"/>
      <c r="CD1" s="125"/>
      <c r="CE1" s="125"/>
      <c r="CF1" s="125"/>
      <c r="CG1" s="125"/>
      <c r="CH1" s="125"/>
      <c r="CI1" s="125"/>
      <c r="CJ1" s="125"/>
      <c r="CK1" s="125"/>
      <c r="CL1" s="125"/>
      <c r="CM1" s="125"/>
      <c r="CN1" s="125"/>
      <c r="CO1" s="125"/>
      <c r="CP1" s="125"/>
      <c r="CQ1" s="125"/>
      <c r="CR1" s="125"/>
      <c r="CS1" s="125"/>
      <c r="CT1" s="125"/>
      <c r="CU1" s="125"/>
      <c r="CV1" s="125"/>
      <c r="CW1" s="125"/>
      <c r="CX1" s="125"/>
      <c r="CY1" s="125"/>
      <c r="CZ1" s="125"/>
      <c r="DA1" s="125"/>
      <c r="DB1" s="125"/>
      <c r="DC1" s="125"/>
      <c r="DD1" s="125"/>
      <c r="DE1" s="125"/>
      <c r="DF1" s="125"/>
      <c r="DG1" s="125"/>
      <c r="DH1" s="125"/>
      <c r="DI1" s="125"/>
      <c r="DJ1" s="125"/>
      <c r="DK1" s="125"/>
      <c r="DL1" s="125"/>
      <c r="DM1" s="125"/>
      <c r="DN1" s="125"/>
      <c r="DO1" s="125"/>
      <c r="DP1" s="125"/>
      <c r="DQ1" s="125"/>
      <c r="DR1" s="125"/>
      <c r="DS1" s="125"/>
      <c r="DT1" s="125"/>
      <c r="DU1" s="125"/>
      <c r="DV1" s="125"/>
      <c r="DW1" s="125"/>
      <c r="DX1" s="125"/>
      <c r="DY1" s="125"/>
      <c r="DZ1" s="125"/>
      <c r="EA1" s="125"/>
      <c r="EB1" s="125"/>
      <c r="EC1" s="125"/>
      <c r="ED1" s="125"/>
      <c r="EE1" s="125"/>
      <c r="EF1" s="125"/>
      <c r="EG1" s="125"/>
      <c r="EH1" s="125"/>
      <c r="EI1" s="125"/>
      <c r="EJ1" s="125"/>
      <c r="EK1" s="125"/>
      <c r="EL1" s="125"/>
      <c r="EM1" s="125"/>
      <c r="EN1" s="125"/>
      <c r="EO1" s="125"/>
      <c r="EP1" s="125"/>
      <c r="EQ1" s="125"/>
      <c r="ER1" s="125"/>
      <c r="ES1" s="125"/>
      <c r="ET1" s="125"/>
      <c r="EU1" s="125"/>
      <c r="EV1" s="125"/>
      <c r="EW1" s="125"/>
      <c r="EX1" s="125"/>
      <c r="EY1" s="125"/>
      <c r="EZ1" s="125"/>
      <c r="FA1" s="125"/>
      <c r="FB1" s="125"/>
      <c r="FC1" s="125"/>
      <c r="FD1" s="125"/>
      <c r="FE1" s="125"/>
      <c r="FF1" s="125"/>
      <c r="FG1" s="125"/>
      <c r="FH1" s="125"/>
      <c r="FI1" s="125"/>
      <c r="FJ1" s="125"/>
      <c r="FK1" s="125"/>
      <c r="FL1" s="125"/>
      <c r="FM1" s="125"/>
      <c r="FN1" s="125"/>
      <c r="FO1" s="125"/>
      <c r="FP1" s="125"/>
      <c r="FQ1" s="125"/>
      <c r="FR1" s="125"/>
      <c r="FS1" s="125"/>
      <c r="FT1" s="125"/>
      <c r="FU1" s="125"/>
      <c r="FV1" s="125"/>
      <c r="FW1" s="125"/>
      <c r="FX1" s="125"/>
      <c r="FY1" s="125"/>
      <c r="FZ1" s="125"/>
      <c r="GA1" s="125"/>
      <c r="GB1" s="125"/>
      <c r="GC1" s="125"/>
      <c r="GD1" s="125"/>
      <c r="GE1" s="125"/>
      <c r="GF1" s="125"/>
      <c r="GG1" s="125"/>
      <c r="GH1" s="125"/>
      <c r="GI1" s="125"/>
      <c r="GJ1" s="125"/>
      <c r="GK1" s="125"/>
      <c r="GL1" s="125"/>
      <c r="GM1" s="125"/>
      <c r="GN1" s="125"/>
      <c r="GO1" s="125"/>
      <c r="GP1" s="125"/>
      <c r="GQ1" s="125"/>
      <c r="GR1" s="125"/>
      <c r="GS1" s="125"/>
      <c r="GT1" s="125"/>
      <c r="GU1" s="125"/>
      <c r="GV1" s="125"/>
      <c r="GW1" s="125"/>
      <c r="GX1" s="125"/>
      <c r="GY1" s="125"/>
      <c r="GZ1" s="125"/>
      <c r="HA1" s="125"/>
      <c r="HB1" s="125"/>
      <c r="HC1" s="125"/>
      <c r="HD1" s="125"/>
      <c r="HE1" s="125"/>
      <c r="HF1" s="125"/>
      <c r="HG1" s="125"/>
      <c r="HH1" s="125"/>
      <c r="HI1" s="125"/>
      <c r="HJ1" s="125"/>
      <c r="HK1" s="125"/>
      <c r="HL1" s="125"/>
      <c r="HM1" s="125"/>
      <c r="HN1" s="125"/>
      <c r="HO1" s="125"/>
      <c r="HP1" s="125"/>
      <c r="HQ1" s="125"/>
      <c r="HR1" s="125"/>
      <c r="HS1" s="125"/>
      <c r="HT1" s="125"/>
      <c r="HU1" s="125"/>
      <c r="HV1" s="125"/>
      <c r="HW1" s="125"/>
      <c r="HX1" s="125"/>
      <c r="HY1" s="125"/>
      <c r="HZ1" s="125"/>
      <c r="IA1" s="125"/>
      <c r="IB1" s="125"/>
      <c r="IC1" s="125"/>
      <c r="ID1" s="125"/>
      <c r="IE1" s="125"/>
      <c r="IF1" s="125"/>
      <c r="IG1" s="125"/>
      <c r="IH1" s="125"/>
      <c r="II1" s="125"/>
      <c r="IJ1" s="125"/>
      <c r="IK1" s="125"/>
      <c r="IL1" s="125"/>
      <c r="IM1" s="125"/>
      <c r="IN1" s="125"/>
      <c r="IO1" s="125"/>
      <c r="IP1" s="125"/>
      <c r="IQ1" s="125"/>
      <c r="IR1" s="125"/>
      <c r="IS1" s="125"/>
    </row>
    <row r="2" spans="1:253" x14ac:dyDescent="0.2">
      <c r="A2" s="2172" t="str">
        <f>RESUM_VAL_!A2</f>
        <v>SUBGERENCIA DE SUPERVISION Y LIQUIDACION</v>
      </c>
      <c r="B2" s="2172"/>
      <c r="F2" s="400"/>
      <c r="G2" s="139"/>
      <c r="H2" s="139"/>
      <c r="J2" s="139"/>
      <c r="K2" s="139"/>
      <c r="L2" s="139"/>
      <c r="M2" s="139"/>
      <c r="N2" s="139"/>
      <c r="O2" s="139"/>
      <c r="P2" s="125"/>
      <c r="Q2" s="125"/>
      <c r="T2" s="125"/>
      <c r="U2" s="125"/>
      <c r="V2" s="125"/>
      <c r="W2" s="125"/>
      <c r="X2" s="125"/>
      <c r="Y2" s="125"/>
      <c r="Z2" s="125"/>
      <c r="AA2" s="125"/>
      <c r="AB2" s="125"/>
      <c r="AC2" s="125"/>
      <c r="AD2" s="125"/>
      <c r="AE2" s="125"/>
      <c r="AF2" s="125"/>
      <c r="AG2" s="125"/>
      <c r="AH2" s="125"/>
      <c r="AI2" s="125"/>
      <c r="AJ2" s="125"/>
      <c r="AK2" s="125"/>
      <c r="AL2" s="125"/>
      <c r="AM2" s="125"/>
      <c r="AN2" s="125"/>
      <c r="AO2" s="125"/>
      <c r="AP2" s="125"/>
      <c r="AQ2" s="125"/>
      <c r="AR2" s="125"/>
      <c r="AS2" s="125"/>
      <c r="AT2" s="125"/>
      <c r="AU2" s="125"/>
      <c r="AV2" s="125"/>
      <c r="AW2" s="125"/>
      <c r="AX2" s="125"/>
      <c r="AY2" s="125"/>
      <c r="AZ2" s="125"/>
      <c r="BA2" s="125"/>
      <c r="BB2" s="125"/>
      <c r="BC2" s="125"/>
      <c r="BD2" s="125"/>
      <c r="BE2" s="125"/>
      <c r="BF2" s="125"/>
      <c r="BG2" s="125"/>
      <c r="BH2" s="125"/>
      <c r="BI2" s="125"/>
      <c r="BJ2" s="125"/>
      <c r="BK2" s="125"/>
      <c r="BL2" s="125"/>
      <c r="BM2" s="125"/>
      <c r="BN2" s="125"/>
      <c r="BO2" s="125"/>
      <c r="BP2" s="125"/>
      <c r="BQ2" s="125"/>
      <c r="BR2" s="125"/>
      <c r="BS2" s="125"/>
      <c r="BT2" s="125"/>
      <c r="BU2" s="125"/>
      <c r="BV2" s="125"/>
      <c r="BW2" s="125"/>
      <c r="BX2" s="125"/>
      <c r="BY2" s="125"/>
      <c r="BZ2" s="125"/>
      <c r="CA2" s="125"/>
      <c r="CB2" s="125"/>
      <c r="CC2" s="125"/>
      <c r="CD2" s="125"/>
      <c r="CE2" s="125"/>
      <c r="CF2" s="125"/>
      <c r="CG2" s="125"/>
      <c r="CH2" s="125"/>
      <c r="CI2" s="125"/>
      <c r="CJ2" s="125"/>
      <c r="CK2" s="125"/>
      <c r="CL2" s="125"/>
      <c r="CM2" s="125"/>
      <c r="CN2" s="125"/>
      <c r="CO2" s="125"/>
      <c r="CP2" s="125"/>
      <c r="CQ2" s="125"/>
      <c r="CR2" s="125"/>
      <c r="CS2" s="125"/>
      <c r="CT2" s="125"/>
      <c r="CU2" s="125"/>
      <c r="CV2" s="125"/>
      <c r="CW2" s="125"/>
      <c r="CX2" s="125"/>
      <c r="CY2" s="125"/>
      <c r="CZ2" s="125"/>
      <c r="DA2" s="125"/>
      <c r="DB2" s="125"/>
      <c r="DC2" s="125"/>
      <c r="DD2" s="125"/>
      <c r="DE2" s="125"/>
      <c r="DF2" s="125"/>
      <c r="DG2" s="125"/>
      <c r="DH2" s="125"/>
      <c r="DI2" s="125"/>
      <c r="DJ2" s="125"/>
      <c r="DK2" s="125"/>
      <c r="DL2" s="125"/>
      <c r="DM2" s="125"/>
      <c r="DN2" s="125"/>
      <c r="DO2" s="125"/>
      <c r="DP2" s="125"/>
      <c r="DQ2" s="125"/>
      <c r="DR2" s="125"/>
      <c r="DS2" s="125"/>
      <c r="DT2" s="125"/>
      <c r="DU2" s="125"/>
      <c r="DV2" s="125"/>
      <c r="DW2" s="125"/>
      <c r="DX2" s="125"/>
      <c r="DY2" s="125"/>
      <c r="DZ2" s="125"/>
      <c r="EA2" s="125"/>
      <c r="EB2" s="125"/>
      <c r="EC2" s="125"/>
      <c r="ED2" s="125"/>
      <c r="EE2" s="125"/>
      <c r="EF2" s="125"/>
      <c r="EG2" s="125"/>
      <c r="EH2" s="125"/>
      <c r="EI2" s="125"/>
      <c r="EJ2" s="125"/>
      <c r="EK2" s="125"/>
      <c r="EL2" s="125"/>
      <c r="EM2" s="125"/>
      <c r="EN2" s="125"/>
      <c r="EO2" s="125"/>
      <c r="EP2" s="125"/>
      <c r="EQ2" s="125"/>
      <c r="ER2" s="125"/>
      <c r="ES2" s="125"/>
      <c r="ET2" s="125"/>
      <c r="EU2" s="125"/>
      <c r="EV2" s="125"/>
      <c r="EW2" s="125"/>
      <c r="EX2" s="125"/>
      <c r="EY2" s="125"/>
      <c r="EZ2" s="125"/>
      <c r="FA2" s="125"/>
      <c r="FB2" s="125"/>
      <c r="FC2" s="125"/>
      <c r="FD2" s="125"/>
      <c r="FE2" s="125"/>
      <c r="FF2" s="125"/>
      <c r="FG2" s="125"/>
      <c r="FH2" s="125"/>
      <c r="FI2" s="125"/>
      <c r="FJ2" s="125"/>
      <c r="FK2" s="125"/>
      <c r="FL2" s="125"/>
      <c r="FM2" s="125"/>
      <c r="FN2" s="125"/>
      <c r="FO2" s="125"/>
      <c r="FP2" s="125"/>
      <c r="FQ2" s="125"/>
      <c r="FR2" s="125"/>
      <c r="FS2" s="125"/>
      <c r="FT2" s="125"/>
      <c r="FU2" s="125"/>
      <c r="FV2" s="125"/>
      <c r="FW2" s="125"/>
      <c r="FX2" s="125"/>
      <c r="FY2" s="125"/>
      <c r="FZ2" s="125"/>
      <c r="GA2" s="125"/>
      <c r="GB2" s="125"/>
      <c r="GC2" s="125"/>
      <c r="GD2" s="125"/>
      <c r="GE2" s="125"/>
      <c r="GF2" s="125"/>
      <c r="GG2" s="125"/>
      <c r="GH2" s="125"/>
      <c r="GI2" s="125"/>
      <c r="GJ2" s="125"/>
      <c r="GK2" s="125"/>
      <c r="GL2" s="125"/>
      <c r="GM2" s="125"/>
      <c r="GN2" s="125"/>
      <c r="GO2" s="125"/>
      <c r="GP2" s="125"/>
      <c r="GQ2" s="125"/>
      <c r="GR2" s="125"/>
      <c r="GS2" s="125"/>
      <c r="GT2" s="125"/>
      <c r="GU2" s="125"/>
      <c r="GV2" s="125"/>
      <c r="GW2" s="125"/>
      <c r="GX2" s="125"/>
      <c r="GY2" s="125"/>
      <c r="GZ2" s="125"/>
      <c r="HA2" s="125"/>
      <c r="HB2" s="125"/>
      <c r="HC2" s="125"/>
      <c r="HD2" s="125"/>
      <c r="HE2" s="125"/>
      <c r="HF2" s="125"/>
      <c r="HG2" s="125"/>
      <c r="HH2" s="125"/>
      <c r="HI2" s="125"/>
      <c r="HJ2" s="125"/>
      <c r="HK2" s="125"/>
      <c r="HL2" s="125"/>
      <c r="HM2" s="125"/>
      <c r="HN2" s="125"/>
      <c r="HO2" s="125"/>
      <c r="HP2" s="125"/>
      <c r="HQ2" s="125"/>
      <c r="HR2" s="125"/>
      <c r="HS2" s="125"/>
      <c r="HT2" s="125"/>
      <c r="HU2" s="125"/>
      <c r="HV2" s="125"/>
      <c r="HW2" s="125"/>
      <c r="HX2" s="125"/>
      <c r="HY2" s="125"/>
      <c r="HZ2" s="125"/>
      <c r="IA2" s="125"/>
      <c r="IB2" s="125"/>
      <c r="IC2" s="125"/>
      <c r="ID2" s="125"/>
      <c r="IE2" s="125"/>
      <c r="IF2" s="125"/>
      <c r="IG2" s="125"/>
      <c r="IH2" s="125"/>
      <c r="II2" s="125"/>
      <c r="IJ2" s="125"/>
      <c r="IK2" s="125"/>
      <c r="IL2" s="125"/>
      <c r="IM2" s="125"/>
      <c r="IN2" s="125"/>
      <c r="IO2" s="125"/>
      <c r="IP2" s="125"/>
      <c r="IQ2" s="125"/>
      <c r="IR2" s="125"/>
      <c r="IS2" s="125"/>
    </row>
    <row r="3" spans="1:253" ht="18" x14ac:dyDescent="0.35">
      <c r="A3" s="2174" t="str">
        <f>CARAT_!A45</f>
        <v>INFORME DE SUPERVISIÓN N° 09 - DICIEMBRE - 2022</v>
      </c>
      <c r="B3" s="2174"/>
      <c r="C3" s="2174"/>
      <c r="D3" s="2174"/>
      <c r="E3" s="2174"/>
      <c r="F3" s="2174"/>
      <c r="G3" s="2174"/>
      <c r="H3" s="2174"/>
      <c r="I3" s="2222"/>
      <c r="J3" s="2174"/>
      <c r="K3" s="2174"/>
      <c r="L3" s="2174"/>
      <c r="M3" s="2174"/>
      <c r="N3" s="2174"/>
      <c r="O3" s="2174"/>
      <c r="P3" s="125"/>
      <c r="Q3" s="125"/>
      <c r="T3" s="125"/>
      <c r="U3" s="125"/>
      <c r="V3" s="125"/>
      <c r="W3" s="125"/>
      <c r="X3" s="125"/>
      <c r="Y3" s="125"/>
      <c r="Z3" s="125"/>
      <c r="AA3" s="125"/>
      <c r="AB3" s="125"/>
      <c r="AC3" s="125"/>
      <c r="AD3" s="125"/>
      <c r="AE3" s="125"/>
      <c r="AF3" s="125"/>
      <c r="AG3" s="125"/>
      <c r="AH3" s="125"/>
      <c r="AI3" s="125"/>
      <c r="AJ3" s="125"/>
      <c r="AK3" s="125"/>
      <c r="AL3" s="125"/>
      <c r="AM3" s="125"/>
      <c r="AN3" s="125"/>
      <c r="AO3" s="125"/>
      <c r="AP3" s="125"/>
      <c r="AQ3" s="125"/>
      <c r="AR3" s="125"/>
      <c r="AS3" s="125"/>
      <c r="AT3" s="125"/>
      <c r="AU3" s="125"/>
      <c r="AV3" s="125"/>
      <c r="AW3" s="125"/>
      <c r="AX3" s="125"/>
      <c r="AY3" s="125"/>
      <c r="AZ3" s="125"/>
      <c r="BA3" s="125"/>
      <c r="BB3" s="125"/>
      <c r="BC3" s="125"/>
      <c r="BD3" s="125"/>
      <c r="BE3" s="125"/>
      <c r="BF3" s="125"/>
      <c r="BG3" s="125"/>
      <c r="BH3" s="125"/>
      <c r="BI3" s="125"/>
      <c r="BJ3" s="125"/>
      <c r="BK3" s="125"/>
      <c r="BL3" s="125"/>
      <c r="BM3" s="125"/>
      <c r="BN3" s="125"/>
      <c r="BO3" s="125"/>
      <c r="BP3" s="125"/>
      <c r="BQ3" s="125"/>
      <c r="BR3" s="125"/>
      <c r="BS3" s="125"/>
      <c r="BT3" s="125"/>
      <c r="BU3" s="125"/>
      <c r="BV3" s="125"/>
      <c r="BW3" s="125"/>
      <c r="BX3" s="125"/>
      <c r="BY3" s="125"/>
      <c r="BZ3" s="125"/>
      <c r="CA3" s="125"/>
      <c r="CB3" s="125"/>
      <c r="CC3" s="125"/>
      <c r="CD3" s="125"/>
      <c r="CE3" s="125"/>
      <c r="CF3" s="125"/>
      <c r="CG3" s="125"/>
      <c r="CH3" s="125"/>
      <c r="CI3" s="125"/>
      <c r="CJ3" s="125"/>
      <c r="CK3" s="125"/>
      <c r="CL3" s="125"/>
      <c r="CM3" s="125"/>
      <c r="CN3" s="125"/>
      <c r="CO3" s="125"/>
      <c r="CP3" s="125"/>
      <c r="CQ3" s="125"/>
      <c r="CR3" s="125"/>
      <c r="CS3" s="125"/>
      <c r="CT3" s="125"/>
      <c r="CU3" s="125"/>
      <c r="CV3" s="125"/>
      <c r="CW3" s="125"/>
      <c r="CX3" s="125"/>
      <c r="CY3" s="125"/>
      <c r="CZ3" s="125"/>
      <c r="DA3" s="125"/>
      <c r="DB3" s="125"/>
      <c r="DC3" s="125"/>
      <c r="DD3" s="125"/>
      <c r="DE3" s="125"/>
      <c r="DF3" s="125"/>
      <c r="DG3" s="125"/>
      <c r="DH3" s="125"/>
      <c r="DI3" s="125"/>
      <c r="DJ3" s="125"/>
      <c r="DK3" s="125"/>
      <c r="DL3" s="125"/>
      <c r="DM3" s="125"/>
      <c r="DN3" s="125"/>
      <c r="DO3" s="125"/>
      <c r="DP3" s="125"/>
      <c r="DQ3" s="125"/>
      <c r="DR3" s="125"/>
      <c r="DS3" s="125"/>
      <c r="DT3" s="125"/>
      <c r="DU3" s="125"/>
      <c r="DV3" s="125"/>
      <c r="DW3" s="125"/>
      <c r="DX3" s="125"/>
      <c r="DY3" s="125"/>
      <c r="DZ3" s="125"/>
      <c r="EA3" s="125"/>
      <c r="EB3" s="125"/>
      <c r="EC3" s="125"/>
      <c r="ED3" s="125"/>
      <c r="EE3" s="125"/>
      <c r="EF3" s="125"/>
      <c r="EG3" s="125"/>
      <c r="EH3" s="125"/>
      <c r="EI3" s="125"/>
      <c r="EJ3" s="125"/>
      <c r="EK3" s="125"/>
      <c r="EL3" s="125"/>
      <c r="EM3" s="125"/>
      <c r="EN3" s="125"/>
      <c r="EO3" s="125"/>
      <c r="EP3" s="125"/>
      <c r="EQ3" s="125"/>
      <c r="ER3" s="125"/>
      <c r="ES3" s="125"/>
      <c r="ET3" s="125"/>
      <c r="EU3" s="125"/>
      <c r="EV3" s="125"/>
      <c r="EW3" s="125"/>
      <c r="EX3" s="125"/>
      <c r="EY3" s="125"/>
      <c r="EZ3" s="125"/>
      <c r="FA3" s="125"/>
      <c r="FB3" s="125"/>
      <c r="FC3" s="125"/>
      <c r="FD3" s="125"/>
      <c r="FE3" s="125"/>
      <c r="FF3" s="125"/>
      <c r="FG3" s="125"/>
      <c r="FH3" s="125"/>
      <c r="FI3" s="125"/>
      <c r="FJ3" s="125"/>
      <c r="FK3" s="125"/>
      <c r="FL3" s="125"/>
      <c r="FM3" s="125"/>
      <c r="FN3" s="125"/>
      <c r="FO3" s="125"/>
      <c r="FP3" s="125"/>
      <c r="FQ3" s="125"/>
      <c r="FR3" s="125"/>
      <c r="FS3" s="125"/>
      <c r="FT3" s="125"/>
      <c r="FU3" s="125"/>
      <c r="FV3" s="125"/>
      <c r="FW3" s="125"/>
      <c r="FX3" s="125"/>
      <c r="FY3" s="125"/>
      <c r="FZ3" s="125"/>
      <c r="GA3" s="125"/>
      <c r="GB3" s="125"/>
      <c r="GC3" s="125"/>
      <c r="GD3" s="125"/>
      <c r="GE3" s="125"/>
      <c r="GF3" s="125"/>
      <c r="GG3" s="125"/>
      <c r="GH3" s="125"/>
      <c r="GI3" s="125"/>
      <c r="GJ3" s="125"/>
      <c r="GK3" s="125"/>
      <c r="GL3" s="125"/>
      <c r="GM3" s="125"/>
      <c r="GN3" s="125"/>
      <c r="GO3" s="125"/>
      <c r="GP3" s="125"/>
      <c r="GQ3" s="125"/>
      <c r="GR3" s="125"/>
      <c r="GS3" s="125"/>
      <c r="GT3" s="125"/>
      <c r="GU3" s="125"/>
      <c r="GV3" s="125"/>
      <c r="GW3" s="125"/>
      <c r="GX3" s="125"/>
      <c r="GY3" s="125"/>
      <c r="GZ3" s="125"/>
      <c r="HA3" s="125"/>
      <c r="HB3" s="125"/>
      <c r="HC3" s="125"/>
      <c r="HD3" s="125"/>
      <c r="HE3" s="125"/>
      <c r="HF3" s="125"/>
      <c r="HG3" s="125"/>
      <c r="HH3" s="125"/>
      <c r="HI3" s="125"/>
      <c r="HJ3" s="125"/>
      <c r="HK3" s="125"/>
      <c r="HL3" s="125"/>
      <c r="HM3" s="125"/>
      <c r="HN3" s="125"/>
      <c r="HO3" s="125"/>
      <c r="HP3" s="125"/>
      <c r="HQ3" s="125"/>
      <c r="HR3" s="125"/>
      <c r="HS3" s="125"/>
      <c r="HT3" s="125"/>
      <c r="HU3" s="125"/>
      <c r="HV3" s="125"/>
      <c r="HW3" s="125"/>
      <c r="HX3" s="125"/>
      <c r="HY3" s="125"/>
      <c r="HZ3" s="125"/>
      <c r="IA3" s="125"/>
      <c r="IB3" s="125"/>
      <c r="IC3" s="125"/>
      <c r="ID3" s="125"/>
      <c r="IE3" s="125"/>
      <c r="IF3" s="125"/>
      <c r="IG3" s="125"/>
      <c r="IH3" s="125"/>
      <c r="II3" s="125"/>
      <c r="IJ3" s="125"/>
      <c r="IK3" s="125"/>
      <c r="IL3" s="125"/>
      <c r="IM3" s="125"/>
      <c r="IN3" s="125"/>
      <c r="IO3" s="125"/>
      <c r="IP3" s="125"/>
      <c r="IQ3" s="125"/>
      <c r="IR3" s="125"/>
      <c r="IS3" s="125"/>
    </row>
    <row r="4" spans="1:253" x14ac:dyDescent="0.2">
      <c r="A4" s="2193"/>
      <c r="B4" s="2193"/>
      <c r="C4" s="2193"/>
      <c r="D4" s="2193"/>
      <c r="E4" s="2193"/>
      <c r="F4" s="2193"/>
      <c r="G4" s="2193"/>
      <c r="H4" s="2193"/>
      <c r="I4" s="2194"/>
      <c r="J4" s="2193"/>
      <c r="K4" s="2193"/>
      <c r="L4" s="2193"/>
      <c r="M4" s="2193"/>
      <c r="N4" s="2193"/>
      <c r="O4" s="2193"/>
      <c r="P4" s="125"/>
      <c r="Q4" s="125"/>
      <c r="T4" s="125"/>
      <c r="U4" s="125"/>
      <c r="V4" s="125"/>
      <c r="W4" s="125"/>
      <c r="X4" s="125"/>
      <c r="Y4" s="125"/>
      <c r="Z4" s="125"/>
      <c r="AA4" s="125"/>
      <c r="AB4" s="125"/>
      <c r="AC4" s="125"/>
      <c r="AD4" s="125"/>
      <c r="AE4" s="125"/>
      <c r="AF4" s="125"/>
      <c r="AG4" s="125"/>
      <c r="AH4" s="125"/>
      <c r="AI4" s="125"/>
      <c r="AJ4" s="125"/>
      <c r="AK4" s="125"/>
      <c r="AL4" s="125"/>
      <c r="AM4" s="125"/>
      <c r="AN4" s="125"/>
      <c r="AO4" s="125"/>
      <c r="AP4" s="125"/>
      <c r="AQ4" s="125"/>
      <c r="AR4" s="125"/>
      <c r="AS4" s="125"/>
      <c r="AT4" s="125"/>
      <c r="AU4" s="125"/>
      <c r="AV4" s="125"/>
      <c r="AW4" s="125"/>
      <c r="AX4" s="125"/>
      <c r="AY4" s="125"/>
      <c r="AZ4" s="125"/>
      <c r="BA4" s="125"/>
      <c r="BB4" s="125"/>
      <c r="BC4" s="125"/>
      <c r="BD4" s="125"/>
      <c r="BE4" s="125"/>
      <c r="BF4" s="125"/>
      <c r="BG4" s="125"/>
      <c r="BH4" s="125"/>
      <c r="BI4" s="125"/>
      <c r="BJ4" s="125"/>
      <c r="BK4" s="125"/>
      <c r="BL4" s="125"/>
      <c r="BM4" s="125"/>
      <c r="BN4" s="125"/>
      <c r="BO4" s="125"/>
      <c r="BP4" s="125"/>
      <c r="BQ4" s="125"/>
      <c r="BR4" s="125"/>
      <c r="BS4" s="125"/>
      <c r="BT4" s="125"/>
      <c r="BU4" s="125"/>
      <c r="BV4" s="125"/>
      <c r="BW4" s="125"/>
      <c r="BX4" s="125"/>
      <c r="BY4" s="125"/>
      <c r="BZ4" s="125"/>
      <c r="CA4" s="125"/>
      <c r="CB4" s="125"/>
      <c r="CC4" s="125"/>
      <c r="CD4" s="125"/>
      <c r="CE4" s="125"/>
      <c r="CF4" s="125"/>
      <c r="CG4" s="125"/>
      <c r="CH4" s="125"/>
      <c r="CI4" s="125"/>
      <c r="CJ4" s="125"/>
      <c r="CK4" s="125"/>
      <c r="CL4" s="125"/>
      <c r="CM4" s="125"/>
      <c r="CN4" s="125"/>
      <c r="CO4" s="125"/>
      <c r="CP4" s="125"/>
      <c r="CQ4" s="125"/>
      <c r="CR4" s="125"/>
      <c r="CS4" s="125"/>
      <c r="CT4" s="125"/>
      <c r="CU4" s="125"/>
      <c r="CV4" s="125"/>
      <c r="CW4" s="125"/>
      <c r="CX4" s="125"/>
      <c r="CY4" s="125"/>
      <c r="CZ4" s="125"/>
      <c r="DA4" s="125"/>
      <c r="DB4" s="125"/>
      <c r="DC4" s="125"/>
      <c r="DD4" s="125"/>
      <c r="DE4" s="125"/>
      <c r="DF4" s="125"/>
      <c r="DG4" s="125"/>
      <c r="DH4" s="125"/>
      <c r="DI4" s="125"/>
      <c r="DJ4" s="125"/>
      <c r="DK4" s="125"/>
      <c r="DL4" s="125"/>
      <c r="DM4" s="125"/>
      <c r="DN4" s="125"/>
      <c r="DO4" s="125"/>
      <c r="DP4" s="125"/>
      <c r="DQ4" s="125"/>
      <c r="DR4" s="125"/>
      <c r="DS4" s="125"/>
      <c r="DT4" s="125"/>
      <c r="DU4" s="125"/>
      <c r="DV4" s="125"/>
      <c r="DW4" s="125"/>
      <c r="DX4" s="125"/>
      <c r="DY4" s="125"/>
      <c r="DZ4" s="125"/>
      <c r="EA4" s="125"/>
      <c r="EB4" s="125"/>
      <c r="EC4" s="125"/>
      <c r="ED4" s="125"/>
      <c r="EE4" s="125"/>
      <c r="EF4" s="125"/>
      <c r="EG4" s="125"/>
      <c r="EH4" s="125"/>
      <c r="EI4" s="125"/>
      <c r="EJ4" s="125"/>
      <c r="EK4" s="125"/>
      <c r="EL4" s="125"/>
      <c r="EM4" s="125"/>
      <c r="EN4" s="125"/>
      <c r="EO4" s="125"/>
      <c r="EP4" s="125"/>
      <c r="EQ4" s="125"/>
      <c r="ER4" s="125"/>
      <c r="ES4" s="125"/>
      <c r="ET4" s="125"/>
      <c r="EU4" s="125"/>
      <c r="EV4" s="125"/>
      <c r="EW4" s="125"/>
      <c r="EX4" s="125"/>
      <c r="EY4" s="125"/>
      <c r="EZ4" s="125"/>
      <c r="FA4" s="125"/>
      <c r="FB4" s="125"/>
      <c r="FC4" s="125"/>
      <c r="FD4" s="125"/>
      <c r="FE4" s="125"/>
      <c r="FF4" s="125"/>
      <c r="FG4" s="125"/>
      <c r="FH4" s="125"/>
      <c r="FI4" s="125"/>
      <c r="FJ4" s="125"/>
      <c r="FK4" s="125"/>
      <c r="FL4" s="125"/>
      <c r="FM4" s="125"/>
      <c r="FN4" s="125"/>
      <c r="FO4" s="125"/>
      <c r="FP4" s="125"/>
      <c r="FQ4" s="125"/>
      <c r="FR4" s="125"/>
      <c r="FS4" s="125"/>
      <c r="FT4" s="125"/>
      <c r="FU4" s="125"/>
      <c r="FV4" s="125"/>
      <c r="FW4" s="125"/>
      <c r="FX4" s="125"/>
      <c r="FY4" s="125"/>
      <c r="FZ4" s="125"/>
      <c r="GA4" s="125"/>
      <c r="GB4" s="125"/>
      <c r="GC4" s="125"/>
      <c r="GD4" s="125"/>
      <c r="GE4" s="125"/>
      <c r="GF4" s="125"/>
      <c r="GG4" s="125"/>
      <c r="GH4" s="125"/>
      <c r="GI4" s="125"/>
      <c r="GJ4" s="125"/>
      <c r="GK4" s="125"/>
      <c r="GL4" s="125"/>
      <c r="GM4" s="125"/>
      <c r="GN4" s="125"/>
      <c r="GO4" s="125"/>
      <c r="GP4" s="125"/>
      <c r="GQ4" s="125"/>
      <c r="GR4" s="125"/>
      <c r="GS4" s="125"/>
      <c r="GT4" s="125"/>
      <c r="GU4" s="125"/>
      <c r="GV4" s="125"/>
      <c r="GW4" s="125"/>
      <c r="GX4" s="125"/>
      <c r="GY4" s="125"/>
      <c r="GZ4" s="125"/>
      <c r="HA4" s="125"/>
      <c r="HB4" s="125"/>
      <c r="HC4" s="125"/>
      <c r="HD4" s="125"/>
      <c r="HE4" s="125"/>
      <c r="HF4" s="125"/>
      <c r="HG4" s="125"/>
      <c r="HH4" s="125"/>
      <c r="HI4" s="125"/>
      <c r="HJ4" s="125"/>
      <c r="HK4" s="125"/>
      <c r="HL4" s="125"/>
      <c r="HM4" s="125"/>
      <c r="HN4" s="125"/>
      <c r="HO4" s="125"/>
      <c r="HP4" s="125"/>
      <c r="HQ4" s="125"/>
      <c r="HR4" s="125"/>
      <c r="HS4" s="125"/>
      <c r="HT4" s="125"/>
      <c r="HU4" s="125"/>
      <c r="HV4" s="125"/>
      <c r="HW4" s="125"/>
      <c r="HX4" s="125"/>
      <c r="HY4" s="125"/>
      <c r="HZ4" s="125"/>
      <c r="IA4" s="125"/>
      <c r="IB4" s="125"/>
      <c r="IC4" s="125"/>
      <c r="ID4" s="125"/>
      <c r="IE4" s="125"/>
      <c r="IF4" s="125"/>
      <c r="IG4" s="125"/>
      <c r="IH4" s="125"/>
      <c r="II4" s="125"/>
      <c r="IJ4" s="125"/>
      <c r="IK4" s="125"/>
      <c r="IL4" s="125"/>
      <c r="IM4" s="125"/>
      <c r="IN4" s="125"/>
      <c r="IO4" s="125"/>
      <c r="IP4" s="125"/>
      <c r="IQ4" s="125"/>
      <c r="IR4" s="125"/>
      <c r="IS4" s="125"/>
    </row>
    <row r="5" spans="1:253" x14ac:dyDescent="0.2">
      <c r="A5" s="200" t="s">
        <v>164</v>
      </c>
      <c r="B5" s="199"/>
      <c r="C5" s="198" t="s">
        <v>7</v>
      </c>
      <c r="D5" s="393" t="str">
        <f>CARAT_!$F$47</f>
        <v>ESPECIFICO Nº SP-2022-012</v>
      </c>
      <c r="F5" s="400"/>
      <c r="G5" s="139"/>
      <c r="H5" s="139"/>
      <c r="J5" s="139"/>
      <c r="K5" s="139"/>
      <c r="L5" s="139"/>
      <c r="M5" s="139"/>
      <c r="N5" s="139"/>
      <c r="O5" s="139"/>
      <c r="P5" s="125"/>
      <c r="Q5" s="125"/>
      <c r="T5" s="125"/>
      <c r="U5" s="125"/>
      <c r="V5" s="125"/>
      <c r="W5" s="125"/>
      <c r="X5" s="125"/>
      <c r="Y5" s="125"/>
      <c r="Z5" s="125"/>
      <c r="AA5" s="125"/>
      <c r="AB5" s="125"/>
      <c r="AC5" s="125"/>
      <c r="AD5" s="125"/>
      <c r="AE5" s="125"/>
      <c r="AF5" s="125"/>
      <c r="AG5" s="125"/>
      <c r="AH5" s="125"/>
      <c r="AI5" s="125"/>
      <c r="AJ5" s="125"/>
      <c r="AK5" s="125"/>
      <c r="AL5" s="125"/>
      <c r="AM5" s="125"/>
      <c r="AN5" s="125"/>
      <c r="AO5" s="125"/>
      <c r="AP5" s="125"/>
      <c r="AQ5" s="125"/>
      <c r="AR5" s="125"/>
      <c r="AS5" s="125"/>
      <c r="AT5" s="125"/>
      <c r="AU5" s="125"/>
      <c r="AV5" s="125"/>
      <c r="AW5" s="125"/>
      <c r="AX5" s="125"/>
      <c r="AY5" s="125"/>
      <c r="AZ5" s="125"/>
      <c r="BA5" s="125"/>
      <c r="BB5" s="125"/>
      <c r="BC5" s="125"/>
      <c r="BD5" s="125"/>
      <c r="BE5" s="125"/>
      <c r="BF5" s="125"/>
      <c r="BG5" s="125"/>
      <c r="BH5" s="125"/>
      <c r="BI5" s="125"/>
      <c r="BJ5" s="125"/>
      <c r="BK5" s="125"/>
      <c r="BL5" s="125"/>
      <c r="BM5" s="125"/>
      <c r="BN5" s="125"/>
      <c r="BO5" s="125"/>
      <c r="BP5" s="125"/>
      <c r="BQ5" s="125"/>
      <c r="BR5" s="125"/>
      <c r="BS5" s="125"/>
      <c r="BT5" s="125"/>
      <c r="BU5" s="125"/>
      <c r="BV5" s="125"/>
      <c r="BW5" s="125"/>
      <c r="BX5" s="125"/>
      <c r="BY5" s="125"/>
      <c r="BZ5" s="125"/>
      <c r="CA5" s="125"/>
      <c r="CB5" s="125"/>
      <c r="CC5" s="125"/>
      <c r="CD5" s="125"/>
      <c r="CE5" s="125"/>
      <c r="CF5" s="125"/>
      <c r="CG5" s="125"/>
      <c r="CH5" s="125"/>
      <c r="CI5" s="125"/>
      <c r="CJ5" s="125"/>
      <c r="CK5" s="125"/>
      <c r="CL5" s="125"/>
      <c r="CM5" s="125"/>
      <c r="CN5" s="125"/>
      <c r="CO5" s="125"/>
      <c r="CP5" s="125"/>
      <c r="CQ5" s="125"/>
      <c r="CR5" s="125"/>
      <c r="CS5" s="125"/>
      <c r="CT5" s="125"/>
      <c r="CU5" s="125"/>
      <c r="CV5" s="125"/>
      <c r="CW5" s="125"/>
      <c r="CX5" s="125"/>
      <c r="CY5" s="125"/>
      <c r="CZ5" s="125"/>
      <c r="DA5" s="125"/>
      <c r="DB5" s="125"/>
      <c r="DC5" s="125"/>
      <c r="DD5" s="125"/>
      <c r="DE5" s="125"/>
      <c r="DF5" s="125"/>
      <c r="DG5" s="125"/>
      <c r="DH5" s="125"/>
      <c r="DI5" s="125"/>
      <c r="DJ5" s="125"/>
      <c r="DK5" s="125"/>
      <c r="DL5" s="125"/>
      <c r="DM5" s="125"/>
      <c r="DN5" s="125"/>
      <c r="DO5" s="125"/>
      <c r="DP5" s="125"/>
      <c r="DQ5" s="125"/>
      <c r="DR5" s="125"/>
      <c r="DS5" s="125"/>
      <c r="DT5" s="125"/>
      <c r="DU5" s="125"/>
      <c r="DV5" s="125"/>
      <c r="DW5" s="125"/>
      <c r="DX5" s="125"/>
      <c r="DY5" s="125"/>
      <c r="DZ5" s="125"/>
      <c r="EA5" s="125"/>
      <c r="EB5" s="125"/>
      <c r="EC5" s="125"/>
      <c r="ED5" s="125"/>
      <c r="EE5" s="125"/>
      <c r="EF5" s="125"/>
      <c r="EG5" s="125"/>
      <c r="EH5" s="125"/>
      <c r="EI5" s="125"/>
      <c r="EJ5" s="125"/>
      <c r="EK5" s="125"/>
      <c r="EL5" s="125"/>
      <c r="EM5" s="125"/>
      <c r="EN5" s="125"/>
      <c r="EO5" s="125"/>
      <c r="EP5" s="125"/>
      <c r="EQ5" s="125"/>
      <c r="ER5" s="125"/>
      <c r="ES5" s="125"/>
      <c r="ET5" s="125"/>
      <c r="EU5" s="125"/>
      <c r="EV5" s="125"/>
      <c r="EW5" s="125"/>
      <c r="EX5" s="125"/>
      <c r="EY5" s="125"/>
      <c r="EZ5" s="125"/>
      <c r="FA5" s="125"/>
      <c r="FB5" s="125"/>
      <c r="FC5" s="125"/>
      <c r="FD5" s="125"/>
      <c r="FE5" s="125"/>
      <c r="FF5" s="125"/>
      <c r="FG5" s="125"/>
      <c r="FH5" s="125"/>
      <c r="FI5" s="125"/>
      <c r="FJ5" s="125"/>
      <c r="FK5" s="125"/>
      <c r="FL5" s="125"/>
      <c r="FM5" s="125"/>
      <c r="FN5" s="125"/>
      <c r="FO5" s="125"/>
      <c r="FP5" s="125"/>
      <c r="FQ5" s="125"/>
      <c r="FR5" s="125"/>
      <c r="FS5" s="125"/>
      <c r="FT5" s="125"/>
      <c r="FU5" s="125"/>
      <c r="FV5" s="125"/>
      <c r="FW5" s="125"/>
      <c r="FX5" s="125"/>
      <c r="FY5" s="125"/>
      <c r="FZ5" s="125"/>
      <c r="GA5" s="125"/>
      <c r="GB5" s="125"/>
      <c r="GC5" s="125"/>
      <c r="GD5" s="125"/>
      <c r="GE5" s="125"/>
      <c r="GF5" s="125"/>
      <c r="GG5" s="125"/>
      <c r="GH5" s="125"/>
      <c r="GI5" s="125"/>
      <c r="GJ5" s="125"/>
      <c r="GK5" s="125"/>
      <c r="GL5" s="125"/>
      <c r="GM5" s="125"/>
      <c r="GN5" s="125"/>
      <c r="GO5" s="125"/>
      <c r="GP5" s="125"/>
      <c r="GQ5" s="125"/>
      <c r="GR5" s="125"/>
      <c r="GS5" s="125"/>
      <c r="GT5" s="125"/>
      <c r="GU5" s="125"/>
      <c r="GV5" s="125"/>
      <c r="GW5" s="125"/>
      <c r="GX5" s="125"/>
      <c r="GY5" s="125"/>
      <c r="GZ5" s="125"/>
      <c r="HA5" s="125"/>
      <c r="HB5" s="125"/>
      <c r="HC5" s="125"/>
      <c r="HD5" s="125"/>
      <c r="HE5" s="125"/>
      <c r="HF5" s="125"/>
      <c r="HG5" s="125"/>
      <c r="HH5" s="125"/>
      <c r="HI5" s="125"/>
      <c r="HJ5" s="125"/>
      <c r="HK5" s="125"/>
      <c r="HL5" s="125"/>
      <c r="HM5" s="125"/>
      <c r="HN5" s="125"/>
      <c r="HO5" s="125"/>
      <c r="HP5" s="125"/>
      <c r="HQ5" s="125"/>
      <c r="HR5" s="125"/>
      <c r="HS5" s="125"/>
      <c r="HT5" s="125"/>
      <c r="HU5" s="125"/>
      <c r="HV5" s="125"/>
      <c r="HW5" s="125"/>
      <c r="HX5" s="125"/>
      <c r="HY5" s="125"/>
      <c r="HZ5" s="125"/>
      <c r="IA5" s="125"/>
      <c r="IB5" s="125"/>
      <c r="IC5" s="125"/>
      <c r="ID5" s="125"/>
      <c r="IE5" s="125"/>
      <c r="IF5" s="125"/>
      <c r="IG5" s="125"/>
      <c r="IH5" s="125"/>
      <c r="II5" s="125"/>
      <c r="IJ5" s="125"/>
      <c r="IK5" s="125"/>
      <c r="IL5" s="125"/>
      <c r="IM5" s="125"/>
      <c r="IN5" s="125"/>
      <c r="IO5" s="125"/>
      <c r="IP5" s="125"/>
      <c r="IQ5" s="125"/>
      <c r="IR5" s="125"/>
      <c r="IS5" s="125"/>
    </row>
    <row r="6" spans="1:253" x14ac:dyDescent="0.2">
      <c r="A6" s="385" t="s">
        <v>18</v>
      </c>
      <c r="B6" s="199"/>
      <c r="C6" s="198" t="s">
        <v>7</v>
      </c>
      <c r="D6" s="2189" t="str">
        <f>CARAT_!F48</f>
        <v>“CREACION DEL PUENTE VEHICULAR CCANCHIS SOBRE EL RIO PAMPAS, DISTRITO DE CHUNGUI - PROVINCIA LA MAR - DEPARTAMENTO AYACUCHO”.</v>
      </c>
      <c r="E6" s="2189"/>
      <c r="F6" s="2189"/>
      <c r="G6" s="2189"/>
      <c r="H6" s="2189"/>
      <c r="I6" s="2190"/>
      <c r="J6" s="2189"/>
      <c r="K6" s="2189"/>
      <c r="L6" s="2189"/>
      <c r="M6" s="2189"/>
      <c r="N6" s="2189"/>
      <c r="O6" s="2189"/>
      <c r="P6" s="125"/>
      <c r="Q6" s="125"/>
      <c r="T6" s="125"/>
      <c r="U6" s="125"/>
      <c r="V6" s="125"/>
      <c r="W6" s="125"/>
      <c r="X6" s="125"/>
      <c r="Y6" s="125"/>
      <c r="Z6" s="125"/>
      <c r="AA6" s="125"/>
      <c r="AB6" s="125"/>
      <c r="AC6" s="125"/>
      <c r="AD6" s="125"/>
      <c r="AE6" s="125"/>
      <c r="AF6" s="125"/>
      <c r="AG6" s="125"/>
      <c r="AH6" s="125"/>
      <c r="AI6" s="125"/>
      <c r="AJ6" s="125"/>
      <c r="AK6" s="125"/>
      <c r="AL6" s="125"/>
      <c r="AM6" s="125"/>
      <c r="AN6" s="125"/>
      <c r="AO6" s="125"/>
      <c r="AP6" s="125"/>
      <c r="AQ6" s="125"/>
      <c r="AR6" s="125"/>
      <c r="AS6" s="125"/>
      <c r="AT6" s="125"/>
      <c r="AU6" s="125"/>
      <c r="AV6" s="125"/>
      <c r="AW6" s="125"/>
      <c r="AX6" s="125"/>
      <c r="AY6" s="125"/>
      <c r="AZ6" s="125"/>
      <c r="BA6" s="125"/>
      <c r="BB6" s="125"/>
      <c r="BC6" s="125"/>
      <c r="BD6" s="125"/>
      <c r="BE6" s="125"/>
      <c r="BF6" s="125"/>
      <c r="BG6" s="125"/>
      <c r="BH6" s="125"/>
      <c r="BI6" s="125"/>
      <c r="BJ6" s="125"/>
      <c r="BK6" s="125"/>
      <c r="BL6" s="125"/>
      <c r="BM6" s="125"/>
      <c r="BN6" s="125"/>
      <c r="BO6" s="125"/>
      <c r="BP6" s="125"/>
      <c r="BQ6" s="125"/>
      <c r="BR6" s="125"/>
      <c r="BS6" s="125"/>
      <c r="BT6" s="125"/>
      <c r="BU6" s="125"/>
      <c r="BV6" s="125"/>
      <c r="BW6" s="125"/>
      <c r="BX6" s="125"/>
      <c r="BY6" s="125"/>
      <c r="BZ6" s="125"/>
      <c r="CA6" s="125"/>
      <c r="CB6" s="125"/>
      <c r="CC6" s="125"/>
      <c r="CD6" s="125"/>
      <c r="CE6" s="125"/>
      <c r="CF6" s="125"/>
      <c r="CG6" s="125"/>
      <c r="CH6" s="125"/>
      <c r="CI6" s="125"/>
      <c r="CJ6" s="125"/>
      <c r="CK6" s="125"/>
      <c r="CL6" s="125"/>
      <c r="CM6" s="125"/>
      <c r="CN6" s="125"/>
      <c r="CO6" s="125"/>
      <c r="CP6" s="125"/>
      <c r="CQ6" s="125"/>
      <c r="CR6" s="125"/>
      <c r="CS6" s="125"/>
      <c r="CT6" s="125"/>
      <c r="CU6" s="125"/>
      <c r="CV6" s="125"/>
      <c r="CW6" s="125"/>
      <c r="CX6" s="125"/>
      <c r="CY6" s="125"/>
      <c r="CZ6" s="125"/>
      <c r="DA6" s="125"/>
      <c r="DB6" s="125"/>
      <c r="DC6" s="125"/>
      <c r="DD6" s="125"/>
      <c r="DE6" s="125"/>
      <c r="DF6" s="125"/>
      <c r="DG6" s="125"/>
      <c r="DH6" s="125"/>
      <c r="DI6" s="125"/>
      <c r="DJ6" s="125"/>
      <c r="DK6" s="125"/>
      <c r="DL6" s="125"/>
      <c r="DM6" s="125"/>
      <c r="DN6" s="125"/>
      <c r="DO6" s="125"/>
      <c r="DP6" s="125"/>
      <c r="DQ6" s="125"/>
      <c r="DR6" s="125"/>
      <c r="DS6" s="125"/>
      <c r="DT6" s="125"/>
      <c r="DU6" s="125"/>
      <c r="DV6" s="125"/>
      <c r="DW6" s="125"/>
      <c r="DX6" s="125"/>
      <c r="DY6" s="125"/>
      <c r="DZ6" s="125"/>
      <c r="EA6" s="125"/>
      <c r="EB6" s="125"/>
      <c r="EC6" s="125"/>
      <c r="ED6" s="125"/>
      <c r="EE6" s="125"/>
      <c r="EF6" s="125"/>
      <c r="EG6" s="125"/>
      <c r="EH6" s="125"/>
      <c r="EI6" s="125"/>
      <c r="EJ6" s="125"/>
      <c r="EK6" s="125"/>
      <c r="EL6" s="125"/>
      <c r="EM6" s="125"/>
      <c r="EN6" s="125"/>
      <c r="EO6" s="125"/>
      <c r="EP6" s="125"/>
      <c r="EQ6" s="125"/>
      <c r="ER6" s="125"/>
      <c r="ES6" s="125"/>
      <c r="ET6" s="125"/>
      <c r="EU6" s="125"/>
      <c r="EV6" s="125"/>
      <c r="EW6" s="125"/>
      <c r="EX6" s="125"/>
      <c r="EY6" s="125"/>
      <c r="EZ6" s="125"/>
      <c r="FA6" s="125"/>
      <c r="FB6" s="125"/>
      <c r="FC6" s="125"/>
      <c r="FD6" s="125"/>
      <c r="FE6" s="125"/>
      <c r="FF6" s="125"/>
      <c r="FG6" s="125"/>
      <c r="FH6" s="125"/>
      <c r="FI6" s="125"/>
      <c r="FJ6" s="125"/>
      <c r="FK6" s="125"/>
      <c r="FL6" s="125"/>
      <c r="FM6" s="125"/>
      <c r="FN6" s="125"/>
      <c r="FO6" s="125"/>
      <c r="FP6" s="125"/>
      <c r="FQ6" s="125"/>
      <c r="FR6" s="125"/>
      <c r="FS6" s="125"/>
      <c r="FT6" s="125"/>
      <c r="FU6" s="125"/>
      <c r="FV6" s="125"/>
      <c r="FW6" s="125"/>
      <c r="FX6" s="125"/>
      <c r="FY6" s="125"/>
      <c r="FZ6" s="125"/>
      <c r="GA6" s="125"/>
      <c r="GB6" s="125"/>
      <c r="GC6" s="125"/>
      <c r="GD6" s="125"/>
      <c r="GE6" s="125"/>
      <c r="GF6" s="125"/>
      <c r="GG6" s="125"/>
      <c r="GH6" s="125"/>
      <c r="GI6" s="125"/>
      <c r="GJ6" s="125"/>
      <c r="GK6" s="125"/>
      <c r="GL6" s="125"/>
      <c r="GM6" s="125"/>
      <c r="GN6" s="125"/>
      <c r="GO6" s="125"/>
      <c r="GP6" s="125"/>
      <c r="GQ6" s="125"/>
      <c r="GR6" s="125"/>
      <c r="GS6" s="125"/>
      <c r="GT6" s="125"/>
      <c r="GU6" s="125"/>
      <c r="GV6" s="125"/>
      <c r="GW6" s="125"/>
      <c r="GX6" s="125"/>
      <c r="GY6" s="125"/>
      <c r="GZ6" s="125"/>
      <c r="HA6" s="125"/>
      <c r="HB6" s="125"/>
      <c r="HC6" s="125"/>
      <c r="HD6" s="125"/>
      <c r="HE6" s="125"/>
      <c r="HF6" s="125"/>
      <c r="HG6" s="125"/>
      <c r="HH6" s="125"/>
      <c r="HI6" s="125"/>
      <c r="HJ6" s="125"/>
      <c r="HK6" s="125"/>
      <c r="HL6" s="125"/>
      <c r="HM6" s="125"/>
      <c r="HN6" s="125"/>
      <c r="HO6" s="125"/>
      <c r="HP6" s="125"/>
      <c r="HQ6" s="125"/>
      <c r="HR6" s="125"/>
      <c r="HS6" s="125"/>
      <c r="HT6" s="125"/>
      <c r="HU6" s="125"/>
      <c r="HV6" s="125"/>
      <c r="HW6" s="125"/>
      <c r="HX6" s="125"/>
      <c r="HY6" s="125"/>
      <c r="HZ6" s="125"/>
      <c r="IA6" s="125"/>
      <c r="IB6" s="125"/>
      <c r="IC6" s="125"/>
      <c r="ID6" s="125"/>
      <c r="IE6" s="125"/>
      <c r="IF6" s="125"/>
      <c r="IG6" s="125"/>
      <c r="IH6" s="125"/>
      <c r="II6" s="125"/>
      <c r="IJ6" s="125"/>
      <c r="IK6" s="125"/>
      <c r="IL6" s="125"/>
      <c r="IM6" s="125"/>
      <c r="IN6" s="125"/>
      <c r="IO6" s="125"/>
      <c r="IP6" s="125"/>
      <c r="IQ6" s="125"/>
      <c r="IR6" s="125"/>
      <c r="IS6" s="125"/>
    </row>
    <row r="7" spans="1:253" x14ac:dyDescent="0.2">
      <c r="A7" s="385" t="s">
        <v>1</v>
      </c>
      <c r="B7" s="199"/>
      <c r="C7" s="198" t="s">
        <v>7</v>
      </c>
      <c r="D7" s="393" t="str">
        <f>CARAT_!$F$52</f>
        <v>SIMA PERU S.A.</v>
      </c>
      <c r="F7" s="400"/>
      <c r="G7" s="139"/>
      <c r="H7" s="139"/>
      <c r="J7" s="139"/>
      <c r="K7" s="139"/>
      <c r="L7" s="139"/>
      <c r="M7" s="139"/>
      <c r="N7" s="139"/>
      <c r="O7" s="139"/>
      <c r="P7" s="125"/>
      <c r="Q7" s="125"/>
      <c r="T7" s="125"/>
      <c r="U7" s="125"/>
      <c r="V7" s="125"/>
      <c r="W7" s="125"/>
      <c r="X7" s="125"/>
      <c r="Y7" s="125"/>
      <c r="Z7" s="125"/>
      <c r="AA7" s="125"/>
      <c r="AB7" s="125"/>
      <c r="AC7" s="125"/>
      <c r="AD7" s="125"/>
      <c r="AE7" s="125"/>
      <c r="AF7" s="125"/>
      <c r="AG7" s="125"/>
      <c r="AH7" s="125"/>
      <c r="AI7" s="125"/>
      <c r="AJ7" s="125"/>
      <c r="AK7" s="125"/>
      <c r="AL7" s="125"/>
      <c r="AM7" s="125"/>
      <c r="AN7" s="125"/>
      <c r="AO7" s="125"/>
      <c r="AP7" s="125"/>
      <c r="AQ7" s="125"/>
      <c r="AR7" s="125"/>
      <c r="AS7" s="125"/>
      <c r="AT7" s="125"/>
      <c r="AU7" s="125"/>
      <c r="AV7" s="125"/>
      <c r="AW7" s="125"/>
      <c r="AX7" s="125"/>
      <c r="AY7" s="125"/>
      <c r="AZ7" s="125"/>
      <c r="BA7" s="125"/>
      <c r="BB7" s="125"/>
      <c r="BC7" s="125"/>
      <c r="BD7" s="125"/>
      <c r="BE7" s="125"/>
      <c r="BF7" s="125"/>
      <c r="BG7" s="125"/>
      <c r="BH7" s="125"/>
      <c r="BI7" s="125"/>
      <c r="BJ7" s="125"/>
      <c r="BK7" s="125"/>
      <c r="BL7" s="125"/>
      <c r="BM7" s="125"/>
      <c r="BN7" s="125"/>
      <c r="BO7" s="125"/>
      <c r="BP7" s="125"/>
      <c r="BQ7" s="125"/>
      <c r="BR7" s="125"/>
      <c r="BS7" s="125"/>
      <c r="BT7" s="125"/>
      <c r="BU7" s="125"/>
      <c r="BV7" s="125"/>
      <c r="BW7" s="125"/>
      <c r="BX7" s="125"/>
      <c r="BY7" s="125"/>
      <c r="BZ7" s="125"/>
      <c r="CA7" s="125"/>
      <c r="CB7" s="125"/>
      <c r="CC7" s="125"/>
      <c r="CD7" s="125"/>
      <c r="CE7" s="125"/>
      <c r="CF7" s="125"/>
      <c r="CG7" s="125"/>
      <c r="CH7" s="125"/>
      <c r="CI7" s="125"/>
      <c r="CJ7" s="125"/>
      <c r="CK7" s="125"/>
      <c r="CL7" s="125"/>
      <c r="CM7" s="125"/>
      <c r="CN7" s="125"/>
      <c r="CO7" s="125"/>
      <c r="CP7" s="125"/>
      <c r="CQ7" s="125"/>
      <c r="CR7" s="125"/>
      <c r="CS7" s="125"/>
      <c r="CT7" s="125"/>
      <c r="CU7" s="125"/>
      <c r="CV7" s="125"/>
      <c r="CW7" s="125"/>
      <c r="CX7" s="125"/>
      <c r="CY7" s="125"/>
      <c r="CZ7" s="125"/>
      <c r="DA7" s="125"/>
      <c r="DB7" s="125"/>
      <c r="DC7" s="125"/>
      <c r="DD7" s="125"/>
      <c r="DE7" s="125"/>
      <c r="DF7" s="125"/>
      <c r="DG7" s="125"/>
      <c r="DH7" s="125"/>
      <c r="DI7" s="125"/>
      <c r="DJ7" s="125"/>
      <c r="DK7" s="125"/>
      <c r="DL7" s="125"/>
      <c r="DM7" s="125"/>
      <c r="DN7" s="125"/>
      <c r="DO7" s="125"/>
      <c r="DP7" s="125"/>
      <c r="DQ7" s="125"/>
      <c r="DR7" s="125"/>
      <c r="DS7" s="125"/>
      <c r="DT7" s="125"/>
      <c r="DU7" s="125"/>
      <c r="DV7" s="125"/>
      <c r="DW7" s="125"/>
      <c r="DX7" s="125"/>
      <c r="DY7" s="125"/>
      <c r="DZ7" s="125"/>
      <c r="EA7" s="125"/>
      <c r="EB7" s="125"/>
      <c r="EC7" s="125"/>
      <c r="ED7" s="125"/>
      <c r="EE7" s="125"/>
      <c r="EF7" s="125"/>
      <c r="EG7" s="125"/>
      <c r="EH7" s="125"/>
      <c r="EI7" s="125"/>
      <c r="EJ7" s="125"/>
      <c r="EK7" s="125"/>
      <c r="EL7" s="125"/>
      <c r="EM7" s="125"/>
      <c r="EN7" s="125"/>
      <c r="EO7" s="125"/>
      <c r="EP7" s="125"/>
      <c r="EQ7" s="125"/>
      <c r="ER7" s="125"/>
      <c r="ES7" s="125"/>
      <c r="ET7" s="125"/>
      <c r="EU7" s="125"/>
      <c r="EV7" s="125"/>
      <c r="EW7" s="125"/>
      <c r="EX7" s="125"/>
      <c r="EY7" s="125"/>
      <c r="EZ7" s="125"/>
      <c r="FA7" s="125"/>
      <c r="FB7" s="125"/>
      <c r="FC7" s="125"/>
      <c r="FD7" s="125"/>
      <c r="FE7" s="125"/>
      <c r="FF7" s="125"/>
      <c r="FG7" s="125"/>
      <c r="FH7" s="125"/>
      <c r="FI7" s="125"/>
      <c r="FJ7" s="125"/>
      <c r="FK7" s="125"/>
      <c r="FL7" s="125"/>
      <c r="FM7" s="125"/>
      <c r="FN7" s="125"/>
      <c r="FO7" s="125"/>
      <c r="FP7" s="125"/>
      <c r="FQ7" s="125"/>
      <c r="FR7" s="125"/>
      <c r="FS7" s="125"/>
      <c r="FT7" s="125"/>
      <c r="FU7" s="125"/>
      <c r="FV7" s="125"/>
      <c r="FW7" s="125"/>
      <c r="FX7" s="125"/>
      <c r="FY7" s="125"/>
      <c r="FZ7" s="125"/>
      <c r="GA7" s="125"/>
      <c r="GB7" s="125"/>
      <c r="GC7" s="125"/>
      <c r="GD7" s="125"/>
      <c r="GE7" s="125"/>
      <c r="GF7" s="125"/>
      <c r="GG7" s="125"/>
      <c r="GH7" s="125"/>
      <c r="GI7" s="125"/>
      <c r="GJ7" s="125"/>
      <c r="GK7" s="125"/>
      <c r="GL7" s="125"/>
      <c r="GM7" s="125"/>
      <c r="GN7" s="125"/>
      <c r="GO7" s="125"/>
      <c r="GP7" s="125"/>
      <c r="GQ7" s="125"/>
      <c r="GR7" s="125"/>
      <c r="GS7" s="125"/>
      <c r="GT7" s="125"/>
      <c r="GU7" s="125"/>
      <c r="GV7" s="125"/>
      <c r="GW7" s="125"/>
      <c r="GX7" s="125"/>
      <c r="GY7" s="125"/>
      <c r="GZ7" s="125"/>
      <c r="HA7" s="125"/>
      <c r="HB7" s="125"/>
      <c r="HC7" s="125"/>
      <c r="HD7" s="125"/>
      <c r="HE7" s="125"/>
      <c r="HF7" s="125"/>
      <c r="HG7" s="125"/>
      <c r="HH7" s="125"/>
      <c r="HI7" s="125"/>
      <c r="HJ7" s="125"/>
      <c r="HK7" s="125"/>
      <c r="HL7" s="125"/>
      <c r="HM7" s="125"/>
      <c r="HN7" s="125"/>
      <c r="HO7" s="125"/>
      <c r="HP7" s="125"/>
      <c r="HQ7" s="125"/>
      <c r="HR7" s="125"/>
      <c r="HS7" s="125"/>
      <c r="HT7" s="125"/>
      <c r="HU7" s="125"/>
      <c r="HV7" s="125"/>
      <c r="HW7" s="125"/>
      <c r="HX7" s="125"/>
      <c r="HY7" s="125"/>
      <c r="HZ7" s="125"/>
      <c r="IA7" s="125"/>
      <c r="IB7" s="125"/>
      <c r="IC7" s="125"/>
      <c r="ID7" s="125"/>
      <c r="IE7" s="125"/>
      <c r="IF7" s="125"/>
      <c r="IG7" s="125"/>
      <c r="IH7" s="125"/>
      <c r="II7" s="125"/>
      <c r="IJ7" s="125"/>
      <c r="IK7" s="125"/>
      <c r="IL7" s="125"/>
      <c r="IM7" s="125"/>
      <c r="IN7" s="125"/>
      <c r="IO7" s="125"/>
      <c r="IP7" s="125"/>
      <c r="IQ7" s="125"/>
      <c r="IR7" s="125"/>
      <c r="IS7" s="125"/>
    </row>
    <row r="8" spans="1:253" x14ac:dyDescent="0.2">
      <c r="A8" s="385" t="s">
        <v>2</v>
      </c>
      <c r="B8" s="199"/>
      <c r="C8" s="198" t="s">
        <v>7</v>
      </c>
      <c r="D8" s="393" t="str">
        <f>CARAT_!$F$53</f>
        <v>SUB GERENCIA DE SUPERVISION Y LIQUIDACION</v>
      </c>
      <c r="F8" s="400"/>
      <c r="G8" s="139"/>
      <c r="H8" s="139"/>
      <c r="J8" s="139"/>
      <c r="K8" s="139"/>
      <c r="L8" s="139"/>
      <c r="M8" s="139"/>
      <c r="N8" s="139"/>
      <c r="O8" s="139"/>
      <c r="P8" s="125"/>
      <c r="Q8" s="125"/>
      <c r="T8" s="125"/>
      <c r="U8" s="125"/>
      <c r="V8" s="125"/>
      <c r="W8" s="125"/>
      <c r="X8" s="125"/>
      <c r="Y8" s="125"/>
      <c r="Z8" s="125"/>
      <c r="AA8" s="125"/>
      <c r="AB8" s="125"/>
      <c r="AC8" s="125"/>
      <c r="AD8" s="125"/>
      <c r="AE8" s="125"/>
      <c r="AF8" s="125"/>
      <c r="AG8" s="125"/>
      <c r="AH8" s="125"/>
      <c r="AI8" s="125"/>
      <c r="AJ8" s="125"/>
      <c r="AK8" s="125"/>
      <c r="AL8" s="125"/>
      <c r="AM8" s="125"/>
      <c r="AN8" s="125"/>
      <c r="AO8" s="125"/>
      <c r="AP8" s="125"/>
      <c r="AQ8" s="125"/>
      <c r="AR8" s="125"/>
      <c r="AS8" s="125"/>
      <c r="AT8" s="125"/>
      <c r="AU8" s="125"/>
      <c r="AV8" s="125"/>
      <c r="AW8" s="125"/>
      <c r="AX8" s="125"/>
      <c r="AY8" s="125"/>
      <c r="AZ8" s="125"/>
      <c r="BA8" s="125"/>
      <c r="BB8" s="125"/>
      <c r="BC8" s="125"/>
      <c r="BD8" s="125"/>
      <c r="BE8" s="125"/>
      <c r="BF8" s="125"/>
      <c r="BG8" s="125"/>
      <c r="BH8" s="125"/>
      <c r="BI8" s="125"/>
      <c r="BJ8" s="125"/>
      <c r="BK8" s="125"/>
      <c r="BL8" s="125"/>
      <c r="BM8" s="125"/>
      <c r="BN8" s="125"/>
      <c r="BO8" s="125"/>
      <c r="BP8" s="125"/>
      <c r="BQ8" s="125"/>
      <c r="BR8" s="125"/>
      <c r="BS8" s="125"/>
      <c r="BT8" s="125"/>
      <c r="BU8" s="125"/>
      <c r="BV8" s="125"/>
      <c r="BW8" s="125"/>
      <c r="BX8" s="125"/>
      <c r="BY8" s="125"/>
      <c r="BZ8" s="125"/>
      <c r="CA8" s="125"/>
      <c r="CB8" s="125"/>
      <c r="CC8" s="125"/>
      <c r="CD8" s="125"/>
      <c r="CE8" s="125"/>
      <c r="CF8" s="125"/>
      <c r="CG8" s="125"/>
      <c r="CH8" s="125"/>
      <c r="CI8" s="125"/>
      <c r="CJ8" s="125"/>
      <c r="CK8" s="125"/>
      <c r="CL8" s="125"/>
      <c r="CM8" s="125"/>
      <c r="CN8" s="125"/>
      <c r="CO8" s="125"/>
      <c r="CP8" s="125"/>
      <c r="CQ8" s="125"/>
      <c r="CR8" s="125"/>
      <c r="CS8" s="125"/>
      <c r="CT8" s="125"/>
      <c r="CU8" s="125"/>
      <c r="CV8" s="125"/>
      <c r="CW8" s="125"/>
      <c r="CX8" s="125"/>
      <c r="CY8" s="125"/>
      <c r="CZ8" s="125"/>
      <c r="DA8" s="125"/>
      <c r="DB8" s="125"/>
      <c r="DC8" s="125"/>
      <c r="DD8" s="125"/>
      <c r="DE8" s="125"/>
      <c r="DF8" s="125"/>
      <c r="DG8" s="125"/>
      <c r="DH8" s="125"/>
      <c r="DI8" s="125"/>
      <c r="DJ8" s="125"/>
      <c r="DK8" s="125"/>
      <c r="DL8" s="125"/>
      <c r="DM8" s="125"/>
      <c r="DN8" s="125"/>
      <c r="DO8" s="125"/>
      <c r="DP8" s="125"/>
      <c r="DQ8" s="125"/>
      <c r="DR8" s="125"/>
      <c r="DS8" s="125"/>
      <c r="DT8" s="125"/>
      <c r="DU8" s="125"/>
      <c r="DV8" s="125"/>
      <c r="DW8" s="125"/>
      <c r="DX8" s="125"/>
      <c r="DY8" s="125"/>
      <c r="DZ8" s="125"/>
      <c r="EA8" s="125"/>
      <c r="EB8" s="125"/>
      <c r="EC8" s="125"/>
      <c r="ED8" s="125"/>
      <c r="EE8" s="125"/>
      <c r="EF8" s="125"/>
      <c r="EG8" s="125"/>
      <c r="EH8" s="125"/>
      <c r="EI8" s="125"/>
      <c r="EJ8" s="125"/>
      <c r="EK8" s="125"/>
      <c r="EL8" s="125"/>
      <c r="EM8" s="125"/>
      <c r="EN8" s="125"/>
      <c r="EO8" s="125"/>
      <c r="EP8" s="125"/>
      <c r="EQ8" s="125"/>
      <c r="ER8" s="125"/>
      <c r="ES8" s="125"/>
      <c r="ET8" s="125"/>
      <c r="EU8" s="125"/>
      <c r="EV8" s="125"/>
      <c r="EW8" s="125"/>
      <c r="EX8" s="125"/>
      <c r="EY8" s="125"/>
      <c r="EZ8" s="125"/>
      <c r="FA8" s="125"/>
      <c r="FB8" s="125"/>
      <c r="FC8" s="125"/>
      <c r="FD8" s="125"/>
      <c r="FE8" s="125"/>
      <c r="FF8" s="125"/>
      <c r="FG8" s="125"/>
      <c r="FH8" s="125"/>
      <c r="FI8" s="125"/>
      <c r="FJ8" s="125"/>
      <c r="FK8" s="125"/>
      <c r="FL8" s="125"/>
      <c r="FM8" s="125"/>
      <c r="FN8" s="125"/>
      <c r="FO8" s="125"/>
      <c r="FP8" s="125"/>
      <c r="FQ8" s="125"/>
      <c r="FR8" s="125"/>
      <c r="FS8" s="125"/>
      <c r="FT8" s="125"/>
      <c r="FU8" s="125"/>
      <c r="FV8" s="125"/>
      <c r="FW8" s="125"/>
      <c r="FX8" s="125"/>
      <c r="FY8" s="125"/>
      <c r="FZ8" s="125"/>
      <c r="GA8" s="125"/>
      <c r="GB8" s="125"/>
      <c r="GC8" s="125"/>
      <c r="GD8" s="125"/>
      <c r="GE8" s="125"/>
      <c r="GF8" s="125"/>
      <c r="GG8" s="125"/>
      <c r="GH8" s="125"/>
      <c r="GI8" s="125"/>
      <c r="GJ8" s="125"/>
      <c r="GK8" s="125"/>
      <c r="GL8" s="125"/>
      <c r="GM8" s="125"/>
      <c r="GN8" s="125"/>
      <c r="GO8" s="125"/>
      <c r="GP8" s="125"/>
      <c r="GQ8" s="125"/>
      <c r="GR8" s="125"/>
      <c r="GS8" s="125"/>
      <c r="GT8" s="125"/>
      <c r="GU8" s="125"/>
      <c r="GV8" s="125"/>
      <c r="GW8" s="125"/>
      <c r="GX8" s="125"/>
      <c r="GY8" s="125"/>
      <c r="GZ8" s="125"/>
      <c r="HA8" s="125"/>
      <c r="HB8" s="125"/>
      <c r="HC8" s="125"/>
      <c r="HD8" s="125"/>
      <c r="HE8" s="125"/>
      <c r="HF8" s="125"/>
      <c r="HG8" s="125"/>
      <c r="HH8" s="125"/>
      <c r="HI8" s="125"/>
      <c r="HJ8" s="125"/>
      <c r="HK8" s="125"/>
      <c r="HL8" s="125"/>
      <c r="HM8" s="125"/>
      <c r="HN8" s="125"/>
      <c r="HO8" s="125"/>
      <c r="HP8" s="125"/>
      <c r="HQ8" s="125"/>
      <c r="HR8" s="125"/>
      <c r="HS8" s="125"/>
      <c r="HT8" s="125"/>
      <c r="HU8" s="125"/>
      <c r="HV8" s="125"/>
      <c r="HW8" s="125"/>
      <c r="HX8" s="125"/>
      <c r="HY8" s="125"/>
      <c r="HZ8" s="125"/>
      <c r="IA8" s="125"/>
      <c r="IB8" s="125"/>
      <c r="IC8" s="125"/>
      <c r="ID8" s="125"/>
      <c r="IE8" s="125"/>
      <c r="IF8" s="125"/>
      <c r="IG8" s="125"/>
      <c r="IH8" s="125"/>
      <c r="II8" s="125"/>
      <c r="IJ8" s="125"/>
      <c r="IK8" s="125"/>
      <c r="IL8" s="125"/>
      <c r="IM8" s="125"/>
      <c r="IN8" s="125"/>
      <c r="IO8" s="125"/>
      <c r="IP8" s="125"/>
      <c r="IQ8" s="125"/>
      <c r="IR8" s="125"/>
      <c r="IS8" s="125"/>
    </row>
    <row r="9" spans="1:253" x14ac:dyDescent="0.2">
      <c r="A9" s="385" t="s">
        <v>3</v>
      </c>
      <c r="B9" s="199"/>
      <c r="C9" s="198" t="s">
        <v>7</v>
      </c>
      <c r="D9" s="393" t="str">
        <f>CARAT_!$F$54</f>
        <v>MES DE DICIEMBRE DE 2022</v>
      </c>
      <c r="E9" s="202"/>
      <c r="F9" s="400"/>
      <c r="G9" s="122"/>
      <c r="H9" s="122"/>
      <c r="I9" s="705"/>
      <c r="J9" s="122"/>
      <c r="K9" s="139"/>
      <c r="L9" s="139"/>
      <c r="M9" s="139"/>
      <c r="N9" s="139"/>
      <c r="O9" s="139"/>
      <c r="P9" s="125"/>
      <c r="Q9" s="125"/>
      <c r="T9" s="125"/>
      <c r="U9" s="125"/>
      <c r="V9" s="125"/>
      <c r="W9" s="125"/>
      <c r="X9" s="125"/>
      <c r="Y9" s="125"/>
      <c r="Z9" s="125"/>
      <c r="AA9" s="125"/>
      <c r="AB9" s="125"/>
      <c r="AC9" s="125"/>
      <c r="AD9" s="125"/>
      <c r="AE9" s="125"/>
      <c r="AF9" s="125"/>
      <c r="AG9" s="125"/>
      <c r="AH9" s="125"/>
      <c r="AI9" s="125"/>
      <c r="AJ9" s="125"/>
      <c r="AK9" s="125"/>
      <c r="AL9" s="125"/>
      <c r="AM9" s="125"/>
      <c r="AN9" s="125"/>
      <c r="AO9" s="125"/>
      <c r="AP9" s="125"/>
      <c r="AQ9" s="125"/>
      <c r="AR9" s="125"/>
      <c r="AS9" s="125"/>
      <c r="AT9" s="125"/>
      <c r="AU9" s="125"/>
      <c r="AV9" s="125"/>
      <c r="AW9" s="125"/>
      <c r="AX9" s="125"/>
      <c r="AY9" s="125"/>
      <c r="AZ9" s="125"/>
      <c r="BA9" s="125"/>
      <c r="BB9" s="125"/>
      <c r="BC9" s="125"/>
      <c r="BD9" s="125"/>
      <c r="BE9" s="125"/>
      <c r="BF9" s="125"/>
      <c r="BG9" s="125"/>
      <c r="BH9" s="125"/>
      <c r="BI9" s="125"/>
      <c r="BJ9" s="125"/>
      <c r="BK9" s="125"/>
      <c r="BL9" s="125"/>
      <c r="BM9" s="125"/>
      <c r="BN9" s="125"/>
      <c r="BO9" s="125"/>
      <c r="BP9" s="125"/>
      <c r="BQ9" s="125"/>
      <c r="BR9" s="125"/>
      <c r="BS9" s="125"/>
      <c r="BT9" s="125"/>
      <c r="BU9" s="125"/>
      <c r="BV9" s="125"/>
      <c r="BW9" s="125"/>
      <c r="BX9" s="125"/>
      <c r="BY9" s="125"/>
      <c r="BZ9" s="125"/>
      <c r="CA9" s="125"/>
      <c r="CB9" s="125"/>
      <c r="CC9" s="125"/>
      <c r="CD9" s="125"/>
      <c r="CE9" s="125"/>
      <c r="CF9" s="125"/>
      <c r="CG9" s="125"/>
      <c r="CH9" s="125"/>
      <c r="CI9" s="125"/>
      <c r="CJ9" s="125"/>
      <c r="CK9" s="125"/>
      <c r="CL9" s="125"/>
      <c r="CM9" s="125"/>
      <c r="CN9" s="125"/>
      <c r="CO9" s="125"/>
      <c r="CP9" s="125"/>
      <c r="CQ9" s="125"/>
      <c r="CR9" s="125"/>
      <c r="CS9" s="125"/>
      <c r="CT9" s="125"/>
      <c r="CU9" s="125"/>
      <c r="CV9" s="125"/>
      <c r="CW9" s="125"/>
      <c r="CX9" s="125"/>
      <c r="CY9" s="125"/>
      <c r="CZ9" s="125"/>
      <c r="DA9" s="125"/>
      <c r="DB9" s="125"/>
      <c r="DC9" s="125"/>
      <c r="DD9" s="125"/>
      <c r="DE9" s="125"/>
      <c r="DF9" s="125"/>
      <c r="DG9" s="125"/>
      <c r="DH9" s="125"/>
      <c r="DI9" s="125"/>
      <c r="DJ9" s="125"/>
      <c r="DK9" s="125"/>
      <c r="DL9" s="125"/>
      <c r="DM9" s="125"/>
      <c r="DN9" s="125"/>
      <c r="DO9" s="125"/>
      <c r="DP9" s="125"/>
      <c r="DQ9" s="125"/>
      <c r="DR9" s="125"/>
      <c r="DS9" s="125"/>
      <c r="DT9" s="125"/>
      <c r="DU9" s="125"/>
      <c r="DV9" s="125"/>
      <c r="DW9" s="125"/>
      <c r="DX9" s="125"/>
      <c r="DY9" s="125"/>
      <c r="DZ9" s="125"/>
      <c r="EA9" s="125"/>
      <c r="EB9" s="125"/>
      <c r="EC9" s="125"/>
      <c r="ED9" s="125"/>
      <c r="EE9" s="125"/>
      <c r="EF9" s="125"/>
      <c r="EG9" s="125"/>
      <c r="EH9" s="125"/>
      <c r="EI9" s="125"/>
      <c r="EJ9" s="125"/>
      <c r="EK9" s="125"/>
      <c r="EL9" s="125"/>
      <c r="EM9" s="125"/>
      <c r="EN9" s="125"/>
      <c r="EO9" s="125"/>
      <c r="EP9" s="125"/>
      <c r="EQ9" s="125"/>
      <c r="ER9" s="125"/>
      <c r="ES9" s="125"/>
      <c r="ET9" s="125"/>
      <c r="EU9" s="125"/>
      <c r="EV9" s="125"/>
      <c r="EW9" s="125"/>
      <c r="EX9" s="125"/>
      <c r="EY9" s="125"/>
      <c r="EZ9" s="125"/>
      <c r="FA9" s="125"/>
      <c r="FB9" s="125"/>
      <c r="FC9" s="125"/>
      <c r="FD9" s="125"/>
      <c r="FE9" s="125"/>
      <c r="FF9" s="125"/>
      <c r="FG9" s="125"/>
      <c r="FH9" s="125"/>
      <c r="FI9" s="125"/>
      <c r="FJ9" s="125"/>
      <c r="FK9" s="125"/>
      <c r="FL9" s="125"/>
      <c r="FM9" s="125"/>
      <c r="FN9" s="125"/>
      <c r="FO9" s="125"/>
      <c r="FP9" s="125"/>
      <c r="FQ9" s="125"/>
      <c r="FR9" s="125"/>
      <c r="FS9" s="125"/>
      <c r="FT9" s="125"/>
      <c r="FU9" s="125"/>
      <c r="FV9" s="125"/>
      <c r="FW9" s="125"/>
      <c r="FX9" s="125"/>
      <c r="FY9" s="125"/>
      <c r="FZ9" s="125"/>
      <c r="GA9" s="125"/>
      <c r="GB9" s="125"/>
      <c r="GC9" s="125"/>
      <c r="GD9" s="125"/>
      <c r="GE9" s="125"/>
      <c r="GF9" s="125"/>
      <c r="GG9" s="125"/>
      <c r="GH9" s="125"/>
      <c r="GI9" s="125"/>
      <c r="GJ9" s="125"/>
      <c r="GK9" s="125"/>
      <c r="GL9" s="125"/>
      <c r="GM9" s="125"/>
      <c r="GN9" s="125"/>
      <c r="GO9" s="125"/>
      <c r="GP9" s="125"/>
      <c r="GQ9" s="125"/>
      <c r="GR9" s="125"/>
      <c r="GS9" s="125"/>
      <c r="GT9" s="125"/>
      <c r="GU9" s="125"/>
      <c r="GV9" s="125"/>
      <c r="GW9" s="125"/>
      <c r="GX9" s="125"/>
      <c r="GY9" s="125"/>
      <c r="GZ9" s="125"/>
      <c r="HA9" s="125"/>
      <c r="HB9" s="125"/>
      <c r="HC9" s="125"/>
      <c r="HD9" s="125"/>
      <c r="HE9" s="125"/>
      <c r="HF9" s="125"/>
      <c r="HG9" s="125"/>
      <c r="HH9" s="125"/>
      <c r="HI9" s="125"/>
      <c r="HJ9" s="125"/>
      <c r="HK9" s="125"/>
      <c r="HL9" s="125"/>
      <c r="HM9" s="125"/>
      <c r="HN9" s="125"/>
      <c r="HO9" s="125"/>
      <c r="HP9" s="125"/>
      <c r="HQ9" s="125"/>
      <c r="HR9" s="125"/>
      <c r="HS9" s="125"/>
      <c r="HT9" s="125"/>
      <c r="HU9" s="125"/>
      <c r="HV9" s="125"/>
      <c r="HW9" s="125"/>
      <c r="HX9" s="125"/>
      <c r="HY9" s="125"/>
      <c r="HZ9" s="125"/>
      <c r="IA9" s="125"/>
      <c r="IB9" s="125"/>
      <c r="IC9" s="125"/>
      <c r="ID9" s="125"/>
      <c r="IE9" s="125"/>
      <c r="IF9" s="125"/>
      <c r="IG9" s="125"/>
      <c r="IH9" s="125"/>
      <c r="II9" s="125"/>
      <c r="IJ9" s="125"/>
      <c r="IK9" s="125"/>
      <c r="IL9" s="125"/>
      <c r="IM9" s="125"/>
      <c r="IN9" s="125"/>
      <c r="IO9" s="125"/>
      <c r="IP9" s="125"/>
      <c r="IQ9" s="125"/>
      <c r="IR9" s="125"/>
      <c r="IS9" s="125"/>
    </row>
    <row r="10" spans="1:253" x14ac:dyDescent="0.2">
      <c r="A10" s="385" t="s">
        <v>4</v>
      </c>
      <c r="B10" s="199"/>
      <c r="C10" s="198" t="s">
        <v>7</v>
      </c>
      <c r="D10" s="911">
        <f>VAL_RES.!U15</f>
        <v>0</v>
      </c>
      <c r="E10" s="202"/>
      <c r="F10" s="400"/>
      <c r="G10" s="122"/>
      <c r="H10" s="122"/>
      <c r="I10" s="705"/>
      <c r="J10" s="122"/>
      <c r="K10" s="139"/>
      <c r="L10" s="139"/>
      <c r="M10" s="139"/>
      <c r="N10" s="139"/>
      <c r="O10" s="139"/>
      <c r="P10" s="125"/>
      <c r="Q10" s="125"/>
      <c r="T10" s="125"/>
      <c r="U10" s="125"/>
      <c r="V10" s="125"/>
      <c r="W10" s="125"/>
      <c r="X10" s="125"/>
      <c r="Y10" s="125"/>
      <c r="Z10" s="125"/>
      <c r="AA10" s="125"/>
      <c r="AB10" s="125"/>
      <c r="AC10" s="125"/>
      <c r="AD10" s="125"/>
      <c r="AE10" s="125"/>
      <c r="AF10" s="125"/>
      <c r="AG10" s="125"/>
      <c r="AH10" s="125"/>
      <c r="AI10" s="125"/>
      <c r="AJ10" s="125"/>
      <c r="AK10" s="125"/>
      <c r="AL10" s="125"/>
      <c r="AM10" s="125"/>
      <c r="AN10" s="125"/>
      <c r="AO10" s="125"/>
      <c r="AP10" s="125"/>
      <c r="AQ10" s="125"/>
      <c r="AR10" s="125"/>
      <c r="AS10" s="125"/>
      <c r="AT10" s="125"/>
      <c r="AU10" s="125"/>
      <c r="AV10" s="125"/>
      <c r="AW10" s="125"/>
      <c r="AX10" s="125"/>
      <c r="AY10" s="125"/>
      <c r="AZ10" s="125"/>
      <c r="BA10" s="125"/>
      <c r="BB10" s="125"/>
      <c r="BC10" s="125"/>
      <c r="BD10" s="125"/>
      <c r="BE10" s="125"/>
      <c r="BF10" s="125"/>
      <c r="BG10" s="125"/>
      <c r="BH10" s="125"/>
      <c r="BI10" s="125"/>
      <c r="BJ10" s="125"/>
      <c r="BK10" s="125"/>
      <c r="BL10" s="125"/>
      <c r="BM10" s="125"/>
      <c r="BN10" s="125"/>
      <c r="BO10" s="125"/>
      <c r="BP10" s="125"/>
      <c r="BQ10" s="125"/>
      <c r="BR10" s="125"/>
      <c r="BS10" s="125"/>
      <c r="BT10" s="125"/>
      <c r="BU10" s="125"/>
      <c r="BV10" s="125"/>
      <c r="BW10" s="125"/>
      <c r="BX10" s="125"/>
      <c r="BY10" s="125"/>
      <c r="BZ10" s="125"/>
      <c r="CA10" s="125"/>
      <c r="CB10" s="125"/>
      <c r="CC10" s="125"/>
      <c r="CD10" s="125"/>
      <c r="CE10" s="125"/>
      <c r="CF10" s="125"/>
      <c r="CG10" s="125"/>
      <c r="CH10" s="125"/>
      <c r="CI10" s="125"/>
      <c r="CJ10" s="125"/>
      <c r="CK10" s="125"/>
      <c r="CL10" s="125"/>
      <c r="CM10" s="125"/>
      <c r="CN10" s="125"/>
      <c r="CO10" s="125"/>
      <c r="CP10" s="125"/>
      <c r="CQ10" s="125"/>
      <c r="CR10" s="125"/>
      <c r="CS10" s="125"/>
      <c r="CT10" s="125"/>
      <c r="CU10" s="125"/>
      <c r="CV10" s="125"/>
      <c r="CW10" s="125"/>
      <c r="CX10" s="125"/>
      <c r="CY10" s="125"/>
      <c r="CZ10" s="125"/>
      <c r="DA10" s="125"/>
      <c r="DB10" s="125"/>
      <c r="DC10" s="125"/>
      <c r="DD10" s="125"/>
      <c r="DE10" s="125"/>
      <c r="DF10" s="125"/>
      <c r="DG10" s="125"/>
      <c r="DH10" s="125"/>
      <c r="DI10" s="125"/>
      <c r="DJ10" s="125"/>
      <c r="DK10" s="125"/>
      <c r="DL10" s="125"/>
      <c r="DM10" s="125"/>
      <c r="DN10" s="125"/>
      <c r="DO10" s="125"/>
      <c r="DP10" s="125"/>
      <c r="DQ10" s="125"/>
      <c r="DR10" s="125"/>
      <c r="DS10" s="125"/>
      <c r="DT10" s="125"/>
      <c r="DU10" s="125"/>
      <c r="DV10" s="125"/>
      <c r="DW10" s="125"/>
      <c r="DX10" s="125"/>
      <c r="DY10" s="125"/>
      <c r="DZ10" s="125"/>
      <c r="EA10" s="125"/>
      <c r="EB10" s="125"/>
      <c r="EC10" s="125"/>
      <c r="ED10" s="125"/>
      <c r="EE10" s="125"/>
      <c r="EF10" s="125"/>
      <c r="EG10" s="125"/>
      <c r="EH10" s="125"/>
      <c r="EI10" s="125"/>
      <c r="EJ10" s="125"/>
      <c r="EK10" s="125"/>
      <c r="EL10" s="125"/>
      <c r="EM10" s="125"/>
      <c r="EN10" s="125"/>
      <c r="EO10" s="125"/>
      <c r="EP10" s="125"/>
      <c r="EQ10" s="125"/>
      <c r="ER10" s="125"/>
      <c r="ES10" s="125"/>
      <c r="ET10" s="125"/>
      <c r="EU10" s="125"/>
      <c r="EV10" s="125"/>
      <c r="EW10" s="125"/>
      <c r="EX10" s="125"/>
      <c r="EY10" s="125"/>
      <c r="EZ10" s="125"/>
      <c r="FA10" s="125"/>
      <c r="FB10" s="125"/>
      <c r="FC10" s="125"/>
      <c r="FD10" s="125"/>
      <c r="FE10" s="125"/>
      <c r="FF10" s="125"/>
      <c r="FG10" s="125"/>
      <c r="FH10" s="125"/>
      <c r="FI10" s="125"/>
      <c r="FJ10" s="125"/>
      <c r="FK10" s="125"/>
      <c r="FL10" s="125"/>
      <c r="FM10" s="125"/>
      <c r="FN10" s="125"/>
      <c r="FO10" s="125"/>
      <c r="FP10" s="125"/>
      <c r="FQ10" s="125"/>
      <c r="FR10" s="125"/>
      <c r="FS10" s="125"/>
      <c r="FT10" s="125"/>
      <c r="FU10" s="125"/>
      <c r="FV10" s="125"/>
      <c r="FW10" s="125"/>
      <c r="FX10" s="125"/>
      <c r="FY10" s="125"/>
      <c r="FZ10" s="125"/>
      <c r="GA10" s="125"/>
      <c r="GB10" s="125"/>
      <c r="GC10" s="125"/>
      <c r="GD10" s="125"/>
      <c r="GE10" s="125"/>
      <c r="GF10" s="125"/>
      <c r="GG10" s="125"/>
      <c r="GH10" s="125"/>
      <c r="GI10" s="125"/>
      <c r="GJ10" s="125"/>
      <c r="GK10" s="125"/>
      <c r="GL10" s="125"/>
      <c r="GM10" s="125"/>
      <c r="GN10" s="125"/>
      <c r="GO10" s="125"/>
      <c r="GP10" s="125"/>
      <c r="GQ10" s="125"/>
      <c r="GR10" s="125"/>
      <c r="GS10" s="125"/>
      <c r="GT10" s="125"/>
      <c r="GU10" s="125"/>
      <c r="GV10" s="125"/>
      <c r="GW10" s="125"/>
      <c r="GX10" s="125"/>
      <c r="GY10" s="125"/>
      <c r="GZ10" s="125"/>
      <c r="HA10" s="125"/>
      <c r="HB10" s="125"/>
      <c r="HC10" s="125"/>
      <c r="HD10" s="125"/>
      <c r="HE10" s="125"/>
      <c r="HF10" s="125"/>
      <c r="HG10" s="125"/>
      <c r="HH10" s="125"/>
      <c r="HI10" s="125"/>
      <c r="HJ10" s="125"/>
      <c r="HK10" s="125"/>
      <c r="HL10" s="125"/>
      <c r="HM10" s="125"/>
      <c r="HN10" s="125"/>
      <c r="HO10" s="125"/>
      <c r="HP10" s="125"/>
      <c r="HQ10" s="125"/>
      <c r="HR10" s="125"/>
      <c r="HS10" s="125"/>
      <c r="HT10" s="125"/>
      <c r="HU10" s="125"/>
      <c r="HV10" s="125"/>
      <c r="HW10" s="125"/>
      <c r="HX10" s="125"/>
      <c r="HY10" s="125"/>
      <c r="HZ10" s="125"/>
      <c r="IA10" s="125"/>
      <c r="IB10" s="125"/>
      <c r="IC10" s="125"/>
      <c r="ID10" s="125"/>
      <c r="IE10" s="125"/>
      <c r="IF10" s="125"/>
      <c r="IG10" s="125"/>
      <c r="IH10" s="125"/>
      <c r="II10" s="125"/>
      <c r="IJ10" s="125"/>
      <c r="IK10" s="125"/>
      <c r="IL10" s="125"/>
      <c r="IM10" s="125"/>
      <c r="IN10" s="125"/>
      <c r="IO10" s="125"/>
      <c r="IP10" s="125"/>
      <c r="IQ10" s="125"/>
      <c r="IR10" s="125"/>
      <c r="IS10" s="125"/>
    </row>
    <row r="11" spans="1:253" ht="10.8" thickBot="1" x14ac:dyDescent="0.25">
      <c r="A11" s="203"/>
      <c r="B11" s="125"/>
      <c r="E11" s="202"/>
      <c r="F11" s="400"/>
      <c r="G11" s="122"/>
      <c r="H11" s="122"/>
      <c r="I11" s="705"/>
      <c r="J11" s="122"/>
      <c r="K11" s="139"/>
      <c r="L11" s="139"/>
      <c r="M11" s="139"/>
      <c r="N11" s="139"/>
      <c r="O11" s="139"/>
      <c r="P11" s="125"/>
      <c r="Q11" s="125"/>
      <c r="T11" s="125"/>
      <c r="U11" s="125"/>
      <c r="V11" s="125"/>
      <c r="W11" s="125"/>
      <c r="X11" s="125"/>
      <c r="Y11" s="125"/>
      <c r="Z11" s="125"/>
      <c r="AA11" s="125"/>
      <c r="AB11" s="125"/>
      <c r="AC11" s="125"/>
      <c r="AD11" s="125"/>
      <c r="AE11" s="125"/>
      <c r="AF11" s="125"/>
      <c r="AG11" s="125"/>
      <c r="AH11" s="125"/>
      <c r="AI11" s="125"/>
      <c r="AJ11" s="125"/>
      <c r="AK11" s="125"/>
      <c r="AL11" s="125"/>
      <c r="AM11" s="125"/>
      <c r="AN11" s="125"/>
      <c r="AO11" s="125"/>
      <c r="AP11" s="125"/>
      <c r="AQ11" s="125"/>
      <c r="AR11" s="125"/>
      <c r="AS11" s="125"/>
      <c r="AT11" s="125"/>
      <c r="AU11" s="125"/>
      <c r="AV11" s="125"/>
      <c r="AW11" s="125"/>
      <c r="AX11" s="125"/>
      <c r="AY11" s="125"/>
      <c r="AZ11" s="125"/>
      <c r="BA11" s="125"/>
      <c r="BB11" s="125"/>
      <c r="BC11" s="125"/>
      <c r="BD11" s="125"/>
      <c r="BE11" s="125"/>
      <c r="BF11" s="125"/>
      <c r="BG11" s="125"/>
      <c r="BH11" s="125"/>
      <c r="BI11" s="125"/>
      <c r="BJ11" s="125"/>
      <c r="BK11" s="125"/>
      <c r="BL11" s="125"/>
      <c r="BM11" s="125"/>
      <c r="BN11" s="125"/>
      <c r="BO11" s="125"/>
      <c r="BP11" s="125"/>
      <c r="BQ11" s="125"/>
      <c r="BR11" s="125"/>
      <c r="BS11" s="125"/>
      <c r="BT11" s="125"/>
      <c r="BU11" s="125"/>
      <c r="BV11" s="125"/>
      <c r="BW11" s="125"/>
      <c r="BX11" s="125"/>
      <c r="BY11" s="125"/>
      <c r="BZ11" s="125"/>
      <c r="CA11" s="125"/>
      <c r="CB11" s="125"/>
      <c r="CC11" s="125"/>
      <c r="CD11" s="125"/>
      <c r="CE11" s="125"/>
      <c r="CF11" s="125"/>
      <c r="CG11" s="125"/>
      <c r="CH11" s="125"/>
      <c r="CI11" s="125"/>
      <c r="CJ11" s="125"/>
      <c r="CK11" s="125"/>
      <c r="CL11" s="125"/>
      <c r="CM11" s="125"/>
      <c r="CN11" s="125"/>
      <c r="CO11" s="125"/>
      <c r="CP11" s="125"/>
      <c r="CQ11" s="125"/>
      <c r="CR11" s="125"/>
      <c r="CS11" s="125"/>
      <c r="CT11" s="125"/>
      <c r="CU11" s="125"/>
      <c r="CV11" s="125"/>
      <c r="CW11" s="125"/>
      <c r="CX11" s="125"/>
      <c r="CY11" s="125"/>
      <c r="CZ11" s="125"/>
      <c r="DA11" s="125"/>
      <c r="DB11" s="125"/>
      <c r="DC11" s="125"/>
      <c r="DD11" s="125"/>
      <c r="DE11" s="125"/>
      <c r="DF11" s="125"/>
      <c r="DG11" s="125"/>
      <c r="DH11" s="125"/>
      <c r="DI11" s="125"/>
      <c r="DJ11" s="125"/>
      <c r="DK11" s="125"/>
      <c r="DL11" s="125"/>
      <c r="DM11" s="125"/>
      <c r="DN11" s="125"/>
      <c r="DO11" s="125"/>
      <c r="DP11" s="125"/>
      <c r="DQ11" s="125"/>
      <c r="DR11" s="125"/>
      <c r="DS11" s="125"/>
      <c r="DT11" s="125"/>
      <c r="DU11" s="125"/>
      <c r="DV11" s="125"/>
      <c r="DW11" s="125"/>
      <c r="DX11" s="125"/>
      <c r="DY11" s="125"/>
      <c r="DZ11" s="125"/>
      <c r="EA11" s="125"/>
      <c r="EB11" s="125"/>
      <c r="EC11" s="125"/>
      <c r="ED11" s="125"/>
      <c r="EE11" s="125"/>
      <c r="EF11" s="125"/>
      <c r="EG11" s="125"/>
      <c r="EH11" s="125"/>
      <c r="EI11" s="125"/>
      <c r="EJ11" s="125"/>
      <c r="EK11" s="125"/>
      <c r="EL11" s="125"/>
      <c r="EM11" s="125"/>
      <c r="EN11" s="125"/>
      <c r="EO11" s="125"/>
      <c r="EP11" s="125"/>
      <c r="EQ11" s="125"/>
      <c r="ER11" s="125"/>
      <c r="ES11" s="125"/>
      <c r="ET11" s="125"/>
      <c r="EU11" s="125"/>
      <c r="EV11" s="125"/>
      <c r="EW11" s="125"/>
      <c r="EX11" s="125"/>
      <c r="EY11" s="125"/>
      <c r="EZ11" s="125"/>
      <c r="FA11" s="125"/>
      <c r="FB11" s="125"/>
      <c r="FC11" s="125"/>
      <c r="FD11" s="125"/>
      <c r="FE11" s="125"/>
      <c r="FF11" s="125"/>
      <c r="FG11" s="125"/>
      <c r="FH11" s="125"/>
      <c r="FI11" s="125"/>
      <c r="FJ11" s="125"/>
      <c r="FK11" s="125"/>
      <c r="FL11" s="125"/>
      <c r="FM11" s="125"/>
      <c r="FN11" s="125"/>
      <c r="FO11" s="125"/>
      <c r="FP11" s="125"/>
      <c r="FQ11" s="125"/>
      <c r="FR11" s="125"/>
      <c r="FS11" s="125"/>
      <c r="FT11" s="125"/>
      <c r="FU11" s="125"/>
      <c r="FV11" s="125"/>
      <c r="FW11" s="125"/>
      <c r="FX11" s="125"/>
      <c r="FY11" s="125"/>
      <c r="FZ11" s="125"/>
      <c r="GA11" s="125"/>
      <c r="GB11" s="125"/>
      <c r="GC11" s="125"/>
      <c r="GD11" s="125"/>
      <c r="GE11" s="125"/>
      <c r="GF11" s="125"/>
      <c r="GG11" s="125"/>
      <c r="GH11" s="125"/>
      <c r="GI11" s="125"/>
      <c r="GJ11" s="125"/>
      <c r="GK11" s="125"/>
      <c r="GL11" s="125"/>
      <c r="GM11" s="125"/>
      <c r="GN11" s="125"/>
      <c r="GO11" s="125"/>
      <c r="GP11" s="125"/>
      <c r="GQ11" s="125"/>
      <c r="GR11" s="125"/>
      <c r="GS11" s="125"/>
      <c r="GT11" s="125"/>
      <c r="GU11" s="125"/>
      <c r="GV11" s="125"/>
      <c r="GW11" s="125"/>
      <c r="GX11" s="125"/>
      <c r="GY11" s="125"/>
      <c r="GZ11" s="125"/>
      <c r="HA11" s="125"/>
      <c r="HB11" s="125"/>
      <c r="HC11" s="125"/>
      <c r="HD11" s="125"/>
      <c r="HE11" s="125"/>
      <c r="HF11" s="125"/>
      <c r="HG11" s="125"/>
      <c r="HH11" s="125"/>
      <c r="HI11" s="125"/>
      <c r="HJ11" s="125"/>
      <c r="HK11" s="125"/>
      <c r="HL11" s="125"/>
      <c r="HM11" s="125"/>
      <c r="HN11" s="125"/>
      <c r="HO11" s="125"/>
      <c r="HP11" s="125"/>
      <c r="HQ11" s="125"/>
      <c r="HR11" s="125"/>
      <c r="HS11" s="125"/>
      <c r="HT11" s="125"/>
      <c r="HU11" s="125"/>
      <c r="HV11" s="125"/>
      <c r="HW11" s="125"/>
      <c r="HX11" s="125"/>
      <c r="HY11" s="125"/>
      <c r="HZ11" s="125"/>
      <c r="IA11" s="125"/>
      <c r="IB11" s="125"/>
      <c r="IC11" s="125"/>
      <c r="ID11" s="125"/>
      <c r="IE11" s="125"/>
      <c r="IF11" s="125"/>
      <c r="IG11" s="125"/>
      <c r="IH11" s="125"/>
      <c r="II11" s="125"/>
      <c r="IJ11" s="125"/>
      <c r="IK11" s="125"/>
      <c r="IL11" s="125"/>
      <c r="IM11" s="125"/>
      <c r="IN11" s="125"/>
      <c r="IO11" s="125"/>
      <c r="IP11" s="125"/>
      <c r="IQ11" s="125"/>
      <c r="IR11" s="125"/>
      <c r="IS11" s="125"/>
    </row>
    <row r="12" spans="1:253" x14ac:dyDescent="0.2">
      <c r="A12" s="2210" t="s">
        <v>8</v>
      </c>
      <c r="B12" s="187" t="s">
        <v>9</v>
      </c>
      <c r="C12" s="2212" t="s">
        <v>283</v>
      </c>
      <c r="D12" s="2213"/>
      <c r="E12" s="2214"/>
      <c r="F12" s="2215"/>
      <c r="G12" s="2216" t="s">
        <v>300</v>
      </c>
      <c r="H12" s="2217"/>
      <c r="I12" s="2213" t="s">
        <v>10</v>
      </c>
      <c r="J12" s="2215"/>
      <c r="K12" s="2206" t="s">
        <v>11</v>
      </c>
      <c r="L12" s="2207"/>
      <c r="M12" s="2208"/>
      <c r="N12" s="2206" t="s">
        <v>12</v>
      </c>
      <c r="O12" s="2208"/>
      <c r="P12" s="125"/>
      <c r="Q12" s="125"/>
      <c r="T12" s="125"/>
      <c r="U12" s="125"/>
      <c r="V12" s="125"/>
      <c r="W12" s="125"/>
      <c r="X12" s="125"/>
      <c r="Y12" s="125"/>
      <c r="Z12" s="125"/>
      <c r="AA12" s="125"/>
      <c r="AB12" s="125"/>
      <c r="AC12" s="125"/>
      <c r="AD12" s="125"/>
      <c r="AE12" s="125"/>
      <c r="AF12" s="125"/>
      <c r="AG12" s="125"/>
      <c r="AH12" s="125"/>
      <c r="AI12" s="125"/>
      <c r="AJ12" s="125"/>
      <c r="AK12" s="125"/>
      <c r="AL12" s="125"/>
      <c r="AM12" s="125"/>
      <c r="AN12" s="125"/>
      <c r="AO12" s="125"/>
      <c r="AP12" s="125"/>
      <c r="AQ12" s="125"/>
      <c r="AR12" s="125"/>
      <c r="AS12" s="125"/>
      <c r="AT12" s="125"/>
      <c r="AU12" s="125"/>
      <c r="AV12" s="125"/>
      <c r="AW12" s="125"/>
      <c r="AX12" s="125"/>
      <c r="AY12" s="125"/>
      <c r="AZ12" s="125"/>
      <c r="BA12" s="125"/>
      <c r="BB12" s="125"/>
      <c r="BC12" s="125"/>
      <c r="BD12" s="125"/>
      <c r="BE12" s="125"/>
      <c r="BF12" s="125"/>
      <c r="BG12" s="125"/>
      <c r="BH12" s="125"/>
      <c r="BI12" s="125"/>
      <c r="BJ12" s="125"/>
      <c r="BK12" s="125"/>
      <c r="BL12" s="125"/>
      <c r="BM12" s="125"/>
      <c r="BN12" s="125"/>
      <c r="BO12" s="125"/>
      <c r="BP12" s="125"/>
      <c r="BQ12" s="125"/>
      <c r="BR12" s="125"/>
      <c r="BS12" s="125"/>
      <c r="BT12" s="125"/>
      <c r="BU12" s="125"/>
      <c r="BV12" s="125"/>
      <c r="BW12" s="125"/>
      <c r="BX12" s="125"/>
      <c r="BY12" s="125"/>
      <c r="BZ12" s="125"/>
      <c r="CA12" s="125"/>
      <c r="CB12" s="125"/>
      <c r="CC12" s="125"/>
      <c r="CD12" s="125"/>
      <c r="CE12" s="125"/>
      <c r="CF12" s="125"/>
      <c r="CG12" s="125"/>
      <c r="CH12" s="125"/>
      <c r="CI12" s="125"/>
      <c r="CJ12" s="125"/>
      <c r="CK12" s="125"/>
      <c r="CL12" s="125"/>
      <c r="CM12" s="125"/>
      <c r="CN12" s="125"/>
      <c r="CO12" s="125"/>
      <c r="CP12" s="125"/>
      <c r="CQ12" s="125"/>
      <c r="CR12" s="125"/>
      <c r="CS12" s="125"/>
      <c r="CT12" s="125"/>
      <c r="CU12" s="125"/>
      <c r="CV12" s="125"/>
      <c r="CW12" s="125"/>
      <c r="CX12" s="125"/>
      <c r="CY12" s="125"/>
      <c r="CZ12" s="125"/>
      <c r="DA12" s="125"/>
      <c r="DB12" s="125"/>
      <c r="DC12" s="125"/>
      <c r="DD12" s="125"/>
      <c r="DE12" s="125"/>
      <c r="DF12" s="125"/>
      <c r="DG12" s="125"/>
      <c r="DH12" s="125"/>
      <c r="DI12" s="125"/>
      <c r="DJ12" s="125"/>
      <c r="DK12" s="125"/>
      <c r="DL12" s="125"/>
      <c r="DM12" s="125"/>
      <c r="DN12" s="125"/>
      <c r="DO12" s="125"/>
      <c r="DP12" s="125"/>
      <c r="DQ12" s="125"/>
      <c r="DR12" s="125"/>
      <c r="DS12" s="125"/>
      <c r="DT12" s="125"/>
      <c r="DU12" s="125"/>
      <c r="DV12" s="125"/>
      <c r="DW12" s="125"/>
      <c r="DX12" s="125"/>
      <c r="DY12" s="125"/>
      <c r="DZ12" s="125"/>
      <c r="EA12" s="125"/>
      <c r="EB12" s="125"/>
      <c r="EC12" s="125"/>
      <c r="ED12" s="125"/>
      <c r="EE12" s="125"/>
      <c r="EF12" s="125"/>
      <c r="EG12" s="125"/>
      <c r="EH12" s="125"/>
      <c r="EI12" s="125"/>
      <c r="EJ12" s="125"/>
      <c r="EK12" s="125"/>
      <c r="EL12" s="125"/>
      <c r="EM12" s="125"/>
      <c r="EN12" s="125"/>
      <c r="EO12" s="125"/>
      <c r="EP12" s="125"/>
      <c r="EQ12" s="125"/>
      <c r="ER12" s="125"/>
      <c r="ES12" s="125"/>
      <c r="ET12" s="125"/>
      <c r="EU12" s="125"/>
      <c r="EV12" s="125"/>
      <c r="EW12" s="125"/>
      <c r="EX12" s="125"/>
      <c r="EY12" s="125"/>
      <c r="EZ12" s="125"/>
      <c r="FA12" s="125"/>
      <c r="FB12" s="125"/>
      <c r="FC12" s="125"/>
      <c r="FD12" s="125"/>
      <c r="FE12" s="125"/>
      <c r="FF12" s="125"/>
      <c r="FG12" s="125"/>
      <c r="FH12" s="125"/>
      <c r="FI12" s="125"/>
      <c r="FJ12" s="125"/>
      <c r="FK12" s="125"/>
      <c r="FL12" s="125"/>
      <c r="FM12" s="125"/>
      <c r="FN12" s="125"/>
      <c r="FO12" s="125"/>
      <c r="FP12" s="125"/>
      <c r="FQ12" s="125"/>
      <c r="FR12" s="125"/>
      <c r="FS12" s="125"/>
      <c r="FT12" s="125"/>
      <c r="FU12" s="125"/>
      <c r="FV12" s="125"/>
      <c r="FW12" s="125"/>
      <c r="FX12" s="125"/>
      <c r="FY12" s="125"/>
      <c r="FZ12" s="125"/>
      <c r="GA12" s="125"/>
      <c r="GB12" s="125"/>
      <c r="GC12" s="125"/>
      <c r="GD12" s="125"/>
      <c r="GE12" s="125"/>
      <c r="GF12" s="125"/>
      <c r="GG12" s="125"/>
      <c r="GH12" s="125"/>
      <c r="GI12" s="125"/>
      <c r="GJ12" s="125"/>
      <c r="GK12" s="125"/>
      <c r="GL12" s="125"/>
      <c r="GM12" s="125"/>
      <c r="GN12" s="125"/>
      <c r="GO12" s="125"/>
      <c r="GP12" s="125"/>
      <c r="GQ12" s="125"/>
      <c r="GR12" s="125"/>
      <c r="GS12" s="125"/>
      <c r="GT12" s="125"/>
      <c r="GU12" s="125"/>
      <c r="GV12" s="125"/>
      <c r="GW12" s="125"/>
      <c r="GX12" s="125"/>
      <c r="GY12" s="125"/>
      <c r="GZ12" s="125"/>
      <c r="HA12" s="125"/>
      <c r="HB12" s="125"/>
      <c r="HC12" s="125"/>
      <c r="HD12" s="125"/>
      <c r="HE12" s="125"/>
      <c r="HF12" s="125"/>
      <c r="HG12" s="125"/>
      <c r="HH12" s="125"/>
      <c r="HI12" s="125"/>
      <c r="HJ12" s="125"/>
      <c r="HK12" s="125"/>
      <c r="HL12" s="125"/>
      <c r="HM12" s="125"/>
      <c r="HN12" s="125"/>
      <c r="HO12" s="125"/>
      <c r="HP12" s="125"/>
      <c r="HQ12" s="125"/>
      <c r="HR12" s="125"/>
      <c r="HS12" s="125"/>
      <c r="HT12" s="125"/>
      <c r="HU12" s="125"/>
      <c r="HV12" s="125"/>
      <c r="HW12" s="125"/>
      <c r="HX12" s="125"/>
      <c r="HY12" s="125"/>
      <c r="HZ12" s="125"/>
      <c r="IA12" s="125"/>
      <c r="IB12" s="125"/>
      <c r="IC12" s="125"/>
      <c r="ID12" s="125"/>
      <c r="IE12" s="125"/>
      <c r="IF12" s="125"/>
      <c r="IG12" s="125"/>
      <c r="IH12" s="125"/>
      <c r="II12" s="125"/>
      <c r="IJ12" s="125"/>
      <c r="IK12" s="125"/>
      <c r="IL12" s="125"/>
      <c r="IM12" s="125"/>
      <c r="IN12" s="125"/>
      <c r="IO12" s="125"/>
      <c r="IP12" s="125"/>
      <c r="IQ12" s="125"/>
      <c r="IR12" s="125"/>
      <c r="IS12" s="125"/>
    </row>
    <row r="13" spans="1:253" ht="10.8" thickBot="1" x14ac:dyDescent="0.25">
      <c r="A13" s="2211"/>
      <c r="B13" s="373"/>
      <c r="C13" s="372" t="s">
        <v>13</v>
      </c>
      <c r="D13" s="395" t="s">
        <v>14</v>
      </c>
      <c r="E13" s="165" t="s">
        <v>15</v>
      </c>
      <c r="F13" s="458" t="s">
        <v>16</v>
      </c>
      <c r="G13" s="160" t="s">
        <v>14</v>
      </c>
      <c r="H13" s="161" t="s">
        <v>16</v>
      </c>
      <c r="I13" s="487" t="s">
        <v>14</v>
      </c>
      <c r="J13" s="161" t="s">
        <v>16</v>
      </c>
      <c r="K13" s="160" t="s">
        <v>14</v>
      </c>
      <c r="L13" s="162" t="s">
        <v>16</v>
      </c>
      <c r="M13" s="161" t="s">
        <v>17</v>
      </c>
      <c r="N13" s="160" t="s">
        <v>14</v>
      </c>
      <c r="O13" s="374" t="s">
        <v>16</v>
      </c>
      <c r="P13" s="125"/>
      <c r="Q13" s="125"/>
      <c r="T13" s="125"/>
      <c r="U13" s="125"/>
      <c r="V13" s="125"/>
      <c r="W13" s="125"/>
      <c r="X13" s="125"/>
      <c r="Y13" s="125"/>
      <c r="Z13" s="125"/>
      <c r="AA13" s="125"/>
      <c r="AB13" s="125"/>
      <c r="AC13" s="125"/>
      <c r="AD13" s="125"/>
      <c r="AE13" s="125"/>
      <c r="AF13" s="125"/>
      <c r="AG13" s="125"/>
      <c r="AH13" s="125"/>
      <c r="AI13" s="125"/>
      <c r="AJ13" s="125"/>
      <c r="AK13" s="125"/>
      <c r="AL13" s="125"/>
      <c r="AM13" s="125"/>
      <c r="AN13" s="125"/>
      <c r="AO13" s="125"/>
      <c r="AP13" s="125"/>
      <c r="AQ13" s="125"/>
      <c r="AR13" s="125"/>
      <c r="AS13" s="125"/>
      <c r="AT13" s="125"/>
      <c r="AU13" s="125"/>
      <c r="AV13" s="125"/>
      <c r="AW13" s="125"/>
      <c r="AX13" s="125"/>
      <c r="AY13" s="125"/>
      <c r="AZ13" s="125"/>
      <c r="BA13" s="125"/>
      <c r="BB13" s="125"/>
      <c r="BC13" s="125"/>
      <c r="BD13" s="125"/>
      <c r="BE13" s="125"/>
      <c r="BF13" s="125"/>
      <c r="BG13" s="125"/>
      <c r="BH13" s="125"/>
      <c r="BI13" s="125"/>
      <c r="BJ13" s="125"/>
      <c r="BK13" s="125"/>
      <c r="BL13" s="125"/>
      <c r="BM13" s="125"/>
      <c r="BN13" s="125"/>
      <c r="BO13" s="125"/>
      <c r="BP13" s="125"/>
      <c r="BQ13" s="125"/>
      <c r="BR13" s="125"/>
      <c r="BS13" s="125"/>
      <c r="BT13" s="125"/>
      <c r="BU13" s="125"/>
      <c r="BV13" s="125"/>
      <c r="BW13" s="125"/>
      <c r="BX13" s="125"/>
      <c r="BY13" s="125"/>
      <c r="BZ13" s="125"/>
      <c r="CA13" s="125"/>
      <c r="CB13" s="125"/>
      <c r="CC13" s="125"/>
      <c r="CD13" s="125"/>
      <c r="CE13" s="125"/>
      <c r="CF13" s="125"/>
      <c r="CG13" s="125"/>
      <c r="CH13" s="125"/>
      <c r="CI13" s="125"/>
      <c r="CJ13" s="125"/>
      <c r="CK13" s="125"/>
      <c r="CL13" s="125"/>
      <c r="CM13" s="125"/>
      <c r="CN13" s="125"/>
      <c r="CO13" s="125"/>
      <c r="CP13" s="125"/>
      <c r="CQ13" s="125"/>
      <c r="CR13" s="125"/>
      <c r="CS13" s="125"/>
      <c r="CT13" s="125"/>
      <c r="CU13" s="125"/>
      <c r="CV13" s="125"/>
      <c r="CW13" s="125"/>
      <c r="CX13" s="125"/>
      <c r="CY13" s="125"/>
      <c r="CZ13" s="125"/>
      <c r="DA13" s="125"/>
      <c r="DB13" s="125"/>
      <c r="DC13" s="125"/>
      <c r="DD13" s="125"/>
      <c r="DE13" s="125"/>
      <c r="DF13" s="125"/>
      <c r="DG13" s="125"/>
      <c r="DH13" s="125"/>
      <c r="DI13" s="125"/>
      <c r="DJ13" s="125"/>
      <c r="DK13" s="125"/>
      <c r="DL13" s="125"/>
      <c r="DM13" s="125"/>
      <c r="DN13" s="125"/>
      <c r="DO13" s="125"/>
      <c r="DP13" s="125"/>
      <c r="DQ13" s="125"/>
      <c r="DR13" s="125"/>
      <c r="DS13" s="125"/>
      <c r="DT13" s="125"/>
      <c r="DU13" s="125"/>
      <c r="DV13" s="125"/>
      <c r="DW13" s="125"/>
      <c r="DX13" s="125"/>
      <c r="DY13" s="125"/>
      <c r="DZ13" s="125"/>
      <c r="EA13" s="125"/>
      <c r="EB13" s="125"/>
      <c r="EC13" s="125"/>
      <c r="ED13" s="125"/>
      <c r="EE13" s="125"/>
      <c r="EF13" s="125"/>
      <c r="EG13" s="125"/>
      <c r="EH13" s="125"/>
      <c r="EI13" s="125"/>
      <c r="EJ13" s="125"/>
      <c r="EK13" s="125"/>
      <c r="EL13" s="125"/>
      <c r="EM13" s="125"/>
      <c r="EN13" s="125"/>
      <c r="EO13" s="125"/>
      <c r="EP13" s="125"/>
      <c r="EQ13" s="125"/>
      <c r="ER13" s="125"/>
      <c r="ES13" s="125"/>
      <c r="ET13" s="125"/>
      <c r="EU13" s="125"/>
      <c r="EV13" s="125"/>
      <c r="EW13" s="125"/>
      <c r="EX13" s="125"/>
      <c r="EY13" s="125"/>
      <c r="EZ13" s="125"/>
      <c r="FA13" s="125"/>
      <c r="FB13" s="125"/>
      <c r="FC13" s="125"/>
      <c r="FD13" s="125"/>
      <c r="FE13" s="125"/>
      <c r="FF13" s="125"/>
      <c r="FG13" s="125"/>
      <c r="FH13" s="125"/>
      <c r="FI13" s="125"/>
      <c r="FJ13" s="125"/>
      <c r="FK13" s="125"/>
      <c r="FL13" s="125"/>
      <c r="FM13" s="125"/>
      <c r="FN13" s="125"/>
      <c r="FO13" s="125"/>
      <c r="FP13" s="125"/>
      <c r="FQ13" s="125"/>
      <c r="FR13" s="125"/>
      <c r="FS13" s="125"/>
      <c r="FT13" s="125"/>
      <c r="FU13" s="125"/>
      <c r="FV13" s="125"/>
      <c r="FW13" s="125"/>
      <c r="FX13" s="125"/>
      <c r="FY13" s="125"/>
      <c r="FZ13" s="125"/>
      <c r="GA13" s="125"/>
      <c r="GB13" s="125"/>
      <c r="GC13" s="125"/>
      <c r="GD13" s="125"/>
      <c r="GE13" s="125"/>
      <c r="GF13" s="125"/>
      <c r="GG13" s="125"/>
      <c r="GH13" s="125"/>
      <c r="GI13" s="125"/>
      <c r="GJ13" s="125"/>
      <c r="GK13" s="125"/>
      <c r="GL13" s="125"/>
      <c r="GM13" s="125"/>
      <c r="GN13" s="125"/>
      <c r="GO13" s="125"/>
      <c r="GP13" s="125"/>
      <c r="GQ13" s="125"/>
      <c r="GR13" s="125"/>
      <c r="GS13" s="125"/>
      <c r="GT13" s="125"/>
      <c r="GU13" s="125"/>
      <c r="GV13" s="125"/>
      <c r="GW13" s="125"/>
      <c r="GX13" s="125"/>
      <c r="GY13" s="125"/>
      <c r="GZ13" s="125"/>
      <c r="HA13" s="125"/>
      <c r="HB13" s="125"/>
      <c r="HC13" s="125"/>
      <c r="HD13" s="125"/>
      <c r="HE13" s="125"/>
      <c r="HF13" s="125"/>
      <c r="HG13" s="125"/>
      <c r="HH13" s="125"/>
      <c r="HI13" s="125"/>
      <c r="HJ13" s="125"/>
      <c r="HK13" s="125"/>
      <c r="HL13" s="125"/>
      <c r="HM13" s="125"/>
      <c r="HN13" s="125"/>
      <c r="HO13" s="125"/>
      <c r="HP13" s="125"/>
      <c r="HQ13" s="125"/>
      <c r="HR13" s="125"/>
      <c r="HS13" s="125"/>
      <c r="HT13" s="125"/>
      <c r="HU13" s="125"/>
      <c r="HV13" s="125"/>
      <c r="HW13" s="125"/>
      <c r="HX13" s="125"/>
      <c r="HY13" s="125"/>
      <c r="HZ13" s="125"/>
      <c r="IA13" s="125"/>
      <c r="IB13" s="125"/>
      <c r="IC13" s="125"/>
      <c r="ID13" s="125"/>
      <c r="IE13" s="125"/>
      <c r="IF13" s="125"/>
      <c r="IG13" s="125"/>
      <c r="IH13" s="125"/>
      <c r="II13" s="125"/>
      <c r="IJ13" s="125"/>
      <c r="IK13" s="125"/>
      <c r="IL13" s="125"/>
      <c r="IM13" s="125"/>
      <c r="IN13" s="125"/>
      <c r="IO13" s="125"/>
      <c r="IP13" s="125"/>
      <c r="IQ13" s="125"/>
      <c r="IR13" s="125"/>
      <c r="IS13" s="125"/>
    </row>
    <row r="14" spans="1:253" x14ac:dyDescent="0.2">
      <c r="A14" s="384"/>
      <c r="B14" s="362"/>
      <c r="C14" s="192"/>
      <c r="D14" s="396"/>
      <c r="E14" s="383"/>
      <c r="F14" s="401"/>
      <c r="G14" s="460"/>
      <c r="H14" s="461"/>
      <c r="I14" s="472"/>
      <c r="J14" s="461"/>
      <c r="K14" s="462"/>
      <c r="L14" s="463"/>
      <c r="M14" s="461"/>
      <c r="N14" s="462"/>
      <c r="O14" s="461"/>
      <c r="P14" s="125"/>
      <c r="Q14" s="125"/>
      <c r="T14" s="125"/>
      <c r="U14" s="125"/>
      <c r="V14" s="125"/>
      <c r="W14" s="125"/>
      <c r="X14" s="125"/>
      <c r="Y14" s="125"/>
      <c r="Z14" s="125"/>
      <c r="AA14" s="125"/>
      <c r="AB14" s="125"/>
      <c r="AC14" s="125"/>
      <c r="AD14" s="125"/>
      <c r="AE14" s="125"/>
      <c r="AF14" s="125"/>
      <c r="AG14" s="125"/>
      <c r="AH14" s="125"/>
      <c r="AI14" s="125"/>
      <c r="AJ14" s="125"/>
      <c r="AK14" s="125"/>
      <c r="AL14" s="125"/>
      <c r="AM14" s="125"/>
      <c r="AN14" s="125"/>
      <c r="AO14" s="125"/>
      <c r="AP14" s="125"/>
      <c r="AQ14" s="125"/>
      <c r="AR14" s="125"/>
      <c r="AS14" s="125"/>
      <c r="AT14" s="125"/>
      <c r="AU14" s="125"/>
      <c r="AV14" s="125"/>
      <c r="AW14" s="125"/>
      <c r="AX14" s="125"/>
      <c r="AY14" s="125"/>
      <c r="AZ14" s="125"/>
      <c r="BA14" s="125"/>
      <c r="BB14" s="125"/>
      <c r="BC14" s="125"/>
      <c r="BD14" s="125"/>
      <c r="BE14" s="125"/>
      <c r="BF14" s="125"/>
      <c r="BG14" s="125"/>
      <c r="BH14" s="125"/>
      <c r="BI14" s="125"/>
      <c r="BJ14" s="125"/>
      <c r="BK14" s="125"/>
      <c r="BL14" s="125"/>
      <c r="BM14" s="125"/>
      <c r="BN14" s="125"/>
      <c r="BO14" s="125"/>
      <c r="BP14" s="125"/>
      <c r="BQ14" s="125"/>
      <c r="BR14" s="125"/>
      <c r="BS14" s="125"/>
      <c r="BT14" s="125"/>
      <c r="BU14" s="125"/>
      <c r="BV14" s="125"/>
      <c r="BW14" s="125"/>
      <c r="BX14" s="125"/>
      <c r="BY14" s="125"/>
      <c r="BZ14" s="125"/>
      <c r="CA14" s="125"/>
      <c r="CB14" s="125"/>
      <c r="CC14" s="125"/>
      <c r="CD14" s="125"/>
      <c r="CE14" s="125"/>
      <c r="CF14" s="125"/>
      <c r="CG14" s="125"/>
      <c r="CH14" s="125"/>
      <c r="CI14" s="125"/>
      <c r="CJ14" s="125"/>
      <c r="CK14" s="125"/>
      <c r="CL14" s="125"/>
      <c r="CM14" s="125"/>
      <c r="CN14" s="125"/>
      <c r="CO14" s="125"/>
      <c r="CP14" s="125"/>
      <c r="CQ14" s="125"/>
      <c r="CR14" s="125"/>
      <c r="CS14" s="125"/>
      <c r="CT14" s="125"/>
      <c r="CU14" s="125"/>
      <c r="CV14" s="125"/>
      <c r="CW14" s="125"/>
      <c r="CX14" s="125"/>
      <c r="CY14" s="125"/>
      <c r="CZ14" s="125"/>
      <c r="DA14" s="125"/>
      <c r="DB14" s="125"/>
      <c r="DC14" s="125"/>
      <c r="DD14" s="125"/>
      <c r="DE14" s="125"/>
      <c r="DF14" s="125"/>
      <c r="DG14" s="125"/>
      <c r="DH14" s="125"/>
      <c r="DI14" s="125"/>
      <c r="DJ14" s="125"/>
      <c r="DK14" s="125"/>
      <c r="DL14" s="125"/>
      <c r="DM14" s="125"/>
      <c r="DN14" s="125"/>
      <c r="DO14" s="125"/>
      <c r="DP14" s="125"/>
      <c r="DQ14" s="125"/>
      <c r="DR14" s="125"/>
      <c r="DS14" s="125"/>
      <c r="DT14" s="125"/>
      <c r="DU14" s="125"/>
      <c r="DV14" s="125"/>
      <c r="DW14" s="125"/>
      <c r="DX14" s="125"/>
      <c r="DY14" s="125"/>
      <c r="DZ14" s="125"/>
      <c r="EA14" s="125"/>
      <c r="EB14" s="125"/>
      <c r="EC14" s="125"/>
      <c r="ED14" s="125"/>
      <c r="EE14" s="125"/>
      <c r="EF14" s="125"/>
      <c r="EG14" s="125"/>
      <c r="EH14" s="125"/>
      <c r="EI14" s="125"/>
      <c r="EJ14" s="125"/>
      <c r="EK14" s="125"/>
      <c r="EL14" s="125"/>
      <c r="EM14" s="125"/>
      <c r="EN14" s="125"/>
      <c r="EO14" s="125"/>
      <c r="EP14" s="125"/>
      <c r="EQ14" s="125"/>
      <c r="ER14" s="125"/>
      <c r="ES14" s="125"/>
      <c r="ET14" s="125"/>
      <c r="EU14" s="125"/>
      <c r="EV14" s="125"/>
      <c r="EW14" s="125"/>
      <c r="EX14" s="125"/>
      <c r="EY14" s="125"/>
      <c r="EZ14" s="125"/>
      <c r="FA14" s="125"/>
      <c r="FB14" s="125"/>
      <c r="FC14" s="125"/>
      <c r="FD14" s="125"/>
      <c r="FE14" s="125"/>
      <c r="FF14" s="125"/>
      <c r="FG14" s="125"/>
      <c r="FH14" s="125"/>
      <c r="FI14" s="125"/>
      <c r="FJ14" s="125"/>
      <c r="FK14" s="125"/>
      <c r="FL14" s="125"/>
      <c r="FM14" s="125"/>
      <c r="FN14" s="125"/>
      <c r="FO14" s="125"/>
      <c r="FP14" s="125"/>
      <c r="FQ14" s="125"/>
      <c r="FR14" s="125"/>
      <c r="FS14" s="125"/>
      <c r="FT14" s="125"/>
      <c r="FU14" s="125"/>
      <c r="FV14" s="125"/>
      <c r="FW14" s="125"/>
      <c r="FX14" s="125"/>
      <c r="FY14" s="125"/>
      <c r="FZ14" s="125"/>
      <c r="GA14" s="125"/>
      <c r="GB14" s="125"/>
      <c r="GC14" s="125"/>
      <c r="GD14" s="125"/>
      <c r="GE14" s="125"/>
      <c r="GF14" s="125"/>
      <c r="GG14" s="125"/>
      <c r="GH14" s="125"/>
      <c r="GI14" s="125"/>
      <c r="GJ14" s="125"/>
      <c r="GK14" s="125"/>
      <c r="GL14" s="125"/>
      <c r="GM14" s="125"/>
      <c r="GN14" s="125"/>
      <c r="GO14" s="125"/>
      <c r="GP14" s="125"/>
      <c r="GQ14" s="125"/>
      <c r="GR14" s="125"/>
      <c r="GS14" s="125"/>
      <c r="GT14" s="125"/>
      <c r="GU14" s="125"/>
      <c r="GV14" s="125"/>
      <c r="GW14" s="125"/>
      <c r="GX14" s="125"/>
      <c r="GY14" s="125"/>
      <c r="GZ14" s="125"/>
      <c r="HA14" s="125"/>
      <c r="HB14" s="125"/>
      <c r="HC14" s="125"/>
      <c r="HD14" s="125"/>
      <c r="HE14" s="125"/>
      <c r="HF14" s="125"/>
      <c r="HG14" s="125"/>
      <c r="HH14" s="125"/>
      <c r="HI14" s="125"/>
      <c r="HJ14" s="125"/>
      <c r="HK14" s="125"/>
      <c r="HL14" s="125"/>
      <c r="HM14" s="125"/>
      <c r="HN14" s="125"/>
      <c r="HO14" s="125"/>
      <c r="HP14" s="125"/>
      <c r="HQ14" s="125"/>
      <c r="HR14" s="125"/>
      <c r="HS14" s="125"/>
      <c r="HT14" s="125"/>
      <c r="HU14" s="125"/>
      <c r="HV14" s="125"/>
      <c r="HW14" s="125"/>
      <c r="HX14" s="125"/>
      <c r="HY14" s="125"/>
      <c r="HZ14" s="125"/>
      <c r="IA14" s="125"/>
      <c r="IB14" s="125"/>
      <c r="IC14" s="125"/>
      <c r="ID14" s="125"/>
      <c r="IE14" s="125"/>
      <c r="IF14" s="125"/>
      <c r="IG14" s="125"/>
      <c r="IH14" s="125"/>
      <c r="II14" s="125"/>
      <c r="IJ14" s="125"/>
      <c r="IK14" s="125"/>
      <c r="IL14" s="125"/>
      <c r="IM14" s="125"/>
      <c r="IN14" s="125"/>
      <c r="IO14" s="125"/>
      <c r="IP14" s="125"/>
      <c r="IQ14" s="125"/>
      <c r="IR14" s="125"/>
      <c r="IS14" s="125"/>
    </row>
    <row r="15" spans="1:253" s="387" customFormat="1" x14ac:dyDescent="0.2">
      <c r="A15" s="453" t="s">
        <v>38</v>
      </c>
      <c r="B15" s="453" t="s">
        <v>401</v>
      </c>
      <c r="C15" s="676"/>
      <c r="D15" s="677"/>
      <c r="E15" s="677"/>
      <c r="F15" s="678"/>
      <c r="G15" s="439"/>
      <c r="H15" s="440"/>
      <c r="I15" s="706"/>
      <c r="J15" s="440"/>
      <c r="K15" s="441"/>
      <c r="L15" s="442"/>
      <c r="M15" s="440"/>
      <c r="N15" s="443"/>
      <c r="O15" s="445"/>
      <c r="R15" s="388"/>
      <c r="S15" s="388"/>
    </row>
    <row r="16" spans="1:253" x14ac:dyDescent="0.2">
      <c r="A16" s="448" t="s">
        <v>165</v>
      </c>
      <c r="B16" s="448" t="s">
        <v>402</v>
      </c>
      <c r="C16" s="676"/>
      <c r="D16" s="677"/>
      <c r="E16" s="677"/>
      <c r="F16" s="678"/>
      <c r="G16" s="444"/>
      <c r="H16" s="445"/>
      <c r="I16" s="470"/>
      <c r="J16" s="445"/>
      <c r="K16" s="443"/>
      <c r="L16" s="446"/>
      <c r="M16" s="445"/>
      <c r="N16" s="443"/>
      <c r="O16" s="445"/>
      <c r="P16" s="339"/>
      <c r="Q16" s="338"/>
      <c r="R16" s="388"/>
      <c r="S16" s="388"/>
    </row>
    <row r="17" spans="1:19" x14ac:dyDescent="0.2">
      <c r="A17" s="454" t="s">
        <v>205</v>
      </c>
      <c r="B17" s="454" t="s">
        <v>403</v>
      </c>
      <c r="C17" s="676" t="s">
        <v>168</v>
      </c>
      <c r="D17" s="677">
        <v>1878</v>
      </c>
      <c r="E17" s="677">
        <v>3.22</v>
      </c>
      <c r="F17" s="678">
        <v>6047.16</v>
      </c>
      <c r="G17" s="444">
        <v>1878</v>
      </c>
      <c r="H17" s="445">
        <f t="shared" ref="H17" si="0">+G17*E17</f>
        <v>6047.1600000000008</v>
      </c>
      <c r="I17" s="470">
        <v>0</v>
      </c>
      <c r="J17" s="445">
        <f t="shared" ref="J17" si="1">+I17*E17</f>
        <v>0</v>
      </c>
      <c r="K17" s="443">
        <f t="shared" ref="K17" si="2">+G17+I17</f>
        <v>1878</v>
      </c>
      <c r="L17" s="446">
        <f t="shared" ref="L17" si="3">+K17*E17</f>
        <v>6047.1600000000008</v>
      </c>
      <c r="M17" s="445">
        <f t="shared" ref="M17" si="4">+K17*100/D17</f>
        <v>100</v>
      </c>
      <c r="N17" s="443">
        <f t="shared" ref="N17" si="5">+D17-K17</f>
        <v>0</v>
      </c>
      <c r="O17" s="445">
        <f t="shared" ref="O17" si="6">+F17-L17</f>
        <v>0</v>
      </c>
      <c r="P17" s="339">
        <f>D17*E17-F17</f>
        <v>0</v>
      </c>
      <c r="Q17" s="338"/>
      <c r="R17" s="388"/>
      <c r="S17" s="388"/>
    </row>
    <row r="18" spans="1:19" x14ac:dyDescent="0.2">
      <c r="A18" s="448" t="s">
        <v>172</v>
      </c>
      <c r="B18" s="448" t="s">
        <v>404</v>
      </c>
      <c r="C18" s="676"/>
      <c r="D18" s="677"/>
      <c r="E18" s="677"/>
      <c r="F18" s="678"/>
      <c r="G18" s="444"/>
      <c r="H18" s="445"/>
      <c r="I18" s="470"/>
      <c r="J18" s="445"/>
      <c r="K18" s="443"/>
      <c r="L18" s="446"/>
      <c r="M18" s="445"/>
      <c r="N18" s="443"/>
      <c r="O18" s="445"/>
      <c r="P18" s="339"/>
      <c r="Q18" s="338"/>
      <c r="R18" s="388"/>
      <c r="S18" s="388"/>
    </row>
    <row r="19" spans="1:19" x14ac:dyDescent="0.2">
      <c r="A19" s="454" t="s">
        <v>206</v>
      </c>
      <c r="B19" s="454" t="s">
        <v>504</v>
      </c>
      <c r="C19" s="676" t="s">
        <v>167</v>
      </c>
      <c r="D19" s="677">
        <v>195.94</v>
      </c>
      <c r="E19" s="677">
        <v>12.02</v>
      </c>
      <c r="F19" s="678">
        <v>2355.2000000000003</v>
      </c>
      <c r="G19" s="444">
        <v>195.94</v>
      </c>
      <c r="H19" s="445">
        <f t="shared" ref="H19:H21" si="7">+G19*E19</f>
        <v>2355.1987999999997</v>
      </c>
      <c r="I19" s="470">
        <v>0</v>
      </c>
      <c r="J19" s="445">
        <f t="shared" ref="J19:J21" si="8">+I19*E19</f>
        <v>0</v>
      </c>
      <c r="K19" s="443">
        <f t="shared" ref="K19:K21" si="9">+G19+I19</f>
        <v>195.94</v>
      </c>
      <c r="L19" s="446">
        <f t="shared" ref="L19:L21" si="10">+K19*E19</f>
        <v>2355.1987999999997</v>
      </c>
      <c r="M19" s="445">
        <f t="shared" ref="M19:M21" si="11">+K19*100/D19</f>
        <v>100</v>
      </c>
      <c r="N19" s="443">
        <f t="shared" ref="N19:N21" si="12">+D19-K19</f>
        <v>0</v>
      </c>
      <c r="O19" s="445">
        <f t="shared" ref="O19:O21" si="13">+F19-L19</f>
        <v>1.2000000006082701E-3</v>
      </c>
      <c r="P19" s="339">
        <f>D19*E19-F19</f>
        <v>-1.2000000006082701E-3</v>
      </c>
      <c r="Q19" s="338"/>
      <c r="R19" s="388"/>
      <c r="S19" s="388"/>
    </row>
    <row r="20" spans="1:19" x14ac:dyDescent="0.2">
      <c r="A20" s="454" t="s">
        <v>207</v>
      </c>
      <c r="B20" s="454" t="s">
        <v>405</v>
      </c>
      <c r="C20" s="676" t="s">
        <v>167</v>
      </c>
      <c r="D20" s="677">
        <v>235.13</v>
      </c>
      <c r="E20" s="677">
        <v>24.77</v>
      </c>
      <c r="F20" s="678">
        <v>5824.17</v>
      </c>
      <c r="G20" s="444">
        <v>235.13</v>
      </c>
      <c r="H20" s="445">
        <f t="shared" si="7"/>
        <v>5824.1700999999994</v>
      </c>
      <c r="I20" s="470">
        <v>0</v>
      </c>
      <c r="J20" s="445">
        <f t="shared" si="8"/>
        <v>0</v>
      </c>
      <c r="K20" s="443">
        <f t="shared" si="9"/>
        <v>235.13</v>
      </c>
      <c r="L20" s="446">
        <f t="shared" si="10"/>
        <v>5824.1700999999994</v>
      </c>
      <c r="M20" s="445">
        <f t="shared" si="11"/>
        <v>100</v>
      </c>
      <c r="N20" s="443">
        <f t="shared" si="12"/>
        <v>0</v>
      </c>
      <c r="O20" s="445">
        <f t="shared" si="13"/>
        <v>-9.999999929277692E-5</v>
      </c>
      <c r="P20" s="339">
        <f t="shared" ref="P20:P28" si="14">D20*E20-F20</f>
        <v>9.999999929277692E-5</v>
      </c>
      <c r="Q20" s="338"/>
      <c r="R20" s="388"/>
      <c r="S20" s="388"/>
    </row>
    <row r="21" spans="1:19" x14ac:dyDescent="0.2">
      <c r="A21" s="454" t="s">
        <v>313</v>
      </c>
      <c r="B21" s="454" t="s">
        <v>406</v>
      </c>
      <c r="C21" s="676" t="s">
        <v>167</v>
      </c>
      <c r="D21" s="677">
        <v>195.94</v>
      </c>
      <c r="E21" s="677">
        <v>124.55</v>
      </c>
      <c r="F21" s="678">
        <v>24404.33</v>
      </c>
      <c r="G21" s="444">
        <v>195.94</v>
      </c>
      <c r="H21" s="445">
        <f t="shared" si="7"/>
        <v>24404.326999999997</v>
      </c>
      <c r="I21" s="470">
        <v>0</v>
      </c>
      <c r="J21" s="445">
        <f t="shared" si="8"/>
        <v>0</v>
      </c>
      <c r="K21" s="443">
        <f t="shared" si="9"/>
        <v>195.94</v>
      </c>
      <c r="L21" s="446">
        <f t="shared" si="10"/>
        <v>24404.326999999997</v>
      </c>
      <c r="M21" s="445">
        <f t="shared" si="11"/>
        <v>100</v>
      </c>
      <c r="N21" s="443">
        <f t="shared" si="12"/>
        <v>0</v>
      </c>
      <c r="O21" s="445">
        <f t="shared" si="13"/>
        <v>3.0000000042491592E-3</v>
      </c>
      <c r="P21" s="339">
        <f t="shared" si="14"/>
        <v>-3.0000000042491592E-3</v>
      </c>
      <c r="Q21" s="338"/>
      <c r="R21" s="388"/>
      <c r="S21" s="388"/>
    </row>
    <row r="22" spans="1:19" x14ac:dyDescent="0.2">
      <c r="A22" s="448" t="s">
        <v>166</v>
      </c>
      <c r="B22" s="448" t="s">
        <v>503</v>
      </c>
      <c r="C22" s="676"/>
      <c r="D22" s="677"/>
      <c r="E22" s="677"/>
      <c r="F22" s="678"/>
      <c r="G22" s="444"/>
      <c r="H22" s="445"/>
      <c r="I22" s="470"/>
      <c r="J22" s="445"/>
      <c r="K22" s="443"/>
      <c r="L22" s="446"/>
      <c r="M22" s="445"/>
      <c r="N22" s="443"/>
      <c r="O22" s="445"/>
      <c r="P22" s="339"/>
      <c r="Q22" s="338"/>
      <c r="R22" s="388"/>
      <c r="S22" s="388"/>
    </row>
    <row r="23" spans="1:19" x14ac:dyDescent="0.2">
      <c r="A23" s="454" t="s">
        <v>208</v>
      </c>
      <c r="B23" s="454" t="s">
        <v>407</v>
      </c>
      <c r="C23" s="676" t="s">
        <v>167</v>
      </c>
      <c r="D23" s="677">
        <v>74.739999999999995</v>
      </c>
      <c r="E23" s="677">
        <v>42.92</v>
      </c>
      <c r="F23" s="678">
        <v>3207.84</v>
      </c>
      <c r="G23" s="444">
        <v>74.739999999999995</v>
      </c>
      <c r="H23" s="445">
        <f t="shared" ref="H23:H28" si="15">+G23*E23</f>
        <v>3207.8407999999999</v>
      </c>
      <c r="I23" s="470">
        <v>0</v>
      </c>
      <c r="J23" s="445">
        <f t="shared" ref="J23:J28" si="16">+I23*E23</f>
        <v>0</v>
      </c>
      <c r="K23" s="443">
        <f t="shared" ref="K23:K28" si="17">+G23+I23</f>
        <v>74.739999999999995</v>
      </c>
      <c r="L23" s="446">
        <f t="shared" ref="L23:L28" si="18">+K23*E23</f>
        <v>3207.8407999999999</v>
      </c>
      <c r="M23" s="445">
        <f t="shared" ref="M23:M28" si="19">+K23*100/D23</f>
        <v>100</v>
      </c>
      <c r="N23" s="443">
        <f t="shared" ref="N23:N28" si="20">+D23-K23</f>
        <v>0</v>
      </c>
      <c r="O23" s="445">
        <f t="shared" ref="O23:O28" si="21">+F23-L23</f>
        <v>-7.9999999979918357E-4</v>
      </c>
      <c r="P23" s="339">
        <f t="shared" si="14"/>
        <v>7.9999999979918357E-4</v>
      </c>
      <c r="Q23" s="338"/>
      <c r="R23" s="388"/>
      <c r="S23" s="388"/>
    </row>
    <row r="24" spans="1:19" x14ac:dyDescent="0.2">
      <c r="A24" s="454" t="s">
        <v>315</v>
      </c>
      <c r="B24" s="454" t="s">
        <v>405</v>
      </c>
      <c r="C24" s="676" t="s">
        <v>167</v>
      </c>
      <c r="D24" s="677">
        <v>89.68</v>
      </c>
      <c r="E24" s="677">
        <v>24.77</v>
      </c>
      <c r="F24" s="678">
        <v>2221.37</v>
      </c>
      <c r="G24" s="444">
        <v>89.68</v>
      </c>
      <c r="H24" s="445">
        <f t="shared" si="15"/>
        <v>2221.3736000000004</v>
      </c>
      <c r="I24" s="470">
        <v>0</v>
      </c>
      <c r="J24" s="445">
        <f t="shared" si="16"/>
        <v>0</v>
      </c>
      <c r="K24" s="443">
        <f t="shared" si="17"/>
        <v>89.68</v>
      </c>
      <c r="L24" s="446">
        <f t="shared" si="18"/>
        <v>2221.3736000000004</v>
      </c>
      <c r="M24" s="445">
        <f t="shared" si="19"/>
        <v>99.999999999999986</v>
      </c>
      <c r="N24" s="443">
        <f t="shared" si="20"/>
        <v>0</v>
      </c>
      <c r="O24" s="445">
        <f t="shared" si="21"/>
        <v>-3.6000000004605681E-3</v>
      </c>
      <c r="P24" s="339">
        <f t="shared" si="14"/>
        <v>3.6000000004605681E-3</v>
      </c>
      <c r="Q24" s="338"/>
      <c r="R24" s="388"/>
      <c r="S24" s="388"/>
    </row>
    <row r="25" spans="1:19" x14ac:dyDescent="0.2">
      <c r="A25" s="454" t="s">
        <v>316</v>
      </c>
      <c r="B25" s="454" t="s">
        <v>408</v>
      </c>
      <c r="C25" s="676" t="s">
        <v>167</v>
      </c>
      <c r="D25" s="677">
        <v>32.22</v>
      </c>
      <c r="E25" s="677">
        <v>78.7</v>
      </c>
      <c r="F25" s="678">
        <v>2535.71</v>
      </c>
      <c r="G25" s="444">
        <v>32.22</v>
      </c>
      <c r="H25" s="445">
        <f t="shared" si="15"/>
        <v>2535.7139999999999</v>
      </c>
      <c r="I25" s="470">
        <v>0</v>
      </c>
      <c r="J25" s="445">
        <f t="shared" si="16"/>
        <v>0</v>
      </c>
      <c r="K25" s="443">
        <f t="shared" si="17"/>
        <v>32.22</v>
      </c>
      <c r="L25" s="446">
        <f t="shared" si="18"/>
        <v>2535.7139999999999</v>
      </c>
      <c r="M25" s="445">
        <f t="shared" si="19"/>
        <v>100</v>
      </c>
      <c r="N25" s="443">
        <f t="shared" si="20"/>
        <v>0</v>
      </c>
      <c r="O25" s="445">
        <f t="shared" si="21"/>
        <v>-3.9999999999054126E-3</v>
      </c>
      <c r="P25" s="339">
        <f t="shared" si="14"/>
        <v>3.9999999999054126E-3</v>
      </c>
      <c r="Q25" s="338"/>
      <c r="R25" s="388"/>
      <c r="S25" s="388"/>
    </row>
    <row r="26" spans="1:19" x14ac:dyDescent="0.2">
      <c r="A26" s="454" t="s">
        <v>317</v>
      </c>
      <c r="B26" s="454" t="s">
        <v>505</v>
      </c>
      <c r="C26" s="676" t="s">
        <v>167</v>
      </c>
      <c r="D26" s="677">
        <v>25.44</v>
      </c>
      <c r="E26" s="677">
        <v>460.2</v>
      </c>
      <c r="F26" s="678">
        <v>11707.49</v>
      </c>
      <c r="G26" s="444">
        <v>25.44</v>
      </c>
      <c r="H26" s="445">
        <f t="shared" si="15"/>
        <v>11707.488000000001</v>
      </c>
      <c r="I26" s="470">
        <v>0</v>
      </c>
      <c r="J26" s="445">
        <f t="shared" si="16"/>
        <v>0</v>
      </c>
      <c r="K26" s="443">
        <f t="shared" si="17"/>
        <v>25.44</v>
      </c>
      <c r="L26" s="446">
        <f t="shared" si="18"/>
        <v>11707.488000000001</v>
      </c>
      <c r="M26" s="445">
        <f t="shared" si="19"/>
        <v>100</v>
      </c>
      <c r="N26" s="443">
        <f t="shared" si="20"/>
        <v>0</v>
      </c>
      <c r="O26" s="445">
        <f t="shared" si="21"/>
        <v>1.9999999985884642E-3</v>
      </c>
      <c r="P26" s="339">
        <f t="shared" si="14"/>
        <v>-1.9999999985884642E-3</v>
      </c>
      <c r="Q26" s="338"/>
      <c r="R26" s="388"/>
      <c r="S26" s="388"/>
    </row>
    <row r="27" spans="1:19" s="630" customFormat="1" x14ac:dyDescent="0.2">
      <c r="A27" s="454" t="s">
        <v>318</v>
      </c>
      <c r="B27" s="454" t="s">
        <v>409</v>
      </c>
      <c r="C27" s="676" t="s">
        <v>168</v>
      </c>
      <c r="D27" s="677">
        <v>169.59</v>
      </c>
      <c r="E27" s="677">
        <v>2.66</v>
      </c>
      <c r="F27" s="678">
        <v>451.11</v>
      </c>
      <c r="G27" s="444">
        <v>169.59</v>
      </c>
      <c r="H27" s="445">
        <f t="shared" si="15"/>
        <v>451.10940000000005</v>
      </c>
      <c r="I27" s="470">
        <v>0</v>
      </c>
      <c r="J27" s="445">
        <f t="shared" si="16"/>
        <v>0</v>
      </c>
      <c r="K27" s="443">
        <f t="shared" si="17"/>
        <v>169.59</v>
      </c>
      <c r="L27" s="446">
        <f t="shared" si="18"/>
        <v>451.10940000000005</v>
      </c>
      <c r="M27" s="445">
        <f t="shared" si="19"/>
        <v>100</v>
      </c>
      <c r="N27" s="443">
        <f t="shared" si="20"/>
        <v>0</v>
      </c>
      <c r="O27" s="445">
        <f t="shared" si="21"/>
        <v>5.9999999996307452E-4</v>
      </c>
      <c r="P27" s="339">
        <f t="shared" si="14"/>
        <v>-5.9999999996307452E-4</v>
      </c>
      <c r="Q27" s="211"/>
      <c r="R27" s="388"/>
      <c r="S27" s="388"/>
    </row>
    <row r="28" spans="1:19" s="630" customFormat="1" x14ac:dyDescent="0.2">
      <c r="A28" s="454" t="s">
        <v>319</v>
      </c>
      <c r="B28" s="454" t="s">
        <v>506</v>
      </c>
      <c r="C28" s="676" t="s">
        <v>99</v>
      </c>
      <c r="D28" s="677">
        <v>81.52</v>
      </c>
      <c r="E28" s="677">
        <v>9.34</v>
      </c>
      <c r="F28" s="678">
        <v>761.4</v>
      </c>
      <c r="G28" s="444">
        <v>81.52</v>
      </c>
      <c r="H28" s="445">
        <f t="shared" si="15"/>
        <v>761.39679999999998</v>
      </c>
      <c r="I28" s="470">
        <v>0</v>
      </c>
      <c r="J28" s="445">
        <f t="shared" si="16"/>
        <v>0</v>
      </c>
      <c r="K28" s="443">
        <f t="shared" si="17"/>
        <v>81.52</v>
      </c>
      <c r="L28" s="446">
        <f t="shared" si="18"/>
        <v>761.39679999999998</v>
      </c>
      <c r="M28" s="445">
        <f t="shared" si="19"/>
        <v>100</v>
      </c>
      <c r="N28" s="443">
        <f t="shared" si="20"/>
        <v>0</v>
      </c>
      <c r="O28" s="445">
        <f t="shared" si="21"/>
        <v>3.1999999999925421E-3</v>
      </c>
      <c r="P28" s="339">
        <f t="shared" si="14"/>
        <v>-3.1999999999925421E-3</v>
      </c>
      <c r="Q28" s="211"/>
      <c r="R28" s="388"/>
      <c r="S28" s="388"/>
    </row>
    <row r="29" spans="1:19" x14ac:dyDescent="0.2">
      <c r="A29" s="453" t="s">
        <v>183</v>
      </c>
      <c r="B29" s="453" t="s">
        <v>410</v>
      </c>
      <c r="C29" s="676"/>
      <c r="D29" s="677"/>
      <c r="E29" s="677"/>
      <c r="F29" s="678"/>
      <c r="G29" s="444"/>
      <c r="H29" s="445"/>
      <c r="I29" s="470"/>
      <c r="J29" s="445"/>
      <c r="K29" s="443"/>
      <c r="L29" s="446"/>
      <c r="M29" s="445"/>
      <c r="N29" s="443"/>
      <c r="O29" s="445"/>
      <c r="P29" s="339"/>
      <c r="Q29" s="338"/>
      <c r="R29" s="388"/>
      <c r="S29" s="388"/>
    </row>
    <row r="30" spans="1:19" x14ac:dyDescent="0.2">
      <c r="A30" s="448" t="s">
        <v>184</v>
      </c>
      <c r="B30" s="448" t="s">
        <v>411</v>
      </c>
      <c r="C30" s="676"/>
      <c r="D30" s="677"/>
      <c r="E30" s="677"/>
      <c r="F30" s="678"/>
      <c r="G30" s="444"/>
      <c r="H30" s="445"/>
      <c r="I30" s="470"/>
      <c r="J30" s="445"/>
      <c r="K30" s="443"/>
      <c r="L30" s="446"/>
      <c r="M30" s="445"/>
      <c r="N30" s="443"/>
      <c r="O30" s="445"/>
      <c r="P30" s="339"/>
      <c r="Q30" s="338"/>
      <c r="R30" s="388"/>
      <c r="S30" s="388"/>
    </row>
    <row r="31" spans="1:19" x14ac:dyDescent="0.2">
      <c r="A31" s="454" t="s">
        <v>209</v>
      </c>
      <c r="B31" s="454" t="s">
        <v>412</v>
      </c>
      <c r="C31" s="676" t="s">
        <v>221</v>
      </c>
      <c r="D31" s="677">
        <v>42</v>
      </c>
      <c r="E31" s="677">
        <v>16.72</v>
      </c>
      <c r="F31" s="678">
        <v>702.24</v>
      </c>
      <c r="G31" s="444">
        <v>42</v>
      </c>
      <c r="H31" s="445">
        <f t="shared" ref="H31" si="22">+G31*E31</f>
        <v>702.24</v>
      </c>
      <c r="I31" s="470">
        <v>0</v>
      </c>
      <c r="J31" s="445">
        <f t="shared" ref="J31" si="23">+I31*E31</f>
        <v>0</v>
      </c>
      <c r="K31" s="443">
        <f t="shared" ref="K31" si="24">+G31+I31</f>
        <v>42</v>
      </c>
      <c r="L31" s="446">
        <f t="shared" ref="L31" si="25">+K31*E31</f>
        <v>702.24</v>
      </c>
      <c r="M31" s="445">
        <f t="shared" ref="M31" si="26">+K31*100/D31</f>
        <v>100</v>
      </c>
      <c r="N31" s="443">
        <f t="shared" ref="N31" si="27">+D31-K31</f>
        <v>0</v>
      </c>
      <c r="O31" s="445">
        <f t="shared" ref="O31" si="28">+F31-L31</f>
        <v>0</v>
      </c>
      <c r="P31" s="339">
        <f t="shared" ref="P31" si="29">D31*E31-F31</f>
        <v>0</v>
      </c>
      <c r="Q31" s="338"/>
      <c r="R31" s="388"/>
      <c r="S31" s="388"/>
    </row>
    <row r="32" spans="1:19" x14ac:dyDescent="0.2">
      <c r="A32" s="448" t="s">
        <v>185</v>
      </c>
      <c r="B32" s="448" t="s">
        <v>413</v>
      </c>
      <c r="C32" s="676"/>
      <c r="D32" s="677"/>
      <c r="E32" s="677"/>
      <c r="F32" s="678"/>
      <c r="G32" s="444"/>
      <c r="H32" s="445"/>
      <c r="I32" s="470"/>
      <c r="J32" s="445"/>
      <c r="K32" s="443"/>
      <c r="L32" s="446"/>
      <c r="M32" s="445"/>
      <c r="N32" s="443"/>
      <c r="O32" s="445"/>
      <c r="P32" s="339"/>
      <c r="Q32" s="338"/>
      <c r="R32" s="388"/>
      <c r="S32" s="388"/>
    </row>
    <row r="33" spans="1:20" x14ac:dyDescent="0.2">
      <c r="A33" s="454" t="s">
        <v>210</v>
      </c>
      <c r="B33" s="454" t="s">
        <v>414</v>
      </c>
      <c r="C33" s="676" t="s">
        <v>277</v>
      </c>
      <c r="D33" s="677">
        <v>1</v>
      </c>
      <c r="E33" s="677">
        <v>9487.5400000000009</v>
      </c>
      <c r="F33" s="678">
        <v>9487.5400000000009</v>
      </c>
      <c r="G33" s="444">
        <v>1</v>
      </c>
      <c r="H33" s="445">
        <f t="shared" ref="H33" si="30">+G33*E33</f>
        <v>9487.5400000000009</v>
      </c>
      <c r="I33" s="470">
        <v>0</v>
      </c>
      <c r="J33" s="445">
        <f t="shared" ref="J33" si="31">+I33*E33</f>
        <v>0</v>
      </c>
      <c r="K33" s="443">
        <f t="shared" ref="K33" si="32">+G33+I33</f>
        <v>1</v>
      </c>
      <c r="L33" s="446">
        <f t="shared" ref="L33" si="33">+K33*E33</f>
        <v>9487.5400000000009</v>
      </c>
      <c r="M33" s="445">
        <f t="shared" ref="M33" si="34">+K33*100/D33</f>
        <v>100</v>
      </c>
      <c r="N33" s="443">
        <f t="shared" ref="N33" si="35">+D33-K33</f>
        <v>0</v>
      </c>
      <c r="O33" s="445">
        <f t="shared" ref="O33" si="36">+F33-L33</f>
        <v>0</v>
      </c>
      <c r="P33" s="339">
        <f t="shared" ref="P33" si="37">D33*E33-F33</f>
        <v>0</v>
      </c>
      <c r="Q33" s="338"/>
      <c r="R33" s="388"/>
      <c r="S33" s="388"/>
    </row>
    <row r="34" spans="1:20" x14ac:dyDescent="0.2">
      <c r="A34" s="448" t="s">
        <v>186</v>
      </c>
      <c r="B34" s="448" t="s">
        <v>415</v>
      </c>
      <c r="C34" s="676"/>
      <c r="D34" s="677"/>
      <c r="E34" s="677"/>
      <c r="F34" s="678"/>
      <c r="G34" s="444"/>
      <c r="H34" s="445"/>
      <c r="I34" s="470"/>
      <c r="J34" s="445"/>
      <c r="K34" s="443"/>
      <c r="L34" s="446"/>
      <c r="M34" s="445"/>
      <c r="N34" s="443"/>
      <c r="O34" s="445"/>
      <c r="P34" s="339"/>
      <c r="Q34" s="338"/>
      <c r="R34" s="388"/>
      <c r="S34" s="388"/>
    </row>
    <row r="35" spans="1:20" x14ac:dyDescent="0.2">
      <c r="A35" s="717" t="s">
        <v>211</v>
      </c>
      <c r="B35" s="717" t="s">
        <v>416</v>
      </c>
      <c r="C35" s="676"/>
      <c r="D35" s="677"/>
      <c r="E35" s="677"/>
      <c r="F35" s="678"/>
      <c r="G35" s="444"/>
      <c r="H35" s="445"/>
      <c r="I35" s="470"/>
      <c r="J35" s="445"/>
      <c r="K35" s="443"/>
      <c r="L35" s="446"/>
      <c r="M35" s="445"/>
      <c r="N35" s="443"/>
      <c r="O35" s="445"/>
      <c r="P35" s="339"/>
      <c r="Q35" s="338"/>
      <c r="R35" s="388"/>
      <c r="S35" s="388"/>
    </row>
    <row r="36" spans="1:20" s="702" customFormat="1" x14ac:dyDescent="0.2">
      <c r="A36" s="454" t="s">
        <v>266</v>
      </c>
      <c r="B36" s="454" t="s">
        <v>417</v>
      </c>
      <c r="C36" s="676" t="s">
        <v>168</v>
      </c>
      <c r="D36" s="677">
        <v>29.75</v>
      </c>
      <c r="E36" s="677">
        <v>101.72</v>
      </c>
      <c r="F36" s="678">
        <v>3026.17</v>
      </c>
      <c r="G36" s="444">
        <v>29.75</v>
      </c>
      <c r="H36" s="445">
        <f t="shared" ref="H36" si="38">+G36*E36</f>
        <v>3026.17</v>
      </c>
      <c r="I36" s="470">
        <v>0</v>
      </c>
      <c r="J36" s="445">
        <f t="shared" ref="J36" si="39">+I36*E36</f>
        <v>0</v>
      </c>
      <c r="K36" s="443">
        <f t="shared" ref="K36" si="40">+G36+I36</f>
        <v>29.75</v>
      </c>
      <c r="L36" s="446">
        <f t="shared" ref="L36" si="41">+K36*E36</f>
        <v>3026.17</v>
      </c>
      <c r="M36" s="445">
        <f t="shared" ref="M36" si="42">+K36*100/D36</f>
        <v>100</v>
      </c>
      <c r="N36" s="443">
        <f t="shared" ref="N36" si="43">+D36-K36</f>
        <v>0</v>
      </c>
      <c r="O36" s="445">
        <f t="shared" ref="O36" si="44">+F36-L36</f>
        <v>0</v>
      </c>
      <c r="P36" s="339">
        <f t="shared" ref="P36" si="45">D36*E36-F36</f>
        <v>0</v>
      </c>
      <c r="Q36" s="700"/>
      <c r="R36" s="701"/>
      <c r="S36" s="701"/>
    </row>
    <row r="37" spans="1:20" s="702" customFormat="1" x14ac:dyDescent="0.2">
      <c r="A37" s="717" t="s">
        <v>212</v>
      </c>
      <c r="B37" s="717" t="s">
        <v>418</v>
      </c>
      <c r="C37" s="676"/>
      <c r="D37" s="677"/>
      <c r="E37" s="677"/>
      <c r="F37" s="678"/>
      <c r="G37" s="444"/>
      <c r="H37" s="445"/>
      <c r="I37" s="470"/>
      <c r="J37" s="445"/>
      <c r="K37" s="443"/>
      <c r="L37" s="446"/>
      <c r="M37" s="445"/>
      <c r="N37" s="443"/>
      <c r="O37" s="445"/>
      <c r="P37" s="699"/>
      <c r="Q37" s="700"/>
      <c r="R37" s="701"/>
      <c r="S37" s="701"/>
    </row>
    <row r="38" spans="1:20" s="702" customFormat="1" x14ac:dyDescent="0.2">
      <c r="A38" s="454" t="s">
        <v>267</v>
      </c>
      <c r="B38" s="454" t="s">
        <v>507</v>
      </c>
      <c r="C38" s="676" t="s">
        <v>168</v>
      </c>
      <c r="D38" s="677">
        <v>88</v>
      </c>
      <c r="E38" s="677">
        <v>73.69</v>
      </c>
      <c r="F38" s="678">
        <v>6484.72</v>
      </c>
      <c r="G38" s="444">
        <v>88</v>
      </c>
      <c r="H38" s="445">
        <f t="shared" ref="H38" si="46">+G38*E38</f>
        <v>6484.7199999999993</v>
      </c>
      <c r="I38" s="470">
        <v>0</v>
      </c>
      <c r="J38" s="445">
        <f t="shared" ref="J38" si="47">+I38*E38</f>
        <v>0</v>
      </c>
      <c r="K38" s="443">
        <f t="shared" ref="K38" si="48">+G38+I38</f>
        <v>88</v>
      </c>
      <c r="L38" s="446">
        <f t="shared" ref="L38" si="49">+K38*E38</f>
        <v>6484.7199999999993</v>
      </c>
      <c r="M38" s="445">
        <f t="shared" ref="M38" si="50">+K38*100/D38</f>
        <v>100</v>
      </c>
      <c r="N38" s="443">
        <f t="shared" ref="N38" si="51">+D38-K38</f>
        <v>0</v>
      </c>
      <c r="O38" s="445">
        <f t="shared" ref="O38" si="52">+F38-L38</f>
        <v>0</v>
      </c>
      <c r="P38" s="339">
        <f t="shared" ref="P38" si="53">D38*E38-F38</f>
        <v>0</v>
      </c>
      <c r="Q38" s="700"/>
      <c r="R38" s="701"/>
      <c r="S38" s="701"/>
    </row>
    <row r="39" spans="1:20" x14ac:dyDescent="0.2">
      <c r="A39" s="448" t="s">
        <v>187</v>
      </c>
      <c r="B39" s="448" t="s">
        <v>419</v>
      </c>
      <c r="C39" s="676"/>
      <c r="D39" s="677"/>
      <c r="E39" s="677"/>
      <c r="F39" s="678"/>
      <c r="G39" s="444"/>
      <c r="H39" s="445"/>
      <c r="I39" s="470"/>
      <c r="J39" s="445"/>
      <c r="K39" s="443"/>
      <c r="L39" s="446"/>
      <c r="M39" s="445"/>
      <c r="N39" s="443"/>
      <c r="O39" s="445"/>
      <c r="P39" s="339"/>
      <c r="Q39" s="338"/>
      <c r="R39" s="388"/>
      <c r="S39" s="388"/>
    </row>
    <row r="40" spans="1:20" s="382" customFormat="1" x14ac:dyDescent="0.2">
      <c r="A40" s="717" t="s">
        <v>214</v>
      </c>
      <c r="B40" s="717" t="s">
        <v>420</v>
      </c>
      <c r="C40" s="676"/>
      <c r="D40" s="677"/>
      <c r="E40" s="677"/>
      <c r="F40" s="678"/>
      <c r="G40" s="444"/>
      <c r="H40" s="445"/>
      <c r="I40" s="470"/>
      <c r="J40" s="445"/>
      <c r="K40" s="443"/>
      <c r="L40" s="446"/>
      <c r="M40" s="445"/>
      <c r="N40" s="443"/>
      <c r="O40" s="445"/>
      <c r="P40" s="380"/>
      <c r="Q40" s="381"/>
      <c r="R40" s="388"/>
      <c r="S40" s="388"/>
    </row>
    <row r="41" spans="1:20" ht="10.8" x14ac:dyDescent="0.2">
      <c r="A41" s="454" t="s">
        <v>268</v>
      </c>
      <c r="B41" s="909" t="s">
        <v>421</v>
      </c>
      <c r="C41" s="676" t="s">
        <v>168</v>
      </c>
      <c r="D41" s="677">
        <v>72.25</v>
      </c>
      <c r="E41" s="677">
        <v>84.29</v>
      </c>
      <c r="F41" s="678">
        <v>6089.95</v>
      </c>
      <c r="G41" s="444">
        <v>72.25</v>
      </c>
      <c r="H41" s="445">
        <f t="shared" ref="H41" si="54">+G41*E41</f>
        <v>6089.9525000000003</v>
      </c>
      <c r="I41" s="470">
        <v>0</v>
      </c>
      <c r="J41" s="445">
        <f t="shared" ref="J41" si="55">+I41*E41</f>
        <v>0</v>
      </c>
      <c r="K41" s="443">
        <f t="shared" ref="K41" si="56">+G41+I41</f>
        <v>72.25</v>
      </c>
      <c r="L41" s="446">
        <f t="shared" ref="L41" si="57">+K41*E41</f>
        <v>6089.9525000000003</v>
      </c>
      <c r="M41" s="445">
        <f t="shared" ref="M41" si="58">+K41*100/D41</f>
        <v>100</v>
      </c>
      <c r="N41" s="443">
        <f t="shared" ref="N41" si="59">+D41-K41</f>
        <v>0</v>
      </c>
      <c r="O41" s="445">
        <f t="shared" ref="O41" si="60">+F41-L41</f>
        <v>-2.500000000509317E-3</v>
      </c>
      <c r="P41" s="339">
        <f t="shared" ref="P41" si="61">D41*E41-F41</f>
        <v>2.500000000509317E-3</v>
      </c>
      <c r="Q41" s="338"/>
      <c r="R41" s="388"/>
      <c r="S41" s="388"/>
    </row>
    <row r="42" spans="1:20" x14ac:dyDescent="0.2">
      <c r="A42" s="448" t="s">
        <v>188</v>
      </c>
      <c r="B42" s="448" t="s">
        <v>422</v>
      </c>
      <c r="C42" s="676"/>
      <c r="D42" s="677"/>
      <c r="E42" s="677"/>
      <c r="F42" s="678"/>
      <c r="G42" s="444"/>
      <c r="H42" s="445"/>
      <c r="I42" s="470"/>
      <c r="J42" s="445"/>
      <c r="K42" s="443"/>
      <c r="L42" s="446"/>
      <c r="M42" s="445"/>
      <c r="N42" s="443"/>
      <c r="O42" s="445"/>
      <c r="P42" s="339"/>
      <c r="Q42" s="338"/>
      <c r="R42" s="388"/>
      <c r="S42" s="388"/>
    </row>
    <row r="43" spans="1:20" s="382" customFormat="1" x14ac:dyDescent="0.2">
      <c r="A43" s="717" t="s">
        <v>220</v>
      </c>
      <c r="B43" s="717" t="s">
        <v>423</v>
      </c>
      <c r="C43" s="676"/>
      <c r="D43" s="677"/>
      <c r="E43" s="677"/>
      <c r="F43" s="678"/>
      <c r="G43" s="444"/>
      <c r="H43" s="445"/>
      <c r="I43" s="470"/>
      <c r="J43" s="445"/>
      <c r="K43" s="443"/>
      <c r="L43" s="446"/>
      <c r="M43" s="445"/>
      <c r="N43" s="443"/>
      <c r="O43" s="445"/>
      <c r="P43" s="380"/>
      <c r="Q43" s="381"/>
      <c r="R43" s="388"/>
      <c r="S43" s="388"/>
    </row>
    <row r="44" spans="1:20" ht="10.8" x14ac:dyDescent="0.2">
      <c r="A44" s="454" t="s">
        <v>509</v>
      </c>
      <c r="B44" s="909" t="s">
        <v>508</v>
      </c>
      <c r="C44" s="676" t="s">
        <v>168</v>
      </c>
      <c r="D44" s="677">
        <v>41.42</v>
      </c>
      <c r="E44" s="677">
        <v>386.71000000000004</v>
      </c>
      <c r="F44" s="678">
        <v>16017.53</v>
      </c>
      <c r="G44" s="444">
        <v>41.42</v>
      </c>
      <c r="H44" s="445">
        <f t="shared" ref="H44" si="62">+G44*E44</f>
        <v>16017.528200000002</v>
      </c>
      <c r="I44" s="470">
        <v>0</v>
      </c>
      <c r="J44" s="445">
        <f t="shared" ref="J44" si="63">+I44*E44</f>
        <v>0</v>
      </c>
      <c r="K44" s="443">
        <f t="shared" ref="K44" si="64">+G44+I44</f>
        <v>41.42</v>
      </c>
      <c r="L44" s="446">
        <f t="shared" ref="L44" si="65">+K44*E44</f>
        <v>16017.528200000002</v>
      </c>
      <c r="M44" s="445">
        <f t="shared" ref="M44" si="66">+K44*100/D44</f>
        <v>100</v>
      </c>
      <c r="N44" s="443">
        <f t="shared" ref="N44" si="67">+D44-K44</f>
        <v>0</v>
      </c>
      <c r="O44" s="445">
        <f t="shared" ref="O44" si="68">+F44-L44</f>
        <v>1.799999998183921E-3</v>
      </c>
      <c r="P44" s="339">
        <f t="shared" ref="P44" si="69">D44*E44-F44</f>
        <v>-1.799999998183921E-3</v>
      </c>
      <c r="Q44" s="338"/>
      <c r="R44" s="388"/>
      <c r="S44" s="388"/>
    </row>
    <row r="45" spans="1:20" x14ac:dyDescent="0.2">
      <c r="A45" s="448" t="s">
        <v>309</v>
      </c>
      <c r="B45" s="448" t="s">
        <v>424</v>
      </c>
      <c r="C45" s="676"/>
      <c r="D45" s="677"/>
      <c r="E45" s="677"/>
      <c r="F45" s="678"/>
      <c r="G45" s="444"/>
      <c r="H45" s="445"/>
      <c r="I45" s="470"/>
      <c r="J45" s="445"/>
      <c r="K45" s="443"/>
      <c r="L45" s="446"/>
      <c r="M45" s="445"/>
      <c r="N45" s="443"/>
      <c r="O45" s="445"/>
      <c r="P45" s="339"/>
      <c r="Q45" s="338"/>
      <c r="R45" s="388"/>
      <c r="S45" s="388"/>
      <c r="T45" s="382"/>
    </row>
    <row r="46" spans="1:20" x14ac:dyDescent="0.2">
      <c r="A46" s="717" t="s">
        <v>320</v>
      </c>
      <c r="B46" s="717" t="s">
        <v>425</v>
      </c>
      <c r="C46" s="676"/>
      <c r="D46" s="677"/>
      <c r="E46" s="677"/>
      <c r="F46" s="678"/>
      <c r="G46" s="444"/>
      <c r="H46" s="445"/>
      <c r="I46" s="470"/>
      <c r="J46" s="445"/>
      <c r="K46" s="443"/>
      <c r="L46" s="446"/>
      <c r="M46" s="445"/>
      <c r="N46" s="443"/>
      <c r="O46" s="445"/>
      <c r="P46" s="339"/>
      <c r="Q46" s="338"/>
      <c r="R46" s="388"/>
      <c r="S46" s="388"/>
    </row>
    <row r="47" spans="1:20" s="382" customFormat="1" x14ac:dyDescent="0.2">
      <c r="A47" s="454" t="s">
        <v>338</v>
      </c>
      <c r="B47" s="454" t="s">
        <v>510</v>
      </c>
      <c r="C47" s="676" t="s">
        <v>168</v>
      </c>
      <c r="D47" s="677">
        <v>41.54</v>
      </c>
      <c r="E47" s="677">
        <v>191.07</v>
      </c>
      <c r="F47" s="678">
        <v>7937.05</v>
      </c>
      <c r="G47" s="444">
        <v>41.54</v>
      </c>
      <c r="H47" s="445">
        <f t="shared" ref="H47" si="70">+G47*E47</f>
        <v>7937.0477999999994</v>
      </c>
      <c r="I47" s="470">
        <v>0</v>
      </c>
      <c r="J47" s="445">
        <f t="shared" ref="J47" si="71">+I47*E47</f>
        <v>0</v>
      </c>
      <c r="K47" s="443">
        <f t="shared" ref="K47" si="72">+G47+I47</f>
        <v>41.54</v>
      </c>
      <c r="L47" s="446">
        <f t="shared" ref="L47" si="73">+K47*E47</f>
        <v>7937.0477999999994</v>
      </c>
      <c r="M47" s="445">
        <f t="shared" ref="M47" si="74">+K47*100/D47</f>
        <v>100</v>
      </c>
      <c r="N47" s="443">
        <f t="shared" ref="N47" si="75">+D47-K47</f>
        <v>0</v>
      </c>
      <c r="O47" s="445">
        <f t="shared" ref="O47" si="76">+F47-L47</f>
        <v>2.2000000008119969E-3</v>
      </c>
      <c r="P47" s="339">
        <f t="shared" ref="P47:P49" si="77">D47*E47-F47</f>
        <v>-2.2000000008119969E-3</v>
      </c>
      <c r="Q47" s="381"/>
      <c r="R47" s="388"/>
      <c r="S47" s="388"/>
      <c r="T47" s="197"/>
    </row>
    <row r="48" spans="1:20" x14ac:dyDescent="0.2">
      <c r="A48" s="717" t="s">
        <v>321</v>
      </c>
      <c r="B48" s="910" t="s">
        <v>511</v>
      </c>
      <c r="C48" s="676"/>
      <c r="D48" s="677"/>
      <c r="E48" s="677"/>
      <c r="F48" s="678"/>
      <c r="G48" s="444"/>
      <c r="H48" s="445"/>
      <c r="I48" s="470"/>
      <c r="J48" s="445"/>
      <c r="K48" s="443"/>
      <c r="L48" s="446"/>
      <c r="M48" s="445"/>
      <c r="N48" s="443"/>
      <c r="O48" s="445"/>
      <c r="P48" s="339"/>
      <c r="Q48" s="338"/>
      <c r="R48" s="388"/>
      <c r="S48" s="388"/>
      <c r="T48" s="382"/>
    </row>
    <row r="49" spans="1:20" x14ac:dyDescent="0.2">
      <c r="A49" s="454" t="s">
        <v>339</v>
      </c>
      <c r="B49" s="454" t="s">
        <v>512</v>
      </c>
      <c r="C49" s="676" t="s">
        <v>168</v>
      </c>
      <c r="D49" s="677">
        <v>11.33</v>
      </c>
      <c r="E49" s="677">
        <v>1019.78</v>
      </c>
      <c r="F49" s="678">
        <v>11554.11</v>
      </c>
      <c r="G49" s="444">
        <v>11.33</v>
      </c>
      <c r="H49" s="445">
        <f t="shared" ref="H49" si="78">+G49*E49</f>
        <v>11554.107399999999</v>
      </c>
      <c r="I49" s="470">
        <v>0</v>
      </c>
      <c r="J49" s="445">
        <f t="shared" ref="J49" si="79">+I49*E49</f>
        <v>0</v>
      </c>
      <c r="K49" s="443">
        <f t="shared" ref="K49" si="80">+G49+I49</f>
        <v>11.33</v>
      </c>
      <c r="L49" s="446">
        <f t="shared" ref="L49" si="81">+K49*E49</f>
        <v>11554.107399999999</v>
      </c>
      <c r="M49" s="445">
        <f t="shared" ref="M49" si="82">+K49*100/D49</f>
        <v>100</v>
      </c>
      <c r="N49" s="443">
        <f t="shared" ref="N49" si="83">+D49-K49</f>
        <v>0</v>
      </c>
      <c r="O49" s="445">
        <f t="shared" ref="O49" si="84">+F49-L49</f>
        <v>2.6000000016210834E-3</v>
      </c>
      <c r="P49" s="339">
        <f t="shared" si="77"/>
        <v>-2.6000000016210834E-3</v>
      </c>
      <c r="Q49" s="338"/>
      <c r="R49" s="388"/>
      <c r="S49" s="388"/>
    </row>
    <row r="50" spans="1:20" x14ac:dyDescent="0.2">
      <c r="A50" s="448" t="s">
        <v>310</v>
      </c>
      <c r="B50" s="448" t="s">
        <v>426</v>
      </c>
      <c r="C50" s="676"/>
      <c r="D50" s="677"/>
      <c r="E50" s="677"/>
      <c r="F50" s="678"/>
      <c r="G50" s="444"/>
      <c r="H50" s="445"/>
      <c r="I50" s="470"/>
      <c r="J50" s="445"/>
      <c r="K50" s="443"/>
      <c r="L50" s="446"/>
      <c r="M50" s="445"/>
      <c r="N50" s="443"/>
      <c r="O50" s="445"/>
      <c r="P50" s="339"/>
      <c r="Q50" s="338"/>
      <c r="R50" s="388"/>
      <c r="S50" s="388"/>
    </row>
    <row r="51" spans="1:20" x14ac:dyDescent="0.2">
      <c r="A51" s="717" t="s">
        <v>322</v>
      </c>
      <c r="B51" s="717" t="s">
        <v>427</v>
      </c>
      <c r="C51" s="676"/>
      <c r="D51" s="677"/>
      <c r="E51" s="677"/>
      <c r="F51" s="678"/>
      <c r="G51" s="444"/>
      <c r="H51" s="445"/>
      <c r="I51" s="470"/>
      <c r="J51" s="445"/>
      <c r="K51" s="443"/>
      <c r="L51" s="446"/>
      <c r="M51" s="445"/>
      <c r="N51" s="443"/>
      <c r="O51" s="445"/>
      <c r="P51" s="339"/>
      <c r="Q51" s="338"/>
      <c r="R51" s="388"/>
      <c r="S51" s="388"/>
      <c r="T51" s="382"/>
    </row>
    <row r="52" spans="1:20" s="382" customFormat="1" x14ac:dyDescent="0.2">
      <c r="A52" s="454" t="s">
        <v>340</v>
      </c>
      <c r="B52" s="454" t="s">
        <v>513</v>
      </c>
      <c r="C52" s="676" t="s">
        <v>171</v>
      </c>
      <c r="D52" s="677">
        <v>20</v>
      </c>
      <c r="E52" s="677">
        <v>62.93</v>
      </c>
      <c r="F52" s="678">
        <v>1258.6000000000001</v>
      </c>
      <c r="G52" s="444">
        <v>20</v>
      </c>
      <c r="H52" s="445">
        <f t="shared" ref="H52:H53" si="85">+G52*E52</f>
        <v>1258.5999999999999</v>
      </c>
      <c r="I52" s="470">
        <v>0</v>
      </c>
      <c r="J52" s="445">
        <f t="shared" ref="J52:J53" si="86">+I52*E52</f>
        <v>0</v>
      </c>
      <c r="K52" s="443">
        <f t="shared" ref="K52:K53" si="87">+G52+I52</f>
        <v>20</v>
      </c>
      <c r="L52" s="446">
        <f t="shared" ref="L52:L53" si="88">+K52*E52</f>
        <v>1258.5999999999999</v>
      </c>
      <c r="M52" s="445">
        <f t="shared" ref="M52:M53" si="89">+K52*100/D52</f>
        <v>100</v>
      </c>
      <c r="N52" s="443">
        <f t="shared" ref="N52:N53" si="90">+D52-K52</f>
        <v>0</v>
      </c>
      <c r="O52" s="445">
        <f t="shared" ref="O52:O53" si="91">+F52-L52</f>
        <v>0</v>
      </c>
      <c r="P52" s="339">
        <f t="shared" ref="P52:P117" si="92">D52*E52-F52</f>
        <v>0</v>
      </c>
      <c r="Q52" s="381"/>
      <c r="R52" s="388"/>
      <c r="S52" s="388"/>
    </row>
    <row r="53" spans="1:20" x14ac:dyDescent="0.2">
      <c r="A53" s="454" t="s">
        <v>341</v>
      </c>
      <c r="B53" s="454" t="s">
        <v>514</v>
      </c>
      <c r="C53" s="676" t="s">
        <v>171</v>
      </c>
      <c r="D53" s="677">
        <v>2</v>
      </c>
      <c r="E53" s="677">
        <v>246.49</v>
      </c>
      <c r="F53" s="678">
        <v>492.98</v>
      </c>
      <c r="G53" s="444">
        <v>2</v>
      </c>
      <c r="H53" s="445">
        <f t="shared" si="85"/>
        <v>492.98</v>
      </c>
      <c r="I53" s="470">
        <v>0</v>
      </c>
      <c r="J53" s="445">
        <f t="shared" si="86"/>
        <v>0</v>
      </c>
      <c r="K53" s="443">
        <f t="shared" si="87"/>
        <v>2</v>
      </c>
      <c r="L53" s="446">
        <f t="shared" si="88"/>
        <v>492.98</v>
      </c>
      <c r="M53" s="445">
        <f t="shared" si="89"/>
        <v>100</v>
      </c>
      <c r="N53" s="443">
        <f t="shared" si="90"/>
        <v>0</v>
      </c>
      <c r="O53" s="445">
        <f t="shared" si="91"/>
        <v>0</v>
      </c>
      <c r="P53" s="339">
        <f t="shared" si="92"/>
        <v>0</v>
      </c>
      <c r="Q53" s="338"/>
      <c r="R53" s="388"/>
      <c r="S53" s="388"/>
    </row>
    <row r="54" spans="1:20" x14ac:dyDescent="0.2">
      <c r="A54" s="717" t="s">
        <v>323</v>
      </c>
      <c r="B54" s="717" t="s">
        <v>428</v>
      </c>
      <c r="C54" s="676"/>
      <c r="D54" s="677"/>
      <c r="E54" s="677"/>
      <c r="F54" s="678"/>
      <c r="G54" s="444"/>
      <c r="H54" s="445"/>
      <c r="I54" s="470"/>
      <c r="J54" s="445"/>
      <c r="K54" s="443"/>
      <c r="L54" s="446"/>
      <c r="M54" s="445"/>
      <c r="N54" s="443"/>
      <c r="O54" s="445"/>
      <c r="P54" s="339">
        <f t="shared" si="92"/>
        <v>0</v>
      </c>
      <c r="Q54" s="338"/>
      <c r="R54" s="388"/>
      <c r="S54" s="388"/>
    </row>
    <row r="55" spans="1:20" x14ac:dyDescent="0.2">
      <c r="A55" s="454" t="s">
        <v>342</v>
      </c>
      <c r="B55" s="454" t="s">
        <v>429</v>
      </c>
      <c r="C55" s="676" t="s">
        <v>171</v>
      </c>
      <c r="D55" s="677">
        <v>60</v>
      </c>
      <c r="E55" s="677">
        <v>34.89</v>
      </c>
      <c r="F55" s="678">
        <v>2093.4</v>
      </c>
      <c r="G55" s="444">
        <v>60</v>
      </c>
      <c r="H55" s="445">
        <f t="shared" ref="H55" si="93">+G55*E55</f>
        <v>2093.4</v>
      </c>
      <c r="I55" s="470">
        <v>0</v>
      </c>
      <c r="J55" s="445">
        <f t="shared" ref="J55" si="94">+I55*E55</f>
        <v>0</v>
      </c>
      <c r="K55" s="443">
        <f t="shared" ref="K55" si="95">+G55+I55</f>
        <v>60</v>
      </c>
      <c r="L55" s="446">
        <f t="shared" ref="L55" si="96">+K55*E55</f>
        <v>2093.4</v>
      </c>
      <c r="M55" s="445">
        <f t="shared" ref="M55" si="97">+K55*100/D55</f>
        <v>100</v>
      </c>
      <c r="N55" s="443">
        <f t="shared" ref="N55" si="98">+D55-K55</f>
        <v>0</v>
      </c>
      <c r="O55" s="445">
        <f t="shared" ref="O55" si="99">+F55-L55</f>
        <v>0</v>
      </c>
      <c r="P55" s="339">
        <f t="shared" si="92"/>
        <v>0</v>
      </c>
      <c r="Q55" s="338"/>
      <c r="R55" s="388"/>
      <c r="S55" s="388"/>
    </row>
    <row r="56" spans="1:20" s="382" customFormat="1" x14ac:dyDescent="0.2">
      <c r="A56" s="448" t="s">
        <v>324</v>
      </c>
      <c r="B56" s="448" t="s">
        <v>430</v>
      </c>
      <c r="C56" s="676"/>
      <c r="D56" s="677"/>
      <c r="E56" s="677"/>
      <c r="F56" s="678"/>
      <c r="G56" s="444"/>
      <c r="H56" s="445"/>
      <c r="I56" s="470"/>
      <c r="J56" s="445"/>
      <c r="K56" s="443"/>
      <c r="L56" s="446"/>
      <c r="M56" s="445"/>
      <c r="N56" s="443"/>
      <c r="O56" s="445"/>
      <c r="P56" s="339">
        <f t="shared" si="92"/>
        <v>0</v>
      </c>
      <c r="Q56" s="381"/>
      <c r="R56" s="388"/>
      <c r="S56" s="388"/>
    </row>
    <row r="57" spans="1:20" x14ac:dyDescent="0.2">
      <c r="A57" s="717" t="s">
        <v>325</v>
      </c>
      <c r="B57" s="717" t="s">
        <v>431</v>
      </c>
      <c r="C57" s="676"/>
      <c r="D57" s="677"/>
      <c r="E57" s="677"/>
      <c r="F57" s="678"/>
      <c r="G57" s="444"/>
      <c r="H57" s="445"/>
      <c r="I57" s="470"/>
      <c r="J57" s="445"/>
      <c r="K57" s="443"/>
      <c r="L57" s="446"/>
      <c r="M57" s="445"/>
      <c r="N57" s="443"/>
      <c r="O57" s="445"/>
      <c r="P57" s="339">
        <f t="shared" si="92"/>
        <v>0</v>
      </c>
      <c r="Q57" s="338"/>
      <c r="R57" s="388"/>
      <c r="S57" s="388"/>
    </row>
    <row r="58" spans="1:20" x14ac:dyDescent="0.2">
      <c r="A58" s="454" t="s">
        <v>343</v>
      </c>
      <c r="B58" s="454" t="s">
        <v>515</v>
      </c>
      <c r="C58" s="676" t="s">
        <v>221</v>
      </c>
      <c r="D58" s="677">
        <v>6</v>
      </c>
      <c r="E58" s="677">
        <v>162.99</v>
      </c>
      <c r="F58" s="678">
        <v>977.94</v>
      </c>
      <c r="G58" s="444">
        <v>6</v>
      </c>
      <c r="H58" s="445">
        <f t="shared" ref="H58" si="100">+G58*E58</f>
        <v>977.94</v>
      </c>
      <c r="I58" s="470">
        <v>0</v>
      </c>
      <c r="J58" s="445">
        <f t="shared" ref="J58" si="101">+I58*E58</f>
        <v>0</v>
      </c>
      <c r="K58" s="443">
        <f t="shared" ref="K58" si="102">+G58+I58</f>
        <v>6</v>
      </c>
      <c r="L58" s="446">
        <f t="shared" ref="L58" si="103">+K58*E58</f>
        <v>977.94</v>
      </c>
      <c r="M58" s="445">
        <f t="shared" ref="M58" si="104">+K58*100/D58</f>
        <v>100</v>
      </c>
      <c r="N58" s="443">
        <f t="shared" ref="N58" si="105">+D58-K58</f>
        <v>0</v>
      </c>
      <c r="O58" s="445">
        <f t="shared" ref="O58" si="106">+F58-L58</f>
        <v>0</v>
      </c>
      <c r="P58" s="339">
        <f t="shared" si="92"/>
        <v>0</v>
      </c>
      <c r="Q58" s="338"/>
      <c r="R58" s="388"/>
      <c r="S58" s="388"/>
    </row>
    <row r="59" spans="1:20" x14ac:dyDescent="0.2">
      <c r="A59" s="448" t="s">
        <v>326</v>
      </c>
      <c r="B59" s="448" t="s">
        <v>432</v>
      </c>
      <c r="C59" s="676"/>
      <c r="D59" s="677"/>
      <c r="E59" s="677"/>
      <c r="F59" s="678"/>
      <c r="G59" s="444"/>
      <c r="H59" s="445"/>
      <c r="I59" s="470"/>
      <c r="J59" s="445"/>
      <c r="K59" s="443"/>
      <c r="L59" s="446"/>
      <c r="M59" s="445"/>
      <c r="N59" s="443"/>
      <c r="O59" s="445"/>
      <c r="P59" s="339">
        <f t="shared" si="92"/>
        <v>0</v>
      </c>
      <c r="Q59" s="338"/>
      <c r="R59" s="388"/>
      <c r="S59" s="388"/>
    </row>
    <row r="60" spans="1:20" x14ac:dyDescent="0.2">
      <c r="A60" s="454" t="s">
        <v>327</v>
      </c>
      <c r="B60" s="454" t="s">
        <v>516</v>
      </c>
      <c r="C60" s="676" t="s">
        <v>168</v>
      </c>
      <c r="D60" s="677">
        <v>797.15</v>
      </c>
      <c r="E60" s="677">
        <v>18.510000000000002</v>
      </c>
      <c r="F60" s="678">
        <v>14755.25</v>
      </c>
      <c r="G60" s="444">
        <v>797.15</v>
      </c>
      <c r="H60" s="445">
        <f t="shared" ref="H60:H62" si="107">+G60*E60</f>
        <v>14755.246500000001</v>
      </c>
      <c r="I60" s="470">
        <v>0</v>
      </c>
      <c r="J60" s="445">
        <f t="shared" ref="J60:J62" si="108">+I60*E60</f>
        <v>0</v>
      </c>
      <c r="K60" s="443">
        <f t="shared" ref="K60:K62" si="109">+G60+I60</f>
        <v>797.15</v>
      </c>
      <c r="L60" s="446">
        <f t="shared" ref="L60:L62" si="110">+K60*E60</f>
        <v>14755.246500000001</v>
      </c>
      <c r="M60" s="445">
        <f t="shared" ref="M60:M62" si="111">+K60*100/D60</f>
        <v>100</v>
      </c>
      <c r="N60" s="443">
        <f t="shared" ref="N60:N62" si="112">+D60-K60</f>
        <v>0</v>
      </c>
      <c r="O60" s="445">
        <f t="shared" ref="O60:O62" si="113">+F60-L60</f>
        <v>3.4999999988940544E-3</v>
      </c>
      <c r="P60" s="339">
        <f t="shared" si="92"/>
        <v>-3.4999999988940544E-3</v>
      </c>
      <c r="Q60" s="338"/>
      <c r="R60" s="388"/>
      <c r="S60" s="388"/>
    </row>
    <row r="61" spans="1:20" s="382" customFormat="1" x14ac:dyDescent="0.2">
      <c r="A61" s="454" t="s">
        <v>328</v>
      </c>
      <c r="B61" s="454" t="s">
        <v>517</v>
      </c>
      <c r="C61" s="676" t="s">
        <v>168</v>
      </c>
      <c r="D61" s="677">
        <v>191.76</v>
      </c>
      <c r="E61" s="677">
        <v>18.93</v>
      </c>
      <c r="F61" s="678">
        <v>3630.02</v>
      </c>
      <c r="G61" s="444">
        <v>191.76</v>
      </c>
      <c r="H61" s="445">
        <f t="shared" si="107"/>
        <v>3630.0167999999999</v>
      </c>
      <c r="I61" s="470">
        <v>0</v>
      </c>
      <c r="J61" s="445">
        <f t="shared" si="108"/>
        <v>0</v>
      </c>
      <c r="K61" s="443">
        <f t="shared" si="109"/>
        <v>191.76</v>
      </c>
      <c r="L61" s="446">
        <f t="shared" si="110"/>
        <v>3630.0167999999999</v>
      </c>
      <c r="M61" s="445">
        <f t="shared" si="111"/>
        <v>100</v>
      </c>
      <c r="N61" s="443">
        <f t="shared" si="112"/>
        <v>0</v>
      </c>
      <c r="O61" s="445">
        <f t="shared" si="113"/>
        <v>3.200000000106229E-3</v>
      </c>
      <c r="P61" s="339">
        <f t="shared" si="92"/>
        <v>-3.200000000106229E-3</v>
      </c>
      <c r="Q61" s="381"/>
      <c r="R61" s="388"/>
      <c r="S61" s="388"/>
    </row>
    <row r="62" spans="1:20" x14ac:dyDescent="0.2">
      <c r="A62" s="454" t="s">
        <v>329</v>
      </c>
      <c r="B62" s="454" t="s">
        <v>518</v>
      </c>
      <c r="C62" s="676" t="s">
        <v>168</v>
      </c>
      <c r="D62" s="677">
        <v>421.5</v>
      </c>
      <c r="E62" s="677">
        <v>19.52</v>
      </c>
      <c r="F62" s="678">
        <v>8227.68</v>
      </c>
      <c r="G62" s="444">
        <v>421.5</v>
      </c>
      <c r="H62" s="445">
        <f t="shared" si="107"/>
        <v>8227.68</v>
      </c>
      <c r="I62" s="470">
        <v>0</v>
      </c>
      <c r="J62" s="445">
        <f t="shared" si="108"/>
        <v>0</v>
      </c>
      <c r="K62" s="443">
        <f t="shared" si="109"/>
        <v>421.5</v>
      </c>
      <c r="L62" s="446">
        <f t="shared" si="110"/>
        <v>8227.68</v>
      </c>
      <c r="M62" s="445">
        <f t="shared" si="111"/>
        <v>100</v>
      </c>
      <c r="N62" s="443">
        <f t="shared" si="112"/>
        <v>0</v>
      </c>
      <c r="O62" s="445">
        <f t="shared" si="113"/>
        <v>0</v>
      </c>
      <c r="P62" s="339">
        <f t="shared" si="92"/>
        <v>0</v>
      </c>
      <c r="Q62" s="338"/>
      <c r="R62" s="388"/>
      <c r="S62" s="388"/>
    </row>
    <row r="63" spans="1:20" x14ac:dyDescent="0.2">
      <c r="A63" s="448" t="s">
        <v>330</v>
      </c>
      <c r="B63" s="448" t="s">
        <v>433</v>
      </c>
      <c r="C63" s="676"/>
      <c r="D63" s="677"/>
      <c r="E63" s="677"/>
      <c r="F63" s="678"/>
      <c r="G63" s="444"/>
      <c r="H63" s="445"/>
      <c r="I63" s="470"/>
      <c r="J63" s="445"/>
      <c r="K63" s="443"/>
      <c r="L63" s="446"/>
      <c r="M63" s="445"/>
      <c r="N63" s="443"/>
      <c r="O63" s="445"/>
      <c r="P63" s="339">
        <f t="shared" si="92"/>
        <v>0</v>
      </c>
      <c r="Q63" s="338"/>
      <c r="R63" s="388"/>
      <c r="S63" s="388"/>
    </row>
    <row r="64" spans="1:20" x14ac:dyDescent="0.2">
      <c r="A64" s="454" t="s">
        <v>331</v>
      </c>
      <c r="B64" s="454" t="s">
        <v>434</v>
      </c>
      <c r="C64" s="676" t="s">
        <v>221</v>
      </c>
      <c r="D64" s="677">
        <v>20</v>
      </c>
      <c r="E64" s="677">
        <v>45.9</v>
      </c>
      <c r="F64" s="678">
        <v>918</v>
      </c>
      <c r="G64" s="444">
        <v>20</v>
      </c>
      <c r="H64" s="445">
        <f t="shared" ref="H64:H65" si="114">+G64*E64</f>
        <v>918</v>
      </c>
      <c r="I64" s="470">
        <v>0</v>
      </c>
      <c r="J64" s="445">
        <f t="shared" ref="J64:J65" si="115">+I64*E64</f>
        <v>0</v>
      </c>
      <c r="K64" s="443">
        <f t="shared" ref="K64:K65" si="116">+G64+I64</f>
        <v>20</v>
      </c>
      <c r="L64" s="446">
        <f t="shared" ref="L64:L65" si="117">+K64*E64</f>
        <v>918</v>
      </c>
      <c r="M64" s="445">
        <f t="shared" ref="M64:M65" si="118">+K64*100/D64</f>
        <v>100</v>
      </c>
      <c r="N64" s="443">
        <f t="shared" ref="N64:N65" si="119">+D64-K64</f>
        <v>0</v>
      </c>
      <c r="O64" s="445">
        <f t="shared" ref="O64:O65" si="120">+F64-L64</f>
        <v>0</v>
      </c>
      <c r="P64" s="339">
        <f t="shared" si="92"/>
        <v>0</v>
      </c>
      <c r="Q64" s="338"/>
      <c r="R64" s="388"/>
      <c r="S64" s="388"/>
    </row>
    <row r="65" spans="1:19" x14ac:dyDescent="0.2">
      <c r="A65" s="454" t="s">
        <v>332</v>
      </c>
      <c r="B65" s="454" t="s">
        <v>435</v>
      </c>
      <c r="C65" s="676" t="s">
        <v>221</v>
      </c>
      <c r="D65" s="677">
        <v>8</v>
      </c>
      <c r="E65" s="677">
        <v>111.12</v>
      </c>
      <c r="F65" s="678">
        <v>888.96</v>
      </c>
      <c r="G65" s="444">
        <v>8</v>
      </c>
      <c r="H65" s="445">
        <f t="shared" si="114"/>
        <v>888.96</v>
      </c>
      <c r="I65" s="470">
        <v>0</v>
      </c>
      <c r="J65" s="445">
        <f t="shared" si="115"/>
        <v>0</v>
      </c>
      <c r="K65" s="443">
        <f t="shared" si="116"/>
        <v>8</v>
      </c>
      <c r="L65" s="446">
        <f t="shared" si="117"/>
        <v>888.96</v>
      </c>
      <c r="M65" s="445">
        <f t="shared" si="118"/>
        <v>100</v>
      </c>
      <c r="N65" s="443">
        <f t="shared" si="119"/>
        <v>0</v>
      </c>
      <c r="O65" s="445">
        <f t="shared" si="120"/>
        <v>0</v>
      </c>
      <c r="P65" s="339">
        <f t="shared" si="92"/>
        <v>0</v>
      </c>
      <c r="Q65" s="338"/>
      <c r="R65" s="388"/>
      <c r="S65" s="388"/>
    </row>
    <row r="66" spans="1:19" s="382" customFormat="1" x14ac:dyDescent="0.2">
      <c r="A66" s="453" t="s">
        <v>189</v>
      </c>
      <c r="B66" s="453" t="s">
        <v>436</v>
      </c>
      <c r="C66" s="676"/>
      <c r="D66" s="677"/>
      <c r="E66" s="677"/>
      <c r="F66" s="678"/>
      <c r="G66" s="444"/>
      <c r="H66" s="445"/>
      <c r="I66" s="470"/>
      <c r="J66" s="445"/>
      <c r="K66" s="443"/>
      <c r="L66" s="446"/>
      <c r="M66" s="445"/>
      <c r="N66" s="443"/>
      <c r="O66" s="445"/>
      <c r="P66" s="339">
        <f t="shared" si="92"/>
        <v>0</v>
      </c>
      <c r="Q66" s="381"/>
      <c r="R66" s="388"/>
      <c r="S66" s="388"/>
    </row>
    <row r="67" spans="1:19" x14ac:dyDescent="0.2">
      <c r="A67" s="448" t="s">
        <v>190</v>
      </c>
      <c r="B67" s="448" t="s">
        <v>411</v>
      </c>
      <c r="C67" s="676"/>
      <c r="D67" s="677"/>
      <c r="E67" s="677"/>
      <c r="F67" s="678"/>
      <c r="G67" s="444"/>
      <c r="H67" s="445"/>
      <c r="I67" s="470"/>
      <c r="J67" s="445"/>
      <c r="K67" s="443"/>
      <c r="L67" s="446"/>
      <c r="M67" s="445"/>
      <c r="N67" s="443"/>
      <c r="O67" s="445"/>
      <c r="P67" s="339">
        <f t="shared" si="92"/>
        <v>0</v>
      </c>
      <c r="Q67" s="338"/>
      <c r="R67" s="388"/>
      <c r="S67" s="388"/>
    </row>
    <row r="68" spans="1:19" x14ac:dyDescent="0.2">
      <c r="A68" s="454" t="s">
        <v>226</v>
      </c>
      <c r="B68" s="454" t="s">
        <v>412</v>
      </c>
      <c r="C68" s="676" t="s">
        <v>221</v>
      </c>
      <c r="D68" s="677">
        <v>13</v>
      </c>
      <c r="E68" s="677">
        <v>16.72</v>
      </c>
      <c r="F68" s="678">
        <v>217.36</v>
      </c>
      <c r="G68" s="444">
        <v>13</v>
      </c>
      <c r="H68" s="445">
        <f t="shared" ref="H68" si="121">+G68*E68</f>
        <v>217.35999999999999</v>
      </c>
      <c r="I68" s="470">
        <v>0</v>
      </c>
      <c r="J68" s="445">
        <f t="shared" ref="J68" si="122">+I68*E68</f>
        <v>0</v>
      </c>
      <c r="K68" s="443">
        <f t="shared" ref="K68" si="123">+G68+I68</f>
        <v>13</v>
      </c>
      <c r="L68" s="446">
        <f t="shared" ref="L68" si="124">+K68*E68</f>
        <v>217.35999999999999</v>
      </c>
      <c r="M68" s="445">
        <f t="shared" ref="M68" si="125">+K68*100/D68</f>
        <v>100</v>
      </c>
      <c r="N68" s="443">
        <f t="shared" ref="N68" si="126">+D68-K68</f>
        <v>0</v>
      </c>
      <c r="O68" s="445">
        <f t="shared" ref="O68" si="127">+F68-L68</f>
        <v>0</v>
      </c>
      <c r="P68" s="339">
        <f t="shared" si="92"/>
        <v>0</v>
      </c>
      <c r="Q68" s="338"/>
      <c r="R68" s="388"/>
      <c r="S68" s="388"/>
    </row>
    <row r="69" spans="1:19" x14ac:dyDescent="0.2">
      <c r="A69" s="448" t="s">
        <v>191</v>
      </c>
      <c r="B69" s="448" t="s">
        <v>413</v>
      </c>
      <c r="C69" s="676"/>
      <c r="D69" s="677"/>
      <c r="E69" s="677"/>
      <c r="F69" s="678"/>
      <c r="G69" s="444"/>
      <c r="H69" s="445"/>
      <c r="I69" s="470"/>
      <c r="J69" s="445"/>
      <c r="K69" s="443"/>
      <c r="L69" s="446"/>
      <c r="M69" s="445"/>
      <c r="N69" s="443"/>
      <c r="O69" s="445"/>
      <c r="P69" s="339">
        <f t="shared" si="92"/>
        <v>0</v>
      </c>
      <c r="Q69" s="338"/>
      <c r="R69" s="388"/>
      <c r="S69" s="388"/>
    </row>
    <row r="70" spans="1:19" x14ac:dyDescent="0.2">
      <c r="A70" s="454" t="s">
        <v>227</v>
      </c>
      <c r="B70" s="454" t="s">
        <v>520</v>
      </c>
      <c r="C70" s="676" t="s">
        <v>277</v>
      </c>
      <c r="D70" s="677">
        <v>1</v>
      </c>
      <c r="E70" s="677">
        <v>3514.55</v>
      </c>
      <c r="F70" s="678">
        <v>3514.55</v>
      </c>
      <c r="G70" s="444">
        <v>1</v>
      </c>
      <c r="H70" s="445">
        <f t="shared" ref="H70" si="128">+G70*E70</f>
        <v>3514.55</v>
      </c>
      <c r="I70" s="470">
        <v>0</v>
      </c>
      <c r="J70" s="445">
        <f t="shared" ref="J70" si="129">+I70*E70</f>
        <v>0</v>
      </c>
      <c r="K70" s="443">
        <f t="shared" ref="K70" si="130">+G70+I70</f>
        <v>1</v>
      </c>
      <c r="L70" s="446">
        <f t="shared" ref="L70" si="131">+K70*E70</f>
        <v>3514.55</v>
      </c>
      <c r="M70" s="445">
        <f t="shared" ref="M70" si="132">+K70*100/D70</f>
        <v>100</v>
      </c>
      <c r="N70" s="443">
        <f t="shared" ref="N70" si="133">+D70-K70</f>
        <v>0</v>
      </c>
      <c r="O70" s="445">
        <f t="shared" ref="O70" si="134">+F70-L70</f>
        <v>0</v>
      </c>
      <c r="P70" s="339">
        <f t="shared" si="92"/>
        <v>0</v>
      </c>
      <c r="Q70" s="338"/>
      <c r="R70" s="388"/>
      <c r="S70" s="388"/>
    </row>
    <row r="71" spans="1:19" x14ac:dyDescent="0.2">
      <c r="A71" s="454" t="s">
        <v>519</v>
      </c>
      <c r="B71" s="454" t="s">
        <v>521</v>
      </c>
      <c r="C71" s="676" t="s">
        <v>168</v>
      </c>
      <c r="D71" s="677">
        <v>35.28</v>
      </c>
      <c r="E71" s="677">
        <v>100.81</v>
      </c>
      <c r="F71" s="678">
        <v>3556.58</v>
      </c>
      <c r="G71" s="444">
        <v>35.28</v>
      </c>
      <c r="H71" s="445">
        <f t="shared" ref="H71" si="135">+G71*E71</f>
        <v>3556.5768000000003</v>
      </c>
      <c r="I71" s="470">
        <v>0</v>
      </c>
      <c r="J71" s="445">
        <f t="shared" ref="J71" si="136">+I71*E71</f>
        <v>0</v>
      </c>
      <c r="K71" s="443">
        <f t="shared" ref="K71" si="137">+G71+I71</f>
        <v>35.28</v>
      </c>
      <c r="L71" s="446">
        <f t="shared" ref="L71" si="138">+K71*E71</f>
        <v>3556.5768000000003</v>
      </c>
      <c r="M71" s="445">
        <f t="shared" ref="M71" si="139">+K71*100/D71</f>
        <v>100</v>
      </c>
      <c r="N71" s="443">
        <f t="shared" ref="N71" si="140">+D71-K71</f>
        <v>0</v>
      </c>
      <c r="O71" s="445">
        <f t="shared" ref="O71" si="141">+F71-L71</f>
        <v>3.1999999996514816E-3</v>
      </c>
      <c r="P71" s="339">
        <f t="shared" si="92"/>
        <v>-3.1999999996514816E-3</v>
      </c>
      <c r="Q71" s="338"/>
      <c r="R71" s="388"/>
      <c r="S71" s="388"/>
    </row>
    <row r="72" spans="1:19" s="382" customFormat="1" x14ac:dyDescent="0.2">
      <c r="A72" s="448" t="s">
        <v>192</v>
      </c>
      <c r="B72" s="448" t="s">
        <v>437</v>
      </c>
      <c r="C72" s="676"/>
      <c r="D72" s="677"/>
      <c r="E72" s="677"/>
      <c r="F72" s="678"/>
      <c r="G72" s="444"/>
      <c r="H72" s="445"/>
      <c r="I72" s="470"/>
      <c r="J72" s="445"/>
      <c r="K72" s="443"/>
      <c r="L72" s="446"/>
      <c r="M72" s="445"/>
      <c r="N72" s="443"/>
      <c r="O72" s="445"/>
      <c r="P72" s="339">
        <f t="shared" si="92"/>
        <v>0</v>
      </c>
      <c r="Q72" s="381"/>
      <c r="R72" s="388"/>
      <c r="S72" s="388"/>
    </row>
    <row r="73" spans="1:19" x14ac:dyDescent="0.2">
      <c r="A73" s="454" t="s">
        <v>228</v>
      </c>
      <c r="B73" s="454" t="s">
        <v>438</v>
      </c>
      <c r="C73" s="676" t="s">
        <v>168</v>
      </c>
      <c r="D73" s="677">
        <v>123.42</v>
      </c>
      <c r="E73" s="677">
        <v>10.46</v>
      </c>
      <c r="F73" s="678">
        <v>1290.97</v>
      </c>
      <c r="G73" s="444">
        <v>123.42</v>
      </c>
      <c r="H73" s="445">
        <f t="shared" ref="H73:H74" si="142">+G73*E73</f>
        <v>1290.9732000000001</v>
      </c>
      <c r="I73" s="470">
        <v>0</v>
      </c>
      <c r="J73" s="445">
        <f t="shared" ref="J73:J74" si="143">+I73*E73</f>
        <v>0</v>
      </c>
      <c r="K73" s="443">
        <f t="shared" ref="K73:K74" si="144">+G73+I73</f>
        <v>123.42</v>
      </c>
      <c r="L73" s="446">
        <f t="shared" ref="L73:L74" si="145">+K73*E73</f>
        <v>1290.9732000000001</v>
      </c>
      <c r="M73" s="445">
        <f t="shared" ref="M73:M74" si="146">+K73*100/D73</f>
        <v>100</v>
      </c>
      <c r="N73" s="443">
        <f t="shared" ref="N73:N74" si="147">+D73-K73</f>
        <v>0</v>
      </c>
      <c r="O73" s="445">
        <f t="shared" ref="O73:O74" si="148">+F73-L73</f>
        <v>-3.200000000106229E-3</v>
      </c>
      <c r="P73" s="339">
        <f t="shared" si="92"/>
        <v>3.200000000106229E-3</v>
      </c>
      <c r="Q73" s="338"/>
      <c r="R73" s="388"/>
      <c r="S73" s="388"/>
    </row>
    <row r="74" spans="1:19" x14ac:dyDescent="0.2">
      <c r="A74" s="454" t="s">
        <v>229</v>
      </c>
      <c r="B74" s="454" t="s">
        <v>439</v>
      </c>
      <c r="C74" s="676" t="s">
        <v>168</v>
      </c>
      <c r="D74" s="677">
        <v>123.42</v>
      </c>
      <c r="E74" s="677">
        <v>50.050000000000004</v>
      </c>
      <c r="F74" s="678">
        <v>6177.17</v>
      </c>
      <c r="G74" s="444">
        <v>123.42</v>
      </c>
      <c r="H74" s="445">
        <f t="shared" si="142"/>
        <v>6177.1710000000003</v>
      </c>
      <c r="I74" s="470">
        <v>0</v>
      </c>
      <c r="J74" s="445">
        <f t="shared" si="143"/>
        <v>0</v>
      </c>
      <c r="K74" s="443">
        <f t="shared" si="144"/>
        <v>123.42</v>
      </c>
      <c r="L74" s="446">
        <f t="shared" si="145"/>
        <v>6177.1710000000003</v>
      </c>
      <c r="M74" s="445">
        <f t="shared" si="146"/>
        <v>100</v>
      </c>
      <c r="N74" s="443">
        <f t="shared" si="147"/>
        <v>0</v>
      </c>
      <c r="O74" s="445">
        <f t="shared" si="148"/>
        <v>-1.0000000002037268E-3</v>
      </c>
      <c r="P74" s="339">
        <f t="shared" si="92"/>
        <v>1.0000000002037268E-3</v>
      </c>
      <c r="Q74" s="338"/>
      <c r="R74" s="388"/>
      <c r="S74" s="388"/>
    </row>
    <row r="75" spans="1:19" x14ac:dyDescent="0.2">
      <c r="A75" s="448" t="s">
        <v>193</v>
      </c>
      <c r="B75" s="448" t="s">
        <v>422</v>
      </c>
      <c r="C75" s="676"/>
      <c r="D75" s="677"/>
      <c r="E75" s="677"/>
      <c r="F75" s="678"/>
      <c r="G75" s="444"/>
      <c r="H75" s="445"/>
      <c r="I75" s="470"/>
      <c r="J75" s="445"/>
      <c r="K75" s="443"/>
      <c r="L75" s="446"/>
      <c r="M75" s="445"/>
      <c r="N75" s="443"/>
      <c r="O75" s="445"/>
      <c r="P75" s="339">
        <f t="shared" si="92"/>
        <v>0</v>
      </c>
      <c r="Q75" s="338"/>
      <c r="R75" s="388"/>
      <c r="S75" s="388"/>
    </row>
    <row r="76" spans="1:19" x14ac:dyDescent="0.2">
      <c r="A76" s="717" t="s">
        <v>230</v>
      </c>
      <c r="B76" s="717" t="s">
        <v>423</v>
      </c>
      <c r="C76" s="676"/>
      <c r="D76" s="677"/>
      <c r="E76" s="677"/>
      <c r="F76" s="678"/>
      <c r="G76" s="444"/>
      <c r="H76" s="445"/>
      <c r="I76" s="470"/>
      <c r="J76" s="445"/>
      <c r="K76" s="443"/>
      <c r="L76" s="446"/>
      <c r="M76" s="445"/>
      <c r="N76" s="443"/>
      <c r="O76" s="445"/>
      <c r="P76" s="339">
        <f t="shared" si="92"/>
        <v>0</v>
      </c>
      <c r="Q76" s="338"/>
      <c r="R76" s="388"/>
      <c r="S76" s="388"/>
    </row>
    <row r="77" spans="1:19" s="382" customFormat="1" x14ac:dyDescent="0.2">
      <c r="A77" s="454" t="s">
        <v>522</v>
      </c>
      <c r="B77" s="454" t="s">
        <v>508</v>
      </c>
      <c r="C77" s="676" t="s">
        <v>168</v>
      </c>
      <c r="D77" s="677">
        <v>12.530000000000001</v>
      </c>
      <c r="E77" s="677">
        <v>386.71000000000004</v>
      </c>
      <c r="F77" s="678">
        <v>4845.4800000000005</v>
      </c>
      <c r="G77" s="444">
        <v>12.53</v>
      </c>
      <c r="H77" s="445">
        <f t="shared" ref="H77" si="149">+G77*E77</f>
        <v>4845.4763000000003</v>
      </c>
      <c r="I77" s="470">
        <v>0</v>
      </c>
      <c r="J77" s="445">
        <f t="shared" ref="J77" si="150">+I77*E77</f>
        <v>0</v>
      </c>
      <c r="K77" s="443">
        <f t="shared" ref="K77" si="151">+G77+I77</f>
        <v>12.53</v>
      </c>
      <c r="L77" s="446">
        <f t="shared" ref="L77" si="152">+K77*E77</f>
        <v>4845.4763000000003</v>
      </c>
      <c r="M77" s="445">
        <f t="shared" ref="M77" si="153">+K77*100/D77</f>
        <v>99.999999999999986</v>
      </c>
      <c r="N77" s="443">
        <f t="shared" ref="N77" si="154">+D77-K77</f>
        <v>0</v>
      </c>
      <c r="O77" s="445">
        <f t="shared" ref="O77" si="155">+F77-L77</f>
        <v>3.7000000002080924E-3</v>
      </c>
      <c r="P77" s="339">
        <f t="shared" si="92"/>
        <v>-3.6999999992985977E-3</v>
      </c>
      <c r="Q77" s="381"/>
      <c r="R77" s="388"/>
      <c r="S77" s="388"/>
    </row>
    <row r="78" spans="1:19" x14ac:dyDescent="0.2">
      <c r="A78" s="448" t="s">
        <v>194</v>
      </c>
      <c r="B78" s="448" t="s">
        <v>424</v>
      </c>
      <c r="C78" s="676"/>
      <c r="D78" s="677"/>
      <c r="E78" s="677"/>
      <c r="F78" s="678"/>
      <c r="G78" s="444"/>
      <c r="H78" s="445"/>
      <c r="I78" s="470"/>
      <c r="J78" s="445"/>
      <c r="K78" s="443"/>
      <c r="L78" s="446"/>
      <c r="M78" s="445"/>
      <c r="N78" s="443"/>
      <c r="O78" s="445"/>
      <c r="P78" s="339">
        <f t="shared" si="92"/>
        <v>0</v>
      </c>
      <c r="Q78" s="338"/>
      <c r="R78" s="388"/>
      <c r="S78" s="388"/>
    </row>
    <row r="79" spans="1:19" x14ac:dyDescent="0.2">
      <c r="A79" s="717" t="s">
        <v>231</v>
      </c>
      <c r="B79" s="717" t="s">
        <v>425</v>
      </c>
      <c r="C79" s="676"/>
      <c r="D79" s="677"/>
      <c r="E79" s="677"/>
      <c r="F79" s="678"/>
      <c r="G79" s="444"/>
      <c r="H79" s="445"/>
      <c r="I79" s="470"/>
      <c r="J79" s="445"/>
      <c r="K79" s="443"/>
      <c r="L79" s="446"/>
      <c r="M79" s="445"/>
      <c r="N79" s="443"/>
      <c r="O79" s="445"/>
      <c r="P79" s="339">
        <f t="shared" si="92"/>
        <v>0</v>
      </c>
      <c r="Q79" s="338"/>
      <c r="R79" s="388"/>
      <c r="S79" s="388"/>
    </row>
    <row r="80" spans="1:19" x14ac:dyDescent="0.2">
      <c r="A80" s="454" t="s">
        <v>344</v>
      </c>
      <c r="B80" s="454" t="s">
        <v>510</v>
      </c>
      <c r="C80" s="676" t="s">
        <v>168</v>
      </c>
      <c r="D80" s="677">
        <v>8.89</v>
      </c>
      <c r="E80" s="677">
        <v>191.07</v>
      </c>
      <c r="F80" s="678">
        <v>1698.6100000000001</v>
      </c>
      <c r="G80" s="444">
        <v>8.89</v>
      </c>
      <c r="H80" s="445">
        <f t="shared" ref="H80" si="156">+G80*E80</f>
        <v>1698.6123</v>
      </c>
      <c r="I80" s="470">
        <v>0</v>
      </c>
      <c r="J80" s="445">
        <f t="shared" ref="J80" si="157">+I80*E80</f>
        <v>0</v>
      </c>
      <c r="K80" s="443">
        <f t="shared" ref="K80" si="158">+G80+I80</f>
        <v>8.89</v>
      </c>
      <c r="L80" s="446">
        <f t="shared" ref="L80" si="159">+K80*E80</f>
        <v>1698.6123</v>
      </c>
      <c r="M80" s="445">
        <f t="shared" ref="M80" si="160">+K80*100/D80</f>
        <v>100</v>
      </c>
      <c r="N80" s="443">
        <f t="shared" ref="N80" si="161">+D80-K80</f>
        <v>0</v>
      </c>
      <c r="O80" s="445">
        <f t="shared" ref="O80" si="162">+F80-L80</f>
        <v>-2.2999999998774001E-3</v>
      </c>
      <c r="P80" s="339">
        <f t="shared" si="92"/>
        <v>2.2999999998774001E-3</v>
      </c>
      <c r="Q80" s="338"/>
      <c r="R80" s="388"/>
      <c r="S80" s="388"/>
    </row>
    <row r="81" spans="1:19" x14ac:dyDescent="0.2">
      <c r="A81" s="448" t="s">
        <v>345</v>
      </c>
      <c r="B81" s="448" t="s">
        <v>426</v>
      </c>
      <c r="C81" s="676"/>
      <c r="D81" s="677"/>
      <c r="E81" s="677"/>
      <c r="F81" s="678"/>
      <c r="G81" s="444"/>
      <c r="H81" s="445"/>
      <c r="I81" s="470"/>
      <c r="J81" s="445"/>
      <c r="K81" s="443"/>
      <c r="L81" s="446"/>
      <c r="M81" s="445"/>
      <c r="N81" s="443"/>
      <c r="O81" s="445"/>
      <c r="P81" s="339">
        <f t="shared" si="92"/>
        <v>0</v>
      </c>
      <c r="Q81" s="338"/>
      <c r="R81" s="388"/>
      <c r="S81" s="388"/>
    </row>
    <row r="82" spans="1:19" x14ac:dyDescent="0.2">
      <c r="A82" s="717" t="s">
        <v>346</v>
      </c>
      <c r="B82" s="717" t="s">
        <v>427</v>
      </c>
      <c r="C82" s="676"/>
      <c r="D82" s="677"/>
      <c r="E82" s="677"/>
      <c r="F82" s="678"/>
      <c r="G82" s="444"/>
      <c r="H82" s="445"/>
      <c r="I82" s="470"/>
      <c r="J82" s="445"/>
      <c r="K82" s="443"/>
      <c r="L82" s="446"/>
      <c r="M82" s="445"/>
      <c r="N82" s="443"/>
      <c r="O82" s="445"/>
      <c r="P82" s="339">
        <f t="shared" si="92"/>
        <v>0</v>
      </c>
      <c r="Q82" s="338"/>
      <c r="R82" s="388"/>
      <c r="S82" s="388"/>
    </row>
    <row r="83" spans="1:19" s="382" customFormat="1" x14ac:dyDescent="0.2">
      <c r="A83" s="454" t="s">
        <v>347</v>
      </c>
      <c r="B83" s="454" t="s">
        <v>523</v>
      </c>
      <c r="C83" s="676" t="s">
        <v>171</v>
      </c>
      <c r="D83" s="677">
        <v>7</v>
      </c>
      <c r="E83" s="677">
        <v>246.49</v>
      </c>
      <c r="F83" s="678">
        <v>1725.43</v>
      </c>
      <c r="G83" s="444">
        <v>7</v>
      </c>
      <c r="H83" s="445">
        <f t="shared" ref="H83" si="163">+G83*E83</f>
        <v>1725.43</v>
      </c>
      <c r="I83" s="470">
        <v>0</v>
      </c>
      <c r="J83" s="445">
        <f t="shared" ref="J83" si="164">+I83*E83</f>
        <v>0</v>
      </c>
      <c r="K83" s="443">
        <f t="shared" ref="K83" si="165">+G83+I83</f>
        <v>7</v>
      </c>
      <c r="L83" s="446">
        <f t="shared" ref="L83" si="166">+K83*E83</f>
        <v>1725.43</v>
      </c>
      <c r="M83" s="445">
        <f t="shared" ref="M83" si="167">+K83*100/D83</f>
        <v>100</v>
      </c>
      <c r="N83" s="443">
        <f t="shared" ref="N83" si="168">+D83-K83</f>
        <v>0</v>
      </c>
      <c r="O83" s="445">
        <f t="shared" ref="O83" si="169">+F83-L83</f>
        <v>0</v>
      </c>
      <c r="P83" s="339">
        <f t="shared" si="92"/>
        <v>0</v>
      </c>
      <c r="Q83" s="381"/>
      <c r="R83" s="388"/>
      <c r="S83" s="388"/>
    </row>
    <row r="84" spans="1:19" x14ac:dyDescent="0.2">
      <c r="A84" s="717" t="s">
        <v>348</v>
      </c>
      <c r="B84" s="717" t="s">
        <v>428</v>
      </c>
      <c r="C84" s="676"/>
      <c r="D84" s="677"/>
      <c r="E84" s="677"/>
      <c r="F84" s="678"/>
      <c r="G84" s="444"/>
      <c r="H84" s="445"/>
      <c r="I84" s="470"/>
      <c r="J84" s="445"/>
      <c r="K84" s="443"/>
      <c r="L84" s="446"/>
      <c r="M84" s="445"/>
      <c r="N84" s="443"/>
      <c r="O84" s="445"/>
      <c r="P84" s="339">
        <f t="shared" si="92"/>
        <v>0</v>
      </c>
      <c r="Q84" s="338"/>
      <c r="R84" s="388"/>
      <c r="S84" s="388"/>
    </row>
    <row r="85" spans="1:19" x14ac:dyDescent="0.2">
      <c r="A85" s="454" t="s">
        <v>349</v>
      </c>
      <c r="B85" s="454" t="s">
        <v>429</v>
      </c>
      <c r="C85" s="676" t="s">
        <v>171</v>
      </c>
      <c r="D85" s="677">
        <v>21</v>
      </c>
      <c r="E85" s="677">
        <v>34.89</v>
      </c>
      <c r="F85" s="678">
        <v>732.69</v>
      </c>
      <c r="G85" s="444">
        <v>21</v>
      </c>
      <c r="H85" s="445">
        <f t="shared" ref="H85" si="170">+G85*E85</f>
        <v>732.69</v>
      </c>
      <c r="I85" s="470">
        <v>0</v>
      </c>
      <c r="J85" s="445">
        <f t="shared" ref="J85" si="171">+I85*E85</f>
        <v>0</v>
      </c>
      <c r="K85" s="443">
        <f t="shared" ref="K85" si="172">+G85+I85</f>
        <v>21</v>
      </c>
      <c r="L85" s="446">
        <f t="shared" ref="L85" si="173">+K85*E85</f>
        <v>732.69</v>
      </c>
      <c r="M85" s="445">
        <f t="shared" ref="M85" si="174">+K85*100/D85</f>
        <v>100</v>
      </c>
      <c r="N85" s="443">
        <f t="shared" ref="N85" si="175">+D85-K85</f>
        <v>0</v>
      </c>
      <c r="O85" s="445">
        <f t="shared" ref="O85" si="176">+F85-L85</f>
        <v>0</v>
      </c>
      <c r="P85" s="339">
        <f t="shared" si="92"/>
        <v>0</v>
      </c>
      <c r="Q85" s="338"/>
      <c r="R85" s="388"/>
      <c r="S85" s="388"/>
    </row>
    <row r="86" spans="1:19" x14ac:dyDescent="0.2">
      <c r="A86" s="448" t="s">
        <v>350</v>
      </c>
      <c r="B86" s="448" t="s">
        <v>430</v>
      </c>
      <c r="C86" s="676"/>
      <c r="D86" s="677"/>
      <c r="E86" s="677"/>
      <c r="F86" s="678"/>
      <c r="G86" s="444"/>
      <c r="H86" s="445"/>
      <c r="I86" s="470"/>
      <c r="J86" s="445"/>
      <c r="K86" s="443"/>
      <c r="L86" s="446"/>
      <c r="M86" s="445"/>
      <c r="N86" s="443"/>
      <c r="O86" s="445"/>
      <c r="P86" s="339">
        <f t="shared" si="92"/>
        <v>0</v>
      </c>
      <c r="Q86" s="338"/>
      <c r="R86" s="388"/>
      <c r="S86" s="388"/>
    </row>
    <row r="87" spans="1:19" x14ac:dyDescent="0.2">
      <c r="A87" s="717" t="s">
        <v>351</v>
      </c>
      <c r="B87" s="717" t="s">
        <v>431</v>
      </c>
      <c r="C87" s="676"/>
      <c r="D87" s="677"/>
      <c r="E87" s="677"/>
      <c r="F87" s="678"/>
      <c r="G87" s="444"/>
      <c r="H87" s="445"/>
      <c r="I87" s="470"/>
      <c r="J87" s="445"/>
      <c r="K87" s="443"/>
      <c r="L87" s="446"/>
      <c r="M87" s="445"/>
      <c r="N87" s="443"/>
      <c r="O87" s="445"/>
      <c r="P87" s="339">
        <f t="shared" si="92"/>
        <v>0</v>
      </c>
      <c r="Q87" s="338"/>
      <c r="R87" s="388"/>
      <c r="S87" s="388"/>
    </row>
    <row r="88" spans="1:19" s="382" customFormat="1" x14ac:dyDescent="0.2">
      <c r="A88" s="454" t="s">
        <v>352</v>
      </c>
      <c r="B88" s="454" t="s">
        <v>515</v>
      </c>
      <c r="C88" s="676" t="s">
        <v>221</v>
      </c>
      <c r="D88" s="677">
        <v>2</v>
      </c>
      <c r="E88" s="677">
        <v>162.99</v>
      </c>
      <c r="F88" s="678">
        <v>325.98</v>
      </c>
      <c r="G88" s="444">
        <v>2</v>
      </c>
      <c r="H88" s="445">
        <f t="shared" ref="H88" si="177">+G88*E88</f>
        <v>325.98</v>
      </c>
      <c r="I88" s="470">
        <v>0</v>
      </c>
      <c r="J88" s="445">
        <f t="shared" ref="J88" si="178">+I88*E88</f>
        <v>0</v>
      </c>
      <c r="K88" s="443">
        <f t="shared" ref="K88" si="179">+G88+I88</f>
        <v>2</v>
      </c>
      <c r="L88" s="446">
        <f t="shared" ref="L88" si="180">+K88*E88</f>
        <v>325.98</v>
      </c>
      <c r="M88" s="445">
        <f t="shared" ref="M88" si="181">+K88*100/D88</f>
        <v>100</v>
      </c>
      <c r="N88" s="443">
        <f t="shared" ref="N88" si="182">+D88-K88</f>
        <v>0</v>
      </c>
      <c r="O88" s="445">
        <f t="shared" ref="O88" si="183">+F88-L88</f>
        <v>0</v>
      </c>
      <c r="P88" s="339">
        <f t="shared" si="92"/>
        <v>0</v>
      </c>
      <c r="Q88" s="381"/>
      <c r="R88" s="388"/>
      <c r="S88" s="388"/>
    </row>
    <row r="89" spans="1:19" x14ac:dyDescent="0.2">
      <c r="A89" s="448" t="s">
        <v>353</v>
      </c>
      <c r="B89" s="448" t="s">
        <v>432</v>
      </c>
      <c r="C89" s="676"/>
      <c r="D89" s="677"/>
      <c r="E89" s="677"/>
      <c r="F89" s="678"/>
      <c r="G89" s="444"/>
      <c r="H89" s="445"/>
      <c r="I89" s="470"/>
      <c r="J89" s="445"/>
      <c r="K89" s="443"/>
      <c r="L89" s="446"/>
      <c r="M89" s="445"/>
      <c r="N89" s="443"/>
      <c r="O89" s="445"/>
      <c r="P89" s="339">
        <f t="shared" si="92"/>
        <v>0</v>
      </c>
      <c r="Q89" s="338"/>
      <c r="R89" s="388"/>
      <c r="S89" s="388"/>
    </row>
    <row r="90" spans="1:19" x14ac:dyDescent="0.2">
      <c r="A90" s="454" t="s">
        <v>354</v>
      </c>
      <c r="B90" s="454" t="s">
        <v>516</v>
      </c>
      <c r="C90" s="676" t="s">
        <v>168</v>
      </c>
      <c r="D90" s="677">
        <v>227.22</v>
      </c>
      <c r="E90" s="677">
        <v>18.510000000000002</v>
      </c>
      <c r="F90" s="678">
        <v>4205.84</v>
      </c>
      <c r="G90" s="444">
        <v>227.22</v>
      </c>
      <c r="H90" s="445">
        <f t="shared" ref="H90:H92" si="184">+G90*E90</f>
        <v>4205.8422</v>
      </c>
      <c r="I90" s="470">
        <v>0</v>
      </c>
      <c r="J90" s="445">
        <f t="shared" ref="J90:J92" si="185">+I90*E90</f>
        <v>0</v>
      </c>
      <c r="K90" s="443">
        <f t="shared" ref="K90:K92" si="186">+G90+I90</f>
        <v>227.22</v>
      </c>
      <c r="L90" s="446">
        <f t="shared" ref="L90:L92" si="187">+K90*E90</f>
        <v>4205.8422</v>
      </c>
      <c r="M90" s="445">
        <f t="shared" ref="M90:M92" si="188">+K90*100/D90</f>
        <v>100</v>
      </c>
      <c r="N90" s="443">
        <f t="shared" ref="N90:N92" si="189">+D90-K90</f>
        <v>0</v>
      </c>
      <c r="O90" s="445">
        <f t="shared" ref="O90:O92" si="190">+F90-L90</f>
        <v>-2.1999999999025022E-3</v>
      </c>
      <c r="P90" s="339">
        <f t="shared" si="92"/>
        <v>2.1999999999025022E-3</v>
      </c>
      <c r="Q90" s="338"/>
      <c r="R90" s="388"/>
      <c r="S90" s="388"/>
    </row>
    <row r="91" spans="1:19" x14ac:dyDescent="0.2">
      <c r="A91" s="454" t="s">
        <v>355</v>
      </c>
      <c r="B91" s="454" t="s">
        <v>517</v>
      </c>
      <c r="C91" s="676" t="s">
        <v>168</v>
      </c>
      <c r="D91" s="677">
        <v>93.05</v>
      </c>
      <c r="E91" s="677">
        <v>18.93</v>
      </c>
      <c r="F91" s="678">
        <v>1761.44</v>
      </c>
      <c r="G91" s="444">
        <v>93.05</v>
      </c>
      <c r="H91" s="445">
        <f t="shared" si="184"/>
        <v>1761.4365</v>
      </c>
      <c r="I91" s="470">
        <v>0</v>
      </c>
      <c r="J91" s="445">
        <f t="shared" si="185"/>
        <v>0</v>
      </c>
      <c r="K91" s="443">
        <f t="shared" si="186"/>
        <v>93.05</v>
      </c>
      <c r="L91" s="446">
        <f t="shared" si="187"/>
        <v>1761.4365</v>
      </c>
      <c r="M91" s="445">
        <f t="shared" si="188"/>
        <v>100</v>
      </c>
      <c r="N91" s="443">
        <f t="shared" si="189"/>
        <v>0</v>
      </c>
      <c r="O91" s="445">
        <f t="shared" si="190"/>
        <v>3.5000000000309228E-3</v>
      </c>
      <c r="P91" s="339">
        <f t="shared" si="92"/>
        <v>-3.5000000000309228E-3</v>
      </c>
      <c r="Q91" s="338"/>
      <c r="R91" s="388"/>
      <c r="S91" s="388"/>
    </row>
    <row r="92" spans="1:19" x14ac:dyDescent="0.2">
      <c r="A92" s="454" t="s">
        <v>356</v>
      </c>
      <c r="B92" s="454" t="s">
        <v>518</v>
      </c>
      <c r="C92" s="676" t="s">
        <v>168</v>
      </c>
      <c r="D92" s="677">
        <v>101.35000000000001</v>
      </c>
      <c r="E92" s="677">
        <v>19.52</v>
      </c>
      <c r="F92" s="678">
        <v>1978.3500000000001</v>
      </c>
      <c r="G92" s="444">
        <v>101.35</v>
      </c>
      <c r="H92" s="445">
        <f t="shared" si="184"/>
        <v>1978.3519999999999</v>
      </c>
      <c r="I92" s="470">
        <v>0</v>
      </c>
      <c r="J92" s="445">
        <f t="shared" si="185"/>
        <v>0</v>
      </c>
      <c r="K92" s="443">
        <f t="shared" si="186"/>
        <v>101.35</v>
      </c>
      <c r="L92" s="446">
        <f t="shared" si="187"/>
        <v>1978.3519999999999</v>
      </c>
      <c r="M92" s="445">
        <f t="shared" si="188"/>
        <v>99.999999999999986</v>
      </c>
      <c r="N92" s="443">
        <f t="shared" si="189"/>
        <v>0</v>
      </c>
      <c r="O92" s="445">
        <f t="shared" si="190"/>
        <v>-1.9999999997253326E-3</v>
      </c>
      <c r="P92" s="339">
        <f t="shared" si="92"/>
        <v>1.9999999999527063E-3</v>
      </c>
      <c r="Q92" s="338"/>
      <c r="R92" s="388"/>
      <c r="S92" s="388"/>
    </row>
    <row r="93" spans="1:19" s="382" customFormat="1" x14ac:dyDescent="0.2">
      <c r="A93" s="448" t="s">
        <v>357</v>
      </c>
      <c r="B93" s="448" t="s">
        <v>433</v>
      </c>
      <c r="C93" s="676"/>
      <c r="D93" s="677"/>
      <c r="E93" s="677"/>
      <c r="F93" s="678"/>
      <c r="G93" s="444"/>
      <c r="H93" s="445"/>
      <c r="I93" s="470"/>
      <c r="J93" s="445"/>
      <c r="K93" s="443"/>
      <c r="L93" s="446"/>
      <c r="M93" s="445"/>
      <c r="N93" s="443"/>
      <c r="O93" s="445"/>
      <c r="P93" s="339">
        <f t="shared" si="92"/>
        <v>0</v>
      </c>
      <c r="Q93" s="381"/>
      <c r="R93" s="388"/>
      <c r="S93" s="388"/>
    </row>
    <row r="94" spans="1:19" x14ac:dyDescent="0.2">
      <c r="A94" s="454" t="s">
        <v>358</v>
      </c>
      <c r="B94" s="454" t="s">
        <v>434</v>
      </c>
      <c r="C94" s="676" t="s">
        <v>221</v>
      </c>
      <c r="D94" s="677">
        <v>7</v>
      </c>
      <c r="E94" s="677">
        <v>45.9</v>
      </c>
      <c r="F94" s="678">
        <v>321.3</v>
      </c>
      <c r="G94" s="444">
        <v>7</v>
      </c>
      <c r="H94" s="445">
        <f t="shared" ref="H94:H95" si="191">+G94*E94</f>
        <v>321.3</v>
      </c>
      <c r="I94" s="470">
        <v>0</v>
      </c>
      <c r="J94" s="445">
        <f t="shared" ref="J94:J95" si="192">+I94*E94</f>
        <v>0</v>
      </c>
      <c r="K94" s="443">
        <f t="shared" ref="K94:K95" si="193">+G94+I94</f>
        <v>7</v>
      </c>
      <c r="L94" s="446">
        <f t="shared" ref="L94:L95" si="194">+K94*E94</f>
        <v>321.3</v>
      </c>
      <c r="M94" s="445">
        <f t="shared" ref="M94:M95" si="195">+K94*100/D94</f>
        <v>100</v>
      </c>
      <c r="N94" s="443">
        <f t="shared" ref="N94:N95" si="196">+D94-K94</f>
        <v>0</v>
      </c>
      <c r="O94" s="445">
        <f t="shared" ref="O94:O95" si="197">+F94-L94</f>
        <v>0</v>
      </c>
      <c r="P94" s="339">
        <f t="shared" si="92"/>
        <v>0</v>
      </c>
      <c r="Q94" s="338"/>
      <c r="R94" s="388"/>
      <c r="S94" s="388"/>
    </row>
    <row r="95" spans="1:19" x14ac:dyDescent="0.2">
      <c r="A95" s="454" t="s">
        <v>359</v>
      </c>
      <c r="B95" s="454" t="s">
        <v>435</v>
      </c>
      <c r="C95" s="676" t="s">
        <v>221</v>
      </c>
      <c r="D95" s="677">
        <v>5</v>
      </c>
      <c r="E95" s="677">
        <v>111.12</v>
      </c>
      <c r="F95" s="678">
        <v>555.6</v>
      </c>
      <c r="G95" s="444">
        <v>5</v>
      </c>
      <c r="H95" s="445">
        <f t="shared" si="191"/>
        <v>555.6</v>
      </c>
      <c r="I95" s="470">
        <v>0</v>
      </c>
      <c r="J95" s="445">
        <f t="shared" si="192"/>
        <v>0</v>
      </c>
      <c r="K95" s="443">
        <f t="shared" si="193"/>
        <v>5</v>
      </c>
      <c r="L95" s="446">
        <f t="shared" si="194"/>
        <v>555.6</v>
      </c>
      <c r="M95" s="445">
        <f t="shared" si="195"/>
        <v>100</v>
      </c>
      <c r="N95" s="443">
        <f t="shared" si="196"/>
        <v>0</v>
      </c>
      <c r="O95" s="445">
        <f t="shared" si="197"/>
        <v>0</v>
      </c>
      <c r="P95" s="339">
        <f t="shared" si="92"/>
        <v>0</v>
      </c>
      <c r="Q95" s="338"/>
      <c r="R95" s="388"/>
      <c r="S95" s="388"/>
    </row>
    <row r="96" spans="1:19" x14ac:dyDescent="0.2">
      <c r="A96" s="453" t="s">
        <v>132</v>
      </c>
      <c r="B96" s="453" t="s">
        <v>440</v>
      </c>
      <c r="C96" s="676"/>
      <c r="D96" s="677"/>
      <c r="E96" s="677"/>
      <c r="F96" s="678"/>
      <c r="G96" s="444"/>
      <c r="H96" s="445"/>
      <c r="I96" s="470"/>
      <c r="J96" s="445"/>
      <c r="K96" s="443"/>
      <c r="L96" s="446"/>
      <c r="M96" s="445"/>
      <c r="N96" s="443"/>
      <c r="O96" s="445"/>
      <c r="P96" s="339">
        <f t="shared" si="92"/>
        <v>0</v>
      </c>
      <c r="Q96" s="338"/>
      <c r="R96" s="388"/>
      <c r="S96" s="388"/>
    </row>
    <row r="97" spans="1:19" x14ac:dyDescent="0.2">
      <c r="A97" s="448" t="s">
        <v>195</v>
      </c>
      <c r="B97" s="448" t="s">
        <v>411</v>
      </c>
      <c r="C97" s="676"/>
      <c r="D97" s="677"/>
      <c r="E97" s="677"/>
      <c r="F97" s="678"/>
      <c r="G97" s="444"/>
      <c r="H97" s="445"/>
      <c r="I97" s="470"/>
      <c r="J97" s="445"/>
      <c r="K97" s="443"/>
      <c r="L97" s="446"/>
      <c r="M97" s="445"/>
      <c r="N97" s="443"/>
      <c r="O97" s="445"/>
      <c r="P97" s="339">
        <f t="shared" si="92"/>
        <v>0</v>
      </c>
      <c r="Q97" s="338"/>
      <c r="R97" s="388"/>
      <c r="S97" s="388"/>
    </row>
    <row r="98" spans="1:19" x14ac:dyDescent="0.2">
      <c r="A98" s="454" t="s">
        <v>232</v>
      </c>
      <c r="B98" s="454" t="s">
        <v>412</v>
      </c>
      <c r="C98" s="676" t="s">
        <v>221</v>
      </c>
      <c r="D98" s="677">
        <v>15</v>
      </c>
      <c r="E98" s="677">
        <v>16.72</v>
      </c>
      <c r="F98" s="678">
        <v>250.8</v>
      </c>
      <c r="G98" s="444">
        <v>15</v>
      </c>
      <c r="H98" s="445">
        <f t="shared" ref="H98" si="198">+G98*E98</f>
        <v>250.79999999999998</v>
      </c>
      <c r="I98" s="470">
        <v>0</v>
      </c>
      <c r="J98" s="445">
        <f t="shared" ref="J98" si="199">+I98*E98</f>
        <v>0</v>
      </c>
      <c r="K98" s="443">
        <f t="shared" ref="K98" si="200">+G98+I98</f>
        <v>15</v>
      </c>
      <c r="L98" s="446">
        <f t="shared" ref="L98" si="201">+K98*E98</f>
        <v>250.79999999999998</v>
      </c>
      <c r="M98" s="445">
        <f t="shared" ref="M98" si="202">+K98*100/D98</f>
        <v>100</v>
      </c>
      <c r="N98" s="443">
        <f t="shared" ref="N98" si="203">+D98-K98</f>
        <v>0</v>
      </c>
      <c r="O98" s="445">
        <f t="shared" ref="O98" si="204">+F98-L98</f>
        <v>0</v>
      </c>
      <c r="P98" s="339">
        <f t="shared" si="92"/>
        <v>0</v>
      </c>
      <c r="Q98" s="338"/>
      <c r="R98" s="388"/>
      <c r="S98" s="388"/>
    </row>
    <row r="99" spans="1:19" x14ac:dyDescent="0.2">
      <c r="A99" s="448" t="s">
        <v>196</v>
      </c>
      <c r="B99" s="448" t="s">
        <v>413</v>
      </c>
      <c r="C99" s="676"/>
      <c r="D99" s="677"/>
      <c r="E99" s="677"/>
      <c r="F99" s="678"/>
      <c r="G99" s="444"/>
      <c r="H99" s="445"/>
      <c r="I99" s="470"/>
      <c r="J99" s="445"/>
      <c r="K99" s="443"/>
      <c r="L99" s="446"/>
      <c r="M99" s="445"/>
      <c r="N99" s="443"/>
      <c r="O99" s="445"/>
      <c r="P99" s="339">
        <f t="shared" si="92"/>
        <v>0</v>
      </c>
      <c r="Q99" s="338"/>
      <c r="R99" s="388"/>
      <c r="S99" s="388"/>
    </row>
    <row r="100" spans="1:19" x14ac:dyDescent="0.2">
      <c r="A100" s="454" t="s">
        <v>233</v>
      </c>
      <c r="B100" s="454" t="s">
        <v>525</v>
      </c>
      <c r="C100" s="676" t="s">
        <v>277</v>
      </c>
      <c r="D100" s="677">
        <v>1</v>
      </c>
      <c r="E100" s="677">
        <v>3190.7200000000003</v>
      </c>
      <c r="F100" s="678">
        <v>3190.7200000000003</v>
      </c>
      <c r="G100" s="444">
        <v>1</v>
      </c>
      <c r="H100" s="445">
        <f t="shared" ref="H100" si="205">+G100*E100</f>
        <v>3190.7200000000003</v>
      </c>
      <c r="I100" s="470">
        <v>0</v>
      </c>
      <c r="J100" s="445">
        <f t="shared" ref="J100" si="206">+I100*E100</f>
        <v>0</v>
      </c>
      <c r="K100" s="443">
        <f t="shared" ref="K100" si="207">+G100+I100</f>
        <v>1</v>
      </c>
      <c r="L100" s="446">
        <f t="shared" ref="L100" si="208">+K100*E100</f>
        <v>3190.7200000000003</v>
      </c>
      <c r="M100" s="445">
        <f t="shared" ref="M100" si="209">+K100*100/D100</f>
        <v>100</v>
      </c>
      <c r="N100" s="443">
        <f t="shared" ref="N100" si="210">+D100-K100</f>
        <v>0</v>
      </c>
      <c r="O100" s="445">
        <f t="shared" ref="O100" si="211">+F100-L100</f>
        <v>0</v>
      </c>
      <c r="P100" s="339">
        <f t="shared" si="92"/>
        <v>0</v>
      </c>
      <c r="Q100" s="338"/>
      <c r="R100" s="388"/>
      <c r="S100" s="388"/>
    </row>
    <row r="101" spans="1:19" x14ac:dyDescent="0.2">
      <c r="A101" s="454" t="s">
        <v>524</v>
      </c>
      <c r="B101" s="454" t="s">
        <v>521</v>
      </c>
      <c r="C101" s="676" t="s">
        <v>168</v>
      </c>
      <c r="D101" s="677">
        <v>7.48</v>
      </c>
      <c r="E101" s="677">
        <v>100.81</v>
      </c>
      <c r="F101" s="678">
        <v>754.06000000000006</v>
      </c>
      <c r="G101" s="444">
        <v>7.48</v>
      </c>
      <c r="H101" s="445">
        <f t="shared" ref="H101" si="212">+G101*E101</f>
        <v>754.05880000000002</v>
      </c>
      <c r="I101" s="470">
        <v>0</v>
      </c>
      <c r="J101" s="445">
        <f t="shared" ref="J101" si="213">+I101*E101</f>
        <v>0</v>
      </c>
      <c r="K101" s="443">
        <f t="shared" ref="K101" si="214">+G101+I101</f>
        <v>7.48</v>
      </c>
      <c r="L101" s="446">
        <f t="shared" ref="L101" si="215">+K101*E101</f>
        <v>754.05880000000002</v>
      </c>
      <c r="M101" s="445">
        <f t="shared" ref="M101" si="216">+K101*100/D101</f>
        <v>100</v>
      </c>
      <c r="N101" s="443">
        <f t="shared" ref="N101" si="217">+D101-K101</f>
        <v>0</v>
      </c>
      <c r="O101" s="445">
        <f t="shared" ref="O101" si="218">+F101-L101</f>
        <v>1.2000000000398359E-3</v>
      </c>
      <c r="P101" s="339">
        <f t="shared" si="92"/>
        <v>-1.2000000000398359E-3</v>
      </c>
      <c r="Q101" s="338"/>
      <c r="R101" s="388"/>
      <c r="S101" s="388"/>
    </row>
    <row r="102" spans="1:19" x14ac:dyDescent="0.2">
      <c r="A102" s="448" t="s">
        <v>197</v>
      </c>
      <c r="B102" s="448" t="s">
        <v>437</v>
      </c>
      <c r="C102" s="676"/>
      <c r="D102" s="677"/>
      <c r="E102" s="677"/>
      <c r="F102" s="678"/>
      <c r="G102" s="444"/>
      <c r="H102" s="445"/>
      <c r="I102" s="470"/>
      <c r="J102" s="445"/>
      <c r="K102" s="443"/>
      <c r="L102" s="446"/>
      <c r="M102" s="445"/>
      <c r="N102" s="443"/>
      <c r="O102" s="445"/>
      <c r="P102" s="339">
        <f t="shared" si="92"/>
        <v>0</v>
      </c>
      <c r="Q102" s="338"/>
      <c r="R102" s="388"/>
      <c r="S102" s="388"/>
    </row>
    <row r="103" spans="1:19" x14ac:dyDescent="0.2">
      <c r="A103" s="454" t="s">
        <v>234</v>
      </c>
      <c r="B103" s="454" t="s">
        <v>438</v>
      </c>
      <c r="C103" s="676" t="s">
        <v>168</v>
      </c>
      <c r="D103" s="677">
        <v>171.38</v>
      </c>
      <c r="E103" s="677">
        <v>10.46</v>
      </c>
      <c r="F103" s="678">
        <v>1792.63</v>
      </c>
      <c r="G103" s="444">
        <v>171.38</v>
      </c>
      <c r="H103" s="445">
        <f t="shared" ref="H103:H104" si="219">+G103*E103</f>
        <v>1792.6348</v>
      </c>
      <c r="I103" s="470">
        <v>0</v>
      </c>
      <c r="J103" s="445">
        <f t="shared" ref="J103:J104" si="220">+I103*E103</f>
        <v>0</v>
      </c>
      <c r="K103" s="443">
        <f t="shared" ref="K103:K104" si="221">+G103+I103</f>
        <v>171.38</v>
      </c>
      <c r="L103" s="446">
        <f t="shared" ref="L103:L104" si="222">+K103*E103</f>
        <v>1792.6348</v>
      </c>
      <c r="M103" s="445">
        <f t="shared" ref="M103:M104" si="223">+K103*100/D103</f>
        <v>100</v>
      </c>
      <c r="N103" s="443">
        <f t="shared" ref="N103:N104" si="224">+D103-K103</f>
        <v>0</v>
      </c>
      <c r="O103" s="445">
        <f t="shared" ref="O103:O104" si="225">+F103-L103</f>
        <v>-4.7999999999319698E-3</v>
      </c>
      <c r="P103" s="339">
        <f t="shared" si="92"/>
        <v>4.7999999999319698E-3</v>
      </c>
      <c r="Q103" s="338"/>
      <c r="R103" s="388"/>
      <c r="S103" s="388"/>
    </row>
    <row r="104" spans="1:19" x14ac:dyDescent="0.2">
      <c r="A104" s="454" t="s">
        <v>235</v>
      </c>
      <c r="B104" s="454" t="s">
        <v>439</v>
      </c>
      <c r="C104" s="676" t="s">
        <v>168</v>
      </c>
      <c r="D104" s="677">
        <v>171.38</v>
      </c>
      <c r="E104" s="677">
        <v>50.050000000000004</v>
      </c>
      <c r="F104" s="678">
        <v>8577.57</v>
      </c>
      <c r="G104" s="444">
        <v>171.38</v>
      </c>
      <c r="H104" s="445">
        <f t="shared" si="219"/>
        <v>8577.5690000000013</v>
      </c>
      <c r="I104" s="470">
        <v>0</v>
      </c>
      <c r="J104" s="445">
        <f t="shared" si="220"/>
        <v>0</v>
      </c>
      <c r="K104" s="443">
        <f t="shared" si="221"/>
        <v>171.38</v>
      </c>
      <c r="L104" s="446">
        <f t="shared" si="222"/>
        <v>8577.5690000000013</v>
      </c>
      <c r="M104" s="445">
        <f t="shared" si="223"/>
        <v>100</v>
      </c>
      <c r="N104" s="443">
        <f t="shared" si="224"/>
        <v>0</v>
      </c>
      <c r="O104" s="445">
        <f t="shared" si="225"/>
        <v>9.9999999838473741E-4</v>
      </c>
      <c r="P104" s="339">
        <f t="shared" si="92"/>
        <v>-9.9999999838473741E-4</v>
      </c>
      <c r="Q104" s="338"/>
      <c r="R104" s="388"/>
      <c r="S104" s="388"/>
    </row>
    <row r="105" spans="1:19" x14ac:dyDescent="0.2">
      <c r="A105" s="448" t="s">
        <v>198</v>
      </c>
      <c r="B105" s="448" t="s">
        <v>422</v>
      </c>
      <c r="C105" s="676"/>
      <c r="D105" s="677"/>
      <c r="E105" s="677"/>
      <c r="F105" s="678"/>
      <c r="G105" s="444"/>
      <c r="H105" s="445"/>
      <c r="I105" s="470"/>
      <c r="J105" s="445"/>
      <c r="K105" s="443"/>
      <c r="L105" s="446"/>
      <c r="M105" s="445"/>
      <c r="N105" s="443"/>
      <c r="O105" s="445"/>
      <c r="P105" s="339">
        <f t="shared" si="92"/>
        <v>0</v>
      </c>
      <c r="Q105" s="338"/>
      <c r="R105" s="388"/>
      <c r="S105" s="388"/>
    </row>
    <row r="106" spans="1:19" x14ac:dyDescent="0.2">
      <c r="A106" s="717" t="s">
        <v>269</v>
      </c>
      <c r="B106" s="717" t="s">
        <v>423</v>
      </c>
      <c r="C106" s="676"/>
      <c r="D106" s="677"/>
      <c r="E106" s="677"/>
      <c r="F106" s="678"/>
      <c r="G106" s="444"/>
      <c r="H106" s="445"/>
      <c r="I106" s="470"/>
      <c r="J106" s="445"/>
      <c r="K106" s="443"/>
      <c r="L106" s="446"/>
      <c r="M106" s="445"/>
      <c r="N106" s="443"/>
      <c r="O106" s="445"/>
      <c r="P106" s="339">
        <f t="shared" si="92"/>
        <v>0</v>
      </c>
      <c r="Q106" s="338"/>
      <c r="R106" s="388"/>
      <c r="S106" s="388"/>
    </row>
    <row r="107" spans="1:19" x14ac:dyDescent="0.2">
      <c r="A107" s="454" t="s">
        <v>501</v>
      </c>
      <c r="B107" s="454" t="s">
        <v>508</v>
      </c>
      <c r="C107" s="676" t="s">
        <v>168</v>
      </c>
      <c r="D107" s="677">
        <v>19.920000000000002</v>
      </c>
      <c r="E107" s="677">
        <v>386.71000000000004</v>
      </c>
      <c r="F107" s="678">
        <v>7703.26</v>
      </c>
      <c r="G107" s="444">
        <v>19.920000000000002</v>
      </c>
      <c r="H107" s="445">
        <f t="shared" ref="H107" si="226">+G107*E107</f>
        <v>7703.2632000000012</v>
      </c>
      <c r="I107" s="470">
        <v>0</v>
      </c>
      <c r="J107" s="445">
        <f t="shared" ref="J107" si="227">+I107*E107</f>
        <v>0</v>
      </c>
      <c r="K107" s="443">
        <f t="shared" ref="K107" si="228">+G107+I107</f>
        <v>19.920000000000002</v>
      </c>
      <c r="L107" s="446">
        <f t="shared" ref="L107" si="229">+K107*E107</f>
        <v>7703.2632000000012</v>
      </c>
      <c r="M107" s="445">
        <f t="shared" ref="M107" si="230">+K107*100/D107</f>
        <v>100</v>
      </c>
      <c r="N107" s="443">
        <f t="shared" ref="N107" si="231">+D107-K107</f>
        <v>0</v>
      </c>
      <c r="O107" s="445">
        <f t="shared" ref="O107" si="232">+F107-L107</f>
        <v>-3.2000000010157237E-3</v>
      </c>
      <c r="P107" s="339">
        <f t="shared" si="92"/>
        <v>3.2000000010157237E-3</v>
      </c>
      <c r="Q107" s="338"/>
      <c r="R107" s="388"/>
      <c r="S107" s="388"/>
    </row>
    <row r="108" spans="1:19" x14ac:dyDescent="0.2">
      <c r="A108" s="448" t="s">
        <v>360</v>
      </c>
      <c r="B108" s="448" t="s">
        <v>424</v>
      </c>
      <c r="C108" s="676"/>
      <c r="D108" s="677"/>
      <c r="E108" s="677"/>
      <c r="F108" s="678"/>
      <c r="G108" s="444"/>
      <c r="H108" s="445"/>
      <c r="I108" s="470"/>
      <c r="J108" s="445"/>
      <c r="K108" s="443"/>
      <c r="L108" s="446"/>
      <c r="M108" s="445"/>
      <c r="N108" s="443"/>
      <c r="O108" s="445"/>
      <c r="P108" s="339">
        <f t="shared" si="92"/>
        <v>0</v>
      </c>
      <c r="Q108" s="338"/>
      <c r="R108" s="388"/>
      <c r="S108" s="388"/>
    </row>
    <row r="109" spans="1:19" x14ac:dyDescent="0.2">
      <c r="A109" s="717" t="s">
        <v>361</v>
      </c>
      <c r="B109" s="717" t="s">
        <v>425</v>
      </c>
      <c r="C109" s="676"/>
      <c r="D109" s="677"/>
      <c r="E109" s="677"/>
      <c r="F109" s="678"/>
      <c r="G109" s="444"/>
      <c r="H109" s="445"/>
      <c r="I109" s="470"/>
      <c r="J109" s="445"/>
      <c r="K109" s="443"/>
      <c r="L109" s="446"/>
      <c r="M109" s="445"/>
      <c r="N109" s="443"/>
      <c r="O109" s="445"/>
      <c r="P109" s="339">
        <f t="shared" si="92"/>
        <v>0</v>
      </c>
      <c r="Q109" s="338"/>
      <c r="R109" s="388"/>
      <c r="S109" s="388"/>
    </row>
    <row r="110" spans="1:19" x14ac:dyDescent="0.2">
      <c r="A110" s="454" t="s">
        <v>362</v>
      </c>
      <c r="B110" s="454" t="s">
        <v>510</v>
      </c>
      <c r="C110" s="676" t="s">
        <v>168</v>
      </c>
      <c r="D110" s="677">
        <v>17.510000000000002</v>
      </c>
      <c r="E110" s="677">
        <v>191.07</v>
      </c>
      <c r="F110" s="678">
        <v>3345.64</v>
      </c>
      <c r="G110" s="444">
        <v>17.510000000000002</v>
      </c>
      <c r="H110" s="445">
        <f t="shared" ref="H110" si="233">+G110*E110</f>
        <v>3345.6357000000003</v>
      </c>
      <c r="I110" s="470">
        <v>0</v>
      </c>
      <c r="J110" s="445">
        <f t="shared" ref="J110" si="234">+I110*E110</f>
        <v>0</v>
      </c>
      <c r="K110" s="443">
        <f t="shared" ref="K110" si="235">+G110+I110</f>
        <v>17.510000000000002</v>
      </c>
      <c r="L110" s="446">
        <f t="shared" ref="L110" si="236">+K110*E110</f>
        <v>3345.6357000000003</v>
      </c>
      <c r="M110" s="445">
        <f t="shared" ref="M110" si="237">+K110*100/D110</f>
        <v>100</v>
      </c>
      <c r="N110" s="443">
        <f t="shared" ref="N110" si="238">+D110-K110</f>
        <v>0</v>
      </c>
      <c r="O110" s="445">
        <f t="shared" ref="O110" si="239">+F110-L110</f>
        <v>4.2999999996027327E-3</v>
      </c>
      <c r="P110" s="339">
        <f t="shared" si="92"/>
        <v>-4.2999999996027327E-3</v>
      </c>
      <c r="Q110" s="338"/>
      <c r="R110" s="388"/>
      <c r="S110" s="388"/>
    </row>
    <row r="111" spans="1:19" x14ac:dyDescent="0.2">
      <c r="A111" s="448" t="s">
        <v>363</v>
      </c>
      <c r="B111" s="448" t="s">
        <v>426</v>
      </c>
      <c r="C111" s="676"/>
      <c r="D111" s="677"/>
      <c r="E111" s="677"/>
      <c r="F111" s="678"/>
      <c r="G111" s="444"/>
      <c r="H111" s="445"/>
      <c r="I111" s="470"/>
      <c r="J111" s="445"/>
      <c r="K111" s="443"/>
      <c r="L111" s="446"/>
      <c r="M111" s="445"/>
      <c r="N111" s="443"/>
      <c r="O111" s="445"/>
      <c r="P111" s="339">
        <f t="shared" si="92"/>
        <v>0</v>
      </c>
      <c r="Q111" s="338"/>
      <c r="R111" s="388"/>
      <c r="S111" s="388"/>
    </row>
    <row r="112" spans="1:19" x14ac:dyDescent="0.2">
      <c r="A112" s="717" t="s">
        <v>364</v>
      </c>
      <c r="B112" s="717" t="s">
        <v>427</v>
      </c>
      <c r="C112" s="676"/>
      <c r="D112" s="677"/>
      <c r="E112" s="677"/>
      <c r="F112" s="678"/>
      <c r="G112" s="444"/>
      <c r="H112" s="445"/>
      <c r="I112" s="470"/>
      <c r="J112" s="445"/>
      <c r="K112" s="443"/>
      <c r="L112" s="446"/>
      <c r="M112" s="445"/>
      <c r="N112" s="443"/>
      <c r="O112" s="445"/>
      <c r="P112" s="339">
        <f t="shared" si="92"/>
        <v>0</v>
      </c>
      <c r="Q112" s="338"/>
      <c r="R112" s="388"/>
      <c r="S112" s="388"/>
    </row>
    <row r="113" spans="1:19" x14ac:dyDescent="0.2">
      <c r="A113" s="454" t="s">
        <v>365</v>
      </c>
      <c r="B113" s="454" t="s">
        <v>523</v>
      </c>
      <c r="C113" s="676" t="s">
        <v>171</v>
      </c>
      <c r="D113" s="677">
        <v>10</v>
      </c>
      <c r="E113" s="677">
        <v>246.49</v>
      </c>
      <c r="F113" s="678">
        <v>2464.9</v>
      </c>
      <c r="G113" s="444">
        <v>10</v>
      </c>
      <c r="H113" s="445">
        <f t="shared" ref="H113" si="240">+G113*E113</f>
        <v>2464.9</v>
      </c>
      <c r="I113" s="470">
        <v>0</v>
      </c>
      <c r="J113" s="445">
        <f t="shared" ref="J113" si="241">+I113*E113</f>
        <v>0</v>
      </c>
      <c r="K113" s="443">
        <f t="shared" ref="K113" si="242">+G113+I113</f>
        <v>10</v>
      </c>
      <c r="L113" s="446">
        <f t="shared" ref="L113" si="243">+K113*E113</f>
        <v>2464.9</v>
      </c>
      <c r="M113" s="445">
        <f t="shared" ref="M113" si="244">+K113*100/D113</f>
        <v>100</v>
      </c>
      <c r="N113" s="443">
        <f t="shared" ref="N113" si="245">+D113-K113</f>
        <v>0</v>
      </c>
      <c r="O113" s="445">
        <f t="shared" ref="O113" si="246">+F113-L113</f>
        <v>0</v>
      </c>
      <c r="P113" s="339">
        <f t="shared" si="92"/>
        <v>0</v>
      </c>
      <c r="Q113" s="338"/>
      <c r="R113" s="388"/>
      <c r="S113" s="388"/>
    </row>
    <row r="114" spans="1:19" x14ac:dyDescent="0.2">
      <c r="A114" s="717" t="s">
        <v>366</v>
      </c>
      <c r="B114" s="717" t="s">
        <v>428</v>
      </c>
      <c r="C114" s="676"/>
      <c r="D114" s="677"/>
      <c r="E114" s="677"/>
      <c r="F114" s="678"/>
      <c r="G114" s="444"/>
      <c r="H114" s="445"/>
      <c r="I114" s="470"/>
      <c r="J114" s="445"/>
      <c r="K114" s="443"/>
      <c r="L114" s="446"/>
      <c r="M114" s="445"/>
      <c r="N114" s="443"/>
      <c r="O114" s="445"/>
      <c r="P114" s="339">
        <f t="shared" si="92"/>
        <v>0</v>
      </c>
      <c r="Q114" s="338"/>
      <c r="R114" s="388"/>
      <c r="S114" s="388"/>
    </row>
    <row r="115" spans="1:19" x14ac:dyDescent="0.2">
      <c r="A115" s="454" t="s">
        <v>367</v>
      </c>
      <c r="B115" s="454" t="s">
        <v>429</v>
      </c>
      <c r="C115" s="676" t="s">
        <v>171</v>
      </c>
      <c r="D115" s="677">
        <v>30</v>
      </c>
      <c r="E115" s="677">
        <v>34.89</v>
      </c>
      <c r="F115" s="678">
        <v>1046.7</v>
      </c>
      <c r="G115" s="444">
        <v>30</v>
      </c>
      <c r="H115" s="445">
        <f t="shared" ref="H115" si="247">+G115*E115</f>
        <v>1046.7</v>
      </c>
      <c r="I115" s="470">
        <v>0</v>
      </c>
      <c r="J115" s="445">
        <f t="shared" ref="J115" si="248">+I115*E115</f>
        <v>0</v>
      </c>
      <c r="K115" s="443">
        <f t="shared" ref="K115" si="249">+G115+I115</f>
        <v>30</v>
      </c>
      <c r="L115" s="446">
        <f t="shared" ref="L115" si="250">+K115*E115</f>
        <v>1046.7</v>
      </c>
      <c r="M115" s="445">
        <f t="shared" ref="M115" si="251">+K115*100/D115</f>
        <v>100</v>
      </c>
      <c r="N115" s="443">
        <f t="shared" ref="N115" si="252">+D115-K115</f>
        <v>0</v>
      </c>
      <c r="O115" s="445">
        <f t="shared" ref="O115" si="253">+F115-L115</f>
        <v>0</v>
      </c>
      <c r="P115" s="339">
        <f t="shared" si="92"/>
        <v>0</v>
      </c>
      <c r="Q115" s="338"/>
      <c r="R115" s="388"/>
      <c r="S115" s="388"/>
    </row>
    <row r="116" spans="1:19" x14ac:dyDescent="0.2">
      <c r="A116" s="448" t="s">
        <v>368</v>
      </c>
      <c r="B116" s="448" t="s">
        <v>430</v>
      </c>
      <c r="C116" s="676"/>
      <c r="D116" s="677"/>
      <c r="E116" s="677"/>
      <c r="F116" s="678"/>
      <c r="G116" s="444"/>
      <c r="H116" s="445"/>
      <c r="I116" s="470"/>
      <c r="J116" s="445"/>
      <c r="K116" s="443"/>
      <c r="L116" s="446"/>
      <c r="M116" s="445"/>
      <c r="N116" s="443"/>
      <c r="O116" s="445"/>
      <c r="P116" s="339">
        <f t="shared" ref="P116" si="254">D116*E116-F116</f>
        <v>0</v>
      </c>
      <c r="Q116" s="338"/>
      <c r="R116" s="388"/>
      <c r="S116" s="388"/>
    </row>
    <row r="117" spans="1:19" x14ac:dyDescent="0.2">
      <c r="A117" s="717" t="s">
        <v>369</v>
      </c>
      <c r="B117" s="717" t="s">
        <v>431</v>
      </c>
      <c r="C117" s="676"/>
      <c r="D117" s="677"/>
      <c r="E117" s="677"/>
      <c r="F117" s="678"/>
      <c r="G117" s="444"/>
      <c r="H117" s="445"/>
      <c r="I117" s="470"/>
      <c r="J117" s="445"/>
      <c r="K117" s="443"/>
      <c r="L117" s="446"/>
      <c r="M117" s="445"/>
      <c r="N117" s="443"/>
      <c r="O117" s="445"/>
      <c r="P117" s="339">
        <f t="shared" si="92"/>
        <v>0</v>
      </c>
      <c r="Q117" s="338"/>
      <c r="R117" s="388"/>
      <c r="S117" s="388"/>
    </row>
    <row r="118" spans="1:19" x14ac:dyDescent="0.2">
      <c r="A118" s="454" t="s">
        <v>370</v>
      </c>
      <c r="B118" s="454" t="s">
        <v>515</v>
      </c>
      <c r="C118" s="676" t="s">
        <v>221</v>
      </c>
      <c r="D118" s="677">
        <v>4</v>
      </c>
      <c r="E118" s="677">
        <v>162.99</v>
      </c>
      <c r="F118" s="678">
        <v>651.96</v>
      </c>
      <c r="G118" s="444">
        <v>4</v>
      </c>
      <c r="H118" s="445">
        <f t="shared" ref="H118" si="255">+G118*E118</f>
        <v>651.96</v>
      </c>
      <c r="I118" s="470">
        <v>0</v>
      </c>
      <c r="J118" s="445">
        <f t="shared" ref="J118" si="256">+I118*E118</f>
        <v>0</v>
      </c>
      <c r="K118" s="443">
        <f t="shared" ref="K118" si="257">+G118+I118</f>
        <v>4</v>
      </c>
      <c r="L118" s="446">
        <f t="shared" ref="L118" si="258">+K118*E118</f>
        <v>651.96</v>
      </c>
      <c r="M118" s="445">
        <f t="shared" ref="M118" si="259">+K118*100/D118</f>
        <v>100</v>
      </c>
      <c r="N118" s="443">
        <f t="shared" ref="N118" si="260">+D118-K118</f>
        <v>0</v>
      </c>
      <c r="O118" s="445">
        <f t="shared" ref="O118" si="261">+F118-L118</f>
        <v>0</v>
      </c>
      <c r="P118" s="339">
        <f t="shared" ref="P118:P141" si="262">D118*E118-F118</f>
        <v>0</v>
      </c>
      <c r="Q118" s="338"/>
      <c r="R118" s="388"/>
      <c r="S118" s="388"/>
    </row>
    <row r="119" spans="1:19" x14ac:dyDescent="0.2">
      <c r="A119" s="448" t="s">
        <v>371</v>
      </c>
      <c r="B119" s="448" t="s">
        <v>432</v>
      </c>
      <c r="C119" s="676"/>
      <c r="D119" s="677"/>
      <c r="E119" s="677"/>
      <c r="F119" s="678"/>
      <c r="G119" s="444"/>
      <c r="H119" s="445"/>
      <c r="I119" s="470"/>
      <c r="J119" s="445"/>
      <c r="K119" s="443"/>
      <c r="L119" s="446"/>
      <c r="M119" s="445"/>
      <c r="N119" s="443"/>
      <c r="O119" s="445"/>
      <c r="P119" s="339">
        <f t="shared" si="262"/>
        <v>0</v>
      </c>
      <c r="Q119" s="338"/>
      <c r="R119" s="388"/>
      <c r="S119" s="388"/>
    </row>
    <row r="120" spans="1:19" x14ac:dyDescent="0.2">
      <c r="A120" s="454" t="s">
        <v>372</v>
      </c>
      <c r="B120" s="454" t="s">
        <v>516</v>
      </c>
      <c r="C120" s="676" t="s">
        <v>168</v>
      </c>
      <c r="D120" s="677">
        <v>338.40000000000003</v>
      </c>
      <c r="E120" s="677">
        <v>18.510000000000002</v>
      </c>
      <c r="F120" s="678">
        <v>6263.78</v>
      </c>
      <c r="G120" s="444">
        <v>338.4</v>
      </c>
      <c r="H120" s="445">
        <f t="shared" ref="H120:H122" si="263">+G120*E120</f>
        <v>6263.7840000000006</v>
      </c>
      <c r="I120" s="470">
        <v>0</v>
      </c>
      <c r="J120" s="445">
        <f t="shared" ref="J120:J122" si="264">+I120*E120</f>
        <v>0</v>
      </c>
      <c r="K120" s="443">
        <f t="shared" ref="K120:K122" si="265">+G120+I120</f>
        <v>338.4</v>
      </c>
      <c r="L120" s="446">
        <f t="shared" ref="L120:L122" si="266">+K120*E120</f>
        <v>6263.7840000000006</v>
      </c>
      <c r="M120" s="445">
        <f t="shared" ref="M120:M122" si="267">+K120*100/D120</f>
        <v>99.999999999999986</v>
      </c>
      <c r="N120" s="443">
        <f t="shared" ref="N120:N122" si="268">+D120-K120</f>
        <v>0</v>
      </c>
      <c r="O120" s="445">
        <f t="shared" ref="O120:O122" si="269">+F120-L120</f>
        <v>-4.0000000008149073E-3</v>
      </c>
      <c r="P120" s="339">
        <f t="shared" si="262"/>
        <v>4.000000001724402E-3</v>
      </c>
      <c r="Q120" s="338"/>
      <c r="R120" s="388"/>
      <c r="S120" s="388"/>
    </row>
    <row r="121" spans="1:19" x14ac:dyDescent="0.2">
      <c r="A121" s="454" t="s">
        <v>373</v>
      </c>
      <c r="B121" s="454" t="s">
        <v>517</v>
      </c>
      <c r="C121" s="676" t="s">
        <v>168</v>
      </c>
      <c r="D121" s="677">
        <v>262.24</v>
      </c>
      <c r="E121" s="677">
        <v>18.93</v>
      </c>
      <c r="F121" s="678">
        <v>4964.2</v>
      </c>
      <c r="G121" s="444">
        <v>262.24</v>
      </c>
      <c r="H121" s="445">
        <f t="shared" si="263"/>
        <v>4964.2031999999999</v>
      </c>
      <c r="I121" s="470">
        <v>0</v>
      </c>
      <c r="J121" s="445">
        <f t="shared" si="264"/>
        <v>0</v>
      </c>
      <c r="K121" s="443">
        <f t="shared" si="265"/>
        <v>262.24</v>
      </c>
      <c r="L121" s="446">
        <f t="shared" si="266"/>
        <v>4964.2031999999999</v>
      </c>
      <c r="M121" s="445">
        <f t="shared" si="267"/>
        <v>100</v>
      </c>
      <c r="N121" s="443">
        <f t="shared" si="268"/>
        <v>0</v>
      </c>
      <c r="O121" s="445">
        <f t="shared" si="269"/>
        <v>-3.200000000106229E-3</v>
      </c>
      <c r="P121" s="339">
        <f t="shared" si="262"/>
        <v>3.200000000106229E-3</v>
      </c>
      <c r="Q121" s="338"/>
      <c r="R121" s="388"/>
      <c r="S121" s="388"/>
    </row>
    <row r="122" spans="1:19" x14ac:dyDescent="0.2">
      <c r="A122" s="454" t="s">
        <v>374</v>
      </c>
      <c r="B122" s="454" t="s">
        <v>518</v>
      </c>
      <c r="C122" s="676" t="s">
        <v>168</v>
      </c>
      <c r="D122" s="677">
        <v>154.87</v>
      </c>
      <c r="E122" s="677">
        <v>19.52</v>
      </c>
      <c r="F122" s="678">
        <v>3023.06</v>
      </c>
      <c r="G122" s="444">
        <v>154.87</v>
      </c>
      <c r="H122" s="445">
        <f t="shared" si="263"/>
        <v>3023.0623999999998</v>
      </c>
      <c r="I122" s="470">
        <v>0</v>
      </c>
      <c r="J122" s="445">
        <f t="shared" si="264"/>
        <v>0</v>
      </c>
      <c r="K122" s="443">
        <f t="shared" si="265"/>
        <v>154.87</v>
      </c>
      <c r="L122" s="446">
        <f t="shared" si="266"/>
        <v>3023.0623999999998</v>
      </c>
      <c r="M122" s="445">
        <f t="shared" si="267"/>
        <v>100</v>
      </c>
      <c r="N122" s="443">
        <f t="shared" si="268"/>
        <v>0</v>
      </c>
      <c r="O122" s="445">
        <f t="shared" si="269"/>
        <v>-2.3999999998522981E-3</v>
      </c>
      <c r="P122" s="339">
        <f t="shared" si="262"/>
        <v>2.3999999998522981E-3</v>
      </c>
      <c r="Q122" s="338"/>
      <c r="R122" s="388"/>
      <c r="S122" s="388"/>
    </row>
    <row r="123" spans="1:19" s="630" customFormat="1" x14ac:dyDescent="0.2">
      <c r="A123" s="448" t="s">
        <v>375</v>
      </c>
      <c r="B123" s="448" t="s">
        <v>433</v>
      </c>
      <c r="C123" s="676"/>
      <c r="D123" s="677"/>
      <c r="E123" s="677"/>
      <c r="F123" s="678"/>
      <c r="G123" s="444"/>
      <c r="H123" s="445"/>
      <c r="I123" s="470"/>
      <c r="J123" s="445"/>
      <c r="K123" s="443"/>
      <c r="L123" s="446"/>
      <c r="M123" s="445"/>
      <c r="N123" s="443"/>
      <c r="O123" s="445"/>
      <c r="P123" s="339">
        <f t="shared" si="262"/>
        <v>0</v>
      </c>
      <c r="Q123" s="211"/>
      <c r="R123" s="388"/>
      <c r="S123" s="388"/>
    </row>
    <row r="124" spans="1:19" s="630" customFormat="1" x14ac:dyDescent="0.2">
      <c r="A124" s="454" t="s">
        <v>376</v>
      </c>
      <c r="B124" s="454" t="s">
        <v>434</v>
      </c>
      <c r="C124" s="676" t="s">
        <v>221</v>
      </c>
      <c r="D124" s="677">
        <v>10</v>
      </c>
      <c r="E124" s="677">
        <v>45.9</v>
      </c>
      <c r="F124" s="678">
        <v>459</v>
      </c>
      <c r="G124" s="444">
        <v>10</v>
      </c>
      <c r="H124" s="445">
        <f t="shared" ref="H124:H125" si="270">+G124*E124</f>
        <v>459</v>
      </c>
      <c r="I124" s="470">
        <v>0</v>
      </c>
      <c r="J124" s="445">
        <f t="shared" ref="J124:J125" si="271">+I124*E124</f>
        <v>0</v>
      </c>
      <c r="K124" s="443">
        <f t="shared" ref="K124:K125" si="272">+G124+I124</f>
        <v>10</v>
      </c>
      <c r="L124" s="446">
        <f t="shared" ref="L124:L125" si="273">+K124*E124</f>
        <v>459</v>
      </c>
      <c r="M124" s="445">
        <f t="shared" ref="M124:M125" si="274">+K124*100/D124</f>
        <v>100</v>
      </c>
      <c r="N124" s="443">
        <f t="shared" ref="N124:N125" si="275">+D124-K124</f>
        <v>0</v>
      </c>
      <c r="O124" s="445">
        <f t="shared" ref="O124:O125" si="276">+F124-L124</f>
        <v>0</v>
      </c>
      <c r="P124" s="339">
        <f t="shared" si="262"/>
        <v>0</v>
      </c>
      <c r="Q124" s="211"/>
      <c r="R124" s="388"/>
      <c r="S124" s="388"/>
    </row>
    <row r="125" spans="1:19" s="630" customFormat="1" x14ac:dyDescent="0.2">
      <c r="A125" s="454" t="s">
        <v>377</v>
      </c>
      <c r="B125" s="454" t="s">
        <v>435</v>
      </c>
      <c r="C125" s="676" t="s">
        <v>221</v>
      </c>
      <c r="D125" s="677">
        <v>4</v>
      </c>
      <c r="E125" s="677">
        <v>111.12</v>
      </c>
      <c r="F125" s="678">
        <v>444.48</v>
      </c>
      <c r="G125" s="444">
        <v>4</v>
      </c>
      <c r="H125" s="445">
        <f t="shared" si="270"/>
        <v>444.48</v>
      </c>
      <c r="I125" s="470">
        <v>0</v>
      </c>
      <c r="J125" s="445">
        <f t="shared" si="271"/>
        <v>0</v>
      </c>
      <c r="K125" s="443">
        <f t="shared" si="272"/>
        <v>4</v>
      </c>
      <c r="L125" s="446">
        <f t="shared" si="273"/>
        <v>444.48</v>
      </c>
      <c r="M125" s="445">
        <f t="shared" si="274"/>
        <v>100</v>
      </c>
      <c r="N125" s="443">
        <f t="shared" si="275"/>
        <v>0</v>
      </c>
      <c r="O125" s="445">
        <f t="shared" si="276"/>
        <v>0</v>
      </c>
      <c r="P125" s="339">
        <f t="shared" si="262"/>
        <v>0</v>
      </c>
      <c r="Q125" s="211"/>
      <c r="R125" s="388"/>
      <c r="S125" s="388"/>
    </row>
    <row r="126" spans="1:19" s="630" customFormat="1" x14ac:dyDescent="0.2">
      <c r="A126" s="453" t="s">
        <v>199</v>
      </c>
      <c r="B126" s="453" t="s">
        <v>333</v>
      </c>
      <c r="C126" s="676"/>
      <c r="D126" s="677"/>
      <c r="E126" s="677"/>
      <c r="F126" s="678"/>
      <c r="G126" s="444"/>
      <c r="H126" s="445"/>
      <c r="I126" s="470"/>
      <c r="J126" s="445"/>
      <c r="K126" s="443"/>
      <c r="L126" s="446"/>
      <c r="M126" s="445"/>
      <c r="N126" s="443"/>
      <c r="O126" s="445"/>
      <c r="P126" s="339">
        <f t="shared" si="262"/>
        <v>0</v>
      </c>
      <c r="Q126" s="211"/>
      <c r="R126" s="388"/>
      <c r="S126" s="388"/>
    </row>
    <row r="127" spans="1:19" x14ac:dyDescent="0.2">
      <c r="A127" s="907" t="s">
        <v>200</v>
      </c>
      <c r="B127" s="448" t="s">
        <v>441</v>
      </c>
      <c r="C127" s="676"/>
      <c r="D127" s="677"/>
      <c r="E127" s="677"/>
      <c r="F127" s="678"/>
      <c r="G127" s="444"/>
      <c r="H127" s="445"/>
      <c r="I127" s="470"/>
      <c r="J127" s="445"/>
      <c r="K127" s="443"/>
      <c r="L127" s="446"/>
      <c r="M127" s="445"/>
      <c r="N127" s="443"/>
      <c r="O127" s="445"/>
      <c r="P127" s="339">
        <f t="shared" si="262"/>
        <v>0</v>
      </c>
      <c r="Q127" s="338"/>
      <c r="R127" s="388"/>
      <c r="S127" s="388"/>
    </row>
    <row r="128" spans="1:19" x14ac:dyDescent="0.2">
      <c r="A128" s="731" t="s">
        <v>502</v>
      </c>
      <c r="B128" s="454" t="s">
        <v>527</v>
      </c>
      <c r="C128" s="676" t="s">
        <v>221</v>
      </c>
      <c r="D128" s="677">
        <v>1</v>
      </c>
      <c r="E128" s="677">
        <v>702.38</v>
      </c>
      <c r="F128" s="678">
        <v>702.38</v>
      </c>
      <c r="G128" s="444">
        <v>1</v>
      </c>
      <c r="H128" s="445">
        <f t="shared" ref="H128" si="277">+G128*E128</f>
        <v>702.38</v>
      </c>
      <c r="I128" s="470">
        <v>0</v>
      </c>
      <c r="J128" s="445">
        <f t="shared" ref="J128" si="278">+I128*E128</f>
        <v>0</v>
      </c>
      <c r="K128" s="443">
        <f t="shared" ref="K128" si="279">+G128+I128</f>
        <v>1</v>
      </c>
      <c r="L128" s="446">
        <f t="shared" ref="L128" si="280">+K128*E128</f>
        <v>702.38</v>
      </c>
      <c r="M128" s="445">
        <f t="shared" ref="M128" si="281">+K128*100/D128</f>
        <v>100</v>
      </c>
      <c r="N128" s="443">
        <f t="shared" ref="N128" si="282">+D128-K128</f>
        <v>0</v>
      </c>
      <c r="O128" s="445">
        <f t="shared" ref="O128" si="283">+F128-L128</f>
        <v>0</v>
      </c>
      <c r="P128" s="339">
        <f t="shared" si="262"/>
        <v>0</v>
      </c>
      <c r="Q128" s="338"/>
      <c r="R128" s="388"/>
      <c r="S128" s="388"/>
    </row>
    <row r="129" spans="1:22" x14ac:dyDescent="0.2">
      <c r="A129" s="731" t="s">
        <v>526</v>
      </c>
      <c r="B129" s="454" t="s">
        <v>528</v>
      </c>
      <c r="C129" s="676" t="s">
        <v>221</v>
      </c>
      <c r="D129" s="677">
        <v>4</v>
      </c>
      <c r="E129" s="677">
        <v>617.64</v>
      </c>
      <c r="F129" s="678">
        <v>2470.56</v>
      </c>
      <c r="G129" s="444">
        <v>4</v>
      </c>
      <c r="H129" s="445">
        <f t="shared" ref="H129" si="284">+G129*E129</f>
        <v>2470.56</v>
      </c>
      <c r="I129" s="470">
        <v>0</v>
      </c>
      <c r="J129" s="445">
        <f t="shared" ref="J129" si="285">+I129*E129</f>
        <v>0</v>
      </c>
      <c r="K129" s="443">
        <f t="shared" ref="K129" si="286">+G129+I129</f>
        <v>4</v>
      </c>
      <c r="L129" s="446">
        <f t="shared" ref="L129" si="287">+K129*E129</f>
        <v>2470.56</v>
      </c>
      <c r="M129" s="445">
        <f t="shared" ref="M129" si="288">+K129*100/D129</f>
        <v>100</v>
      </c>
      <c r="N129" s="443">
        <f t="shared" ref="N129" si="289">+D129-K129</f>
        <v>0</v>
      </c>
      <c r="O129" s="445">
        <f t="shared" ref="O129" si="290">+F129-L129</f>
        <v>0</v>
      </c>
      <c r="P129" s="339">
        <f t="shared" si="262"/>
        <v>0</v>
      </c>
      <c r="Q129" s="338"/>
      <c r="R129" s="388"/>
      <c r="S129" s="388"/>
    </row>
    <row r="130" spans="1:22" x14ac:dyDescent="0.2">
      <c r="A130" s="907" t="s">
        <v>201</v>
      </c>
      <c r="B130" s="448" t="s">
        <v>442</v>
      </c>
      <c r="C130" s="676"/>
      <c r="D130" s="677"/>
      <c r="E130" s="677"/>
      <c r="F130" s="678"/>
      <c r="G130" s="444"/>
      <c r="H130" s="445"/>
      <c r="I130" s="470"/>
      <c r="J130" s="445"/>
      <c r="K130" s="443"/>
      <c r="L130" s="446"/>
      <c r="M130" s="445"/>
      <c r="N130" s="443"/>
      <c r="O130" s="445"/>
      <c r="P130" s="339">
        <f t="shared" si="262"/>
        <v>0</v>
      </c>
      <c r="Q130" s="338"/>
      <c r="R130" s="388"/>
      <c r="S130" s="388"/>
    </row>
    <row r="131" spans="1:22" x14ac:dyDescent="0.2">
      <c r="A131" s="454" t="s">
        <v>270</v>
      </c>
      <c r="B131" s="454" t="s">
        <v>529</v>
      </c>
      <c r="C131" s="676" t="s">
        <v>99</v>
      </c>
      <c r="D131" s="677">
        <v>1300</v>
      </c>
      <c r="E131" s="677">
        <v>2.31</v>
      </c>
      <c r="F131" s="678">
        <v>3003</v>
      </c>
      <c r="G131" s="444">
        <v>1300</v>
      </c>
      <c r="H131" s="445">
        <f t="shared" ref="H131:H134" si="291">+G131*E131</f>
        <v>3003</v>
      </c>
      <c r="I131" s="470">
        <v>0</v>
      </c>
      <c r="J131" s="445">
        <f t="shared" ref="J131:J134" si="292">+I131*E131</f>
        <v>0</v>
      </c>
      <c r="K131" s="443">
        <f t="shared" ref="K131:K134" si="293">+G131+I131</f>
        <v>1300</v>
      </c>
      <c r="L131" s="446">
        <f t="shared" ref="L131:L134" si="294">+K131*E131</f>
        <v>3003</v>
      </c>
      <c r="M131" s="445">
        <f t="shared" ref="M131:M134" si="295">+K131*100/D131</f>
        <v>100</v>
      </c>
      <c r="N131" s="443">
        <f t="shared" ref="N131:N134" si="296">+D131-K131</f>
        <v>0</v>
      </c>
      <c r="O131" s="445">
        <f t="shared" ref="O131:O134" si="297">+F131-L131</f>
        <v>0</v>
      </c>
      <c r="P131" s="339">
        <f t="shared" si="262"/>
        <v>0</v>
      </c>
      <c r="Q131" s="338"/>
      <c r="R131" s="388"/>
      <c r="S131" s="388"/>
    </row>
    <row r="132" spans="1:22" x14ac:dyDescent="0.2">
      <c r="A132" s="454" t="s">
        <v>271</v>
      </c>
      <c r="B132" s="454" t="s">
        <v>530</v>
      </c>
      <c r="C132" s="676" t="s">
        <v>99</v>
      </c>
      <c r="D132" s="677">
        <v>1500</v>
      </c>
      <c r="E132" s="677">
        <v>2.7600000000000002</v>
      </c>
      <c r="F132" s="678">
        <v>4140</v>
      </c>
      <c r="G132" s="444">
        <v>1500</v>
      </c>
      <c r="H132" s="445">
        <f t="shared" si="291"/>
        <v>4140</v>
      </c>
      <c r="I132" s="470">
        <v>0</v>
      </c>
      <c r="J132" s="445">
        <f t="shared" si="292"/>
        <v>0</v>
      </c>
      <c r="K132" s="443">
        <f t="shared" si="293"/>
        <v>1500</v>
      </c>
      <c r="L132" s="446">
        <f t="shared" si="294"/>
        <v>4140</v>
      </c>
      <c r="M132" s="445">
        <f t="shared" si="295"/>
        <v>100</v>
      </c>
      <c r="N132" s="443">
        <f t="shared" si="296"/>
        <v>0</v>
      </c>
      <c r="O132" s="445">
        <f t="shared" si="297"/>
        <v>0</v>
      </c>
      <c r="P132" s="339">
        <f t="shared" si="262"/>
        <v>0</v>
      </c>
      <c r="Q132" s="338"/>
      <c r="R132" s="388"/>
      <c r="S132" s="388"/>
    </row>
    <row r="133" spans="1:22" x14ac:dyDescent="0.2">
      <c r="A133" s="454" t="s">
        <v>272</v>
      </c>
      <c r="B133" s="454" t="s">
        <v>531</v>
      </c>
      <c r="C133" s="676" t="s">
        <v>99</v>
      </c>
      <c r="D133" s="677">
        <v>100</v>
      </c>
      <c r="E133" s="677">
        <v>1.55</v>
      </c>
      <c r="F133" s="678">
        <v>155</v>
      </c>
      <c r="G133" s="444">
        <v>100</v>
      </c>
      <c r="H133" s="445">
        <f t="shared" si="291"/>
        <v>155</v>
      </c>
      <c r="I133" s="470">
        <v>0</v>
      </c>
      <c r="J133" s="445">
        <f t="shared" si="292"/>
        <v>0</v>
      </c>
      <c r="K133" s="443">
        <f t="shared" si="293"/>
        <v>100</v>
      </c>
      <c r="L133" s="446">
        <f t="shared" si="294"/>
        <v>155</v>
      </c>
      <c r="M133" s="445">
        <f t="shared" si="295"/>
        <v>100</v>
      </c>
      <c r="N133" s="443">
        <f t="shared" si="296"/>
        <v>0</v>
      </c>
      <c r="O133" s="445">
        <f t="shared" si="297"/>
        <v>0</v>
      </c>
      <c r="P133" s="339">
        <f t="shared" si="262"/>
        <v>0</v>
      </c>
      <c r="Q133" s="338"/>
      <c r="R133" s="388"/>
      <c r="S133" s="388"/>
    </row>
    <row r="134" spans="1:22" x14ac:dyDescent="0.2">
      <c r="A134" s="454" t="s">
        <v>273</v>
      </c>
      <c r="B134" s="454" t="s">
        <v>532</v>
      </c>
      <c r="C134" s="676" t="s">
        <v>99</v>
      </c>
      <c r="D134" s="677">
        <v>20</v>
      </c>
      <c r="E134" s="677">
        <v>27.22</v>
      </c>
      <c r="F134" s="678">
        <v>544.4</v>
      </c>
      <c r="G134" s="444">
        <v>20</v>
      </c>
      <c r="H134" s="445">
        <f t="shared" si="291"/>
        <v>544.4</v>
      </c>
      <c r="I134" s="470">
        <v>0</v>
      </c>
      <c r="J134" s="445">
        <f t="shared" si="292"/>
        <v>0</v>
      </c>
      <c r="K134" s="443">
        <f t="shared" si="293"/>
        <v>20</v>
      </c>
      <c r="L134" s="446">
        <f t="shared" si="294"/>
        <v>544.4</v>
      </c>
      <c r="M134" s="445">
        <f t="shared" si="295"/>
        <v>100</v>
      </c>
      <c r="N134" s="443">
        <f t="shared" si="296"/>
        <v>0</v>
      </c>
      <c r="O134" s="445">
        <f t="shared" si="297"/>
        <v>0</v>
      </c>
      <c r="P134" s="339">
        <f t="shared" si="262"/>
        <v>0</v>
      </c>
      <c r="Q134" s="338"/>
      <c r="R134" s="388"/>
      <c r="S134" s="388"/>
    </row>
    <row r="135" spans="1:22" x14ac:dyDescent="0.2">
      <c r="A135" s="730">
        <v>5.03</v>
      </c>
      <c r="B135" s="448" t="s">
        <v>533</v>
      </c>
      <c r="C135" s="676"/>
      <c r="D135" s="677"/>
      <c r="E135" s="677"/>
      <c r="F135" s="678"/>
      <c r="G135" s="444"/>
      <c r="H135" s="445"/>
      <c r="I135" s="470"/>
      <c r="J135" s="445"/>
      <c r="K135" s="443"/>
      <c r="L135" s="446"/>
      <c r="M135" s="445"/>
      <c r="N135" s="443"/>
      <c r="O135" s="445"/>
      <c r="P135" s="339">
        <f t="shared" si="262"/>
        <v>0</v>
      </c>
      <c r="Q135" s="338"/>
      <c r="R135" s="388"/>
      <c r="S135" s="388"/>
    </row>
    <row r="136" spans="1:22" x14ac:dyDescent="0.2">
      <c r="A136" s="454" t="s">
        <v>499</v>
      </c>
      <c r="B136" s="454" t="s">
        <v>534</v>
      </c>
      <c r="C136" s="676" t="s">
        <v>99</v>
      </c>
      <c r="D136" s="677">
        <v>609</v>
      </c>
      <c r="E136" s="677">
        <v>2.37</v>
      </c>
      <c r="F136" s="678">
        <v>1443.33</v>
      </c>
      <c r="G136" s="444">
        <v>609</v>
      </c>
      <c r="H136" s="445">
        <f t="shared" ref="H136" si="298">+G136*E136</f>
        <v>1443.3300000000002</v>
      </c>
      <c r="I136" s="470">
        <v>0</v>
      </c>
      <c r="J136" s="445">
        <f t="shared" ref="J136" si="299">+I136*E136</f>
        <v>0</v>
      </c>
      <c r="K136" s="443">
        <f t="shared" ref="K136" si="300">+G136+I136</f>
        <v>609</v>
      </c>
      <c r="L136" s="446">
        <f t="shared" ref="L136" si="301">+K136*E136</f>
        <v>1443.3300000000002</v>
      </c>
      <c r="M136" s="445">
        <f t="shared" ref="M136" si="302">+K136*100/D136</f>
        <v>100</v>
      </c>
      <c r="N136" s="443">
        <f t="shared" ref="N136" si="303">+D136-K136</f>
        <v>0</v>
      </c>
      <c r="O136" s="445">
        <f t="shared" ref="O136" si="304">+F136-L136</f>
        <v>0</v>
      </c>
      <c r="P136" s="339">
        <f t="shared" si="262"/>
        <v>0</v>
      </c>
      <c r="Q136" s="338"/>
      <c r="R136" s="388"/>
      <c r="S136" s="388"/>
    </row>
    <row r="137" spans="1:22" x14ac:dyDescent="0.2">
      <c r="A137" s="730">
        <v>5.04</v>
      </c>
      <c r="B137" s="448" t="s">
        <v>443</v>
      </c>
      <c r="C137" s="676"/>
      <c r="D137" s="677"/>
      <c r="E137" s="677"/>
      <c r="F137" s="678"/>
      <c r="G137" s="444"/>
      <c r="H137" s="445"/>
      <c r="I137" s="470"/>
      <c r="J137" s="445"/>
      <c r="K137" s="443"/>
      <c r="L137" s="446"/>
      <c r="M137" s="445"/>
      <c r="N137" s="443"/>
      <c r="O137" s="445"/>
      <c r="P137" s="339">
        <f t="shared" si="262"/>
        <v>0</v>
      </c>
      <c r="Q137" s="338"/>
      <c r="R137" s="388"/>
      <c r="S137" s="388"/>
    </row>
    <row r="138" spans="1:22" x14ac:dyDescent="0.2">
      <c r="A138" s="454" t="s">
        <v>274</v>
      </c>
      <c r="B138" s="454" t="s">
        <v>444</v>
      </c>
      <c r="C138" s="676" t="s">
        <v>221</v>
      </c>
      <c r="D138" s="677">
        <v>61</v>
      </c>
      <c r="E138" s="677">
        <v>64.56</v>
      </c>
      <c r="F138" s="678">
        <v>3938.1600000000003</v>
      </c>
      <c r="G138" s="444">
        <v>61</v>
      </c>
      <c r="H138" s="445">
        <f t="shared" ref="H138:H141" si="305">+G138*E138</f>
        <v>3938.1600000000003</v>
      </c>
      <c r="I138" s="470">
        <v>0</v>
      </c>
      <c r="J138" s="445">
        <f t="shared" ref="J138:J141" si="306">+I138*E138</f>
        <v>0</v>
      </c>
      <c r="K138" s="443">
        <f t="shared" ref="K138:K141" si="307">+G138+I138</f>
        <v>61</v>
      </c>
      <c r="L138" s="446">
        <f t="shared" ref="L138:L141" si="308">+K138*E138</f>
        <v>3938.1600000000003</v>
      </c>
      <c r="M138" s="445">
        <f t="shared" ref="M138:M141" si="309">+K138*100/D138</f>
        <v>100</v>
      </c>
      <c r="N138" s="443">
        <f t="shared" ref="N138:N141" si="310">+D138-K138</f>
        <v>0</v>
      </c>
      <c r="O138" s="445">
        <f t="shared" ref="O138:O141" si="311">+F138-L138</f>
        <v>0</v>
      </c>
      <c r="P138" s="339">
        <f t="shared" si="262"/>
        <v>0</v>
      </c>
      <c r="Q138" s="338"/>
      <c r="R138" s="388"/>
      <c r="S138" s="388"/>
    </row>
    <row r="139" spans="1:22" x14ac:dyDescent="0.2">
      <c r="A139" s="454" t="s">
        <v>275</v>
      </c>
      <c r="B139" s="454" t="s">
        <v>445</v>
      </c>
      <c r="C139" s="676" t="s">
        <v>221</v>
      </c>
      <c r="D139" s="677">
        <v>38</v>
      </c>
      <c r="E139" s="677">
        <v>50.79</v>
      </c>
      <c r="F139" s="678">
        <v>1930.02</v>
      </c>
      <c r="G139" s="444">
        <v>38</v>
      </c>
      <c r="H139" s="445">
        <f t="shared" si="305"/>
        <v>1930.02</v>
      </c>
      <c r="I139" s="470">
        <v>0</v>
      </c>
      <c r="J139" s="445">
        <f t="shared" si="306"/>
        <v>0</v>
      </c>
      <c r="K139" s="443">
        <f t="shared" si="307"/>
        <v>38</v>
      </c>
      <c r="L139" s="446">
        <f t="shared" si="308"/>
        <v>1930.02</v>
      </c>
      <c r="M139" s="445">
        <f t="shared" si="309"/>
        <v>100</v>
      </c>
      <c r="N139" s="443">
        <f t="shared" si="310"/>
        <v>0</v>
      </c>
      <c r="O139" s="445">
        <f t="shared" si="311"/>
        <v>0</v>
      </c>
      <c r="P139" s="339">
        <f t="shared" si="262"/>
        <v>0</v>
      </c>
      <c r="Q139" s="338"/>
      <c r="R139" s="388"/>
      <c r="S139" s="388"/>
    </row>
    <row r="140" spans="1:22" x14ac:dyDescent="0.2">
      <c r="A140" s="454" t="s">
        <v>465</v>
      </c>
      <c r="B140" s="454" t="s">
        <v>535</v>
      </c>
      <c r="C140" s="676" t="s">
        <v>221</v>
      </c>
      <c r="D140" s="677">
        <v>30</v>
      </c>
      <c r="E140" s="677">
        <v>300.62</v>
      </c>
      <c r="F140" s="678">
        <v>9018.6</v>
      </c>
      <c r="G140" s="444">
        <v>30</v>
      </c>
      <c r="H140" s="445">
        <f t="shared" si="305"/>
        <v>9018.6</v>
      </c>
      <c r="I140" s="470">
        <v>0</v>
      </c>
      <c r="J140" s="445">
        <f t="shared" si="306"/>
        <v>0</v>
      </c>
      <c r="K140" s="443">
        <f t="shared" si="307"/>
        <v>30</v>
      </c>
      <c r="L140" s="446">
        <f t="shared" si="308"/>
        <v>9018.6</v>
      </c>
      <c r="M140" s="445">
        <f t="shared" si="309"/>
        <v>100</v>
      </c>
      <c r="N140" s="443">
        <f t="shared" si="310"/>
        <v>0</v>
      </c>
      <c r="O140" s="445">
        <f t="shared" si="311"/>
        <v>0</v>
      </c>
      <c r="P140" s="339">
        <f t="shared" si="262"/>
        <v>0</v>
      </c>
      <c r="Q140" s="338"/>
      <c r="R140" s="388"/>
      <c r="S140" s="388"/>
    </row>
    <row r="141" spans="1:22" x14ac:dyDescent="0.2">
      <c r="A141" s="454" t="s">
        <v>466</v>
      </c>
      <c r="B141" s="454" t="s">
        <v>536</v>
      </c>
      <c r="C141" s="676" t="s">
        <v>221</v>
      </c>
      <c r="D141" s="677">
        <v>31</v>
      </c>
      <c r="E141" s="677">
        <v>46.01</v>
      </c>
      <c r="F141" s="678">
        <v>1426.31</v>
      </c>
      <c r="G141" s="444">
        <v>31</v>
      </c>
      <c r="H141" s="445">
        <f t="shared" si="305"/>
        <v>1426.31</v>
      </c>
      <c r="I141" s="470">
        <v>0</v>
      </c>
      <c r="J141" s="445">
        <f t="shared" si="306"/>
        <v>0</v>
      </c>
      <c r="K141" s="443">
        <f t="shared" si="307"/>
        <v>31</v>
      </c>
      <c r="L141" s="446">
        <f t="shared" si="308"/>
        <v>1426.31</v>
      </c>
      <c r="M141" s="445">
        <f t="shared" si="309"/>
        <v>100</v>
      </c>
      <c r="N141" s="443">
        <f t="shared" si="310"/>
        <v>0</v>
      </c>
      <c r="O141" s="445">
        <f t="shared" si="311"/>
        <v>0</v>
      </c>
      <c r="P141" s="339">
        <f t="shared" si="262"/>
        <v>0</v>
      </c>
      <c r="Q141" s="338"/>
      <c r="R141" s="388"/>
      <c r="S141" s="388"/>
    </row>
    <row r="142" spans="1:22" x14ac:dyDescent="0.2">
      <c r="A142" s="730">
        <v>5.05</v>
      </c>
      <c r="B142" s="448" t="s">
        <v>446</v>
      </c>
      <c r="C142" s="676"/>
      <c r="D142" s="677"/>
      <c r="E142" s="677"/>
      <c r="F142" s="678"/>
      <c r="G142" s="444"/>
      <c r="H142" s="445"/>
      <c r="I142" s="470"/>
      <c r="J142" s="445"/>
      <c r="K142" s="443"/>
      <c r="L142" s="446"/>
      <c r="M142" s="445"/>
      <c r="N142" s="443"/>
      <c r="O142" s="445"/>
      <c r="P142" s="339"/>
      <c r="Q142" s="338"/>
      <c r="R142" s="388"/>
      <c r="S142" s="388"/>
    </row>
    <row r="143" spans="1:22" s="630" customFormat="1" x14ac:dyDescent="0.2">
      <c r="A143" s="731" t="s">
        <v>276</v>
      </c>
      <c r="B143" s="454" t="s">
        <v>538</v>
      </c>
      <c r="C143" s="676" t="s">
        <v>221</v>
      </c>
      <c r="D143" s="677">
        <v>25</v>
      </c>
      <c r="E143" s="677">
        <v>34.869999999999997</v>
      </c>
      <c r="F143" s="678">
        <v>871.75</v>
      </c>
      <c r="G143" s="444">
        <v>25</v>
      </c>
      <c r="H143" s="445">
        <f t="shared" ref="H143:H144" si="312">+G143*E143</f>
        <v>871.74999999999989</v>
      </c>
      <c r="I143" s="470">
        <v>0</v>
      </c>
      <c r="J143" s="445">
        <f t="shared" ref="J143:J144" si="313">+I143*E143</f>
        <v>0</v>
      </c>
      <c r="K143" s="443">
        <f t="shared" ref="K143:K144" si="314">+G143+I143</f>
        <v>25</v>
      </c>
      <c r="L143" s="446">
        <f t="shared" ref="L143:L144" si="315">+K143*E143</f>
        <v>871.74999999999989</v>
      </c>
      <c r="M143" s="445">
        <f t="shared" ref="M143:M144" si="316">+K143*100/D143</f>
        <v>100</v>
      </c>
      <c r="N143" s="443">
        <f t="shared" ref="N143:N144" si="317">+D143-K143</f>
        <v>0</v>
      </c>
      <c r="O143" s="445">
        <f t="shared" ref="O143:O144" si="318">+F143-L143</f>
        <v>0</v>
      </c>
      <c r="P143" s="2223">
        <v>0</v>
      </c>
      <c r="Q143" s="2224"/>
      <c r="R143" s="2224"/>
      <c r="S143" s="2224"/>
      <c r="T143" s="2224"/>
      <c r="U143" s="2224"/>
      <c r="V143" s="2224"/>
    </row>
    <row r="144" spans="1:22" s="630" customFormat="1" x14ac:dyDescent="0.2">
      <c r="A144" s="731" t="s">
        <v>537</v>
      </c>
      <c r="B144" s="454" t="s">
        <v>539</v>
      </c>
      <c r="C144" s="676" t="s">
        <v>221</v>
      </c>
      <c r="D144" s="677">
        <v>40</v>
      </c>
      <c r="E144" s="677">
        <v>43.02</v>
      </c>
      <c r="F144" s="678">
        <v>1720.8</v>
      </c>
      <c r="G144" s="444">
        <v>40</v>
      </c>
      <c r="H144" s="445">
        <f t="shared" si="312"/>
        <v>1720.8000000000002</v>
      </c>
      <c r="I144" s="470">
        <v>0</v>
      </c>
      <c r="J144" s="445">
        <f t="shared" si="313"/>
        <v>0</v>
      </c>
      <c r="K144" s="443">
        <f t="shared" si="314"/>
        <v>40</v>
      </c>
      <c r="L144" s="446">
        <f t="shared" si="315"/>
        <v>1720.8000000000002</v>
      </c>
      <c r="M144" s="445">
        <f t="shared" si="316"/>
        <v>100</v>
      </c>
      <c r="N144" s="443">
        <f t="shared" si="317"/>
        <v>0</v>
      </c>
      <c r="O144" s="445">
        <f t="shared" si="318"/>
        <v>0</v>
      </c>
      <c r="P144" s="339">
        <f t="shared" ref="P144" si="319">D144*E144-F144</f>
        <v>0</v>
      </c>
      <c r="Q144" s="211"/>
      <c r="R144" s="388"/>
      <c r="S144" s="388"/>
    </row>
    <row r="145" spans="1:19" s="630" customFormat="1" x14ac:dyDescent="0.2">
      <c r="A145" s="730">
        <v>5.0599999999999996</v>
      </c>
      <c r="B145" s="448" t="s">
        <v>447</v>
      </c>
      <c r="C145" s="676"/>
      <c r="D145" s="677"/>
      <c r="E145" s="677"/>
      <c r="F145" s="678"/>
      <c r="G145" s="444"/>
      <c r="H145" s="445"/>
      <c r="I145" s="470"/>
      <c r="J145" s="445"/>
      <c r="K145" s="443"/>
      <c r="L145" s="446"/>
      <c r="M145" s="445"/>
      <c r="N145" s="443"/>
      <c r="O145" s="445"/>
      <c r="P145" s="386"/>
      <c r="Q145" s="211"/>
      <c r="R145" s="388"/>
      <c r="S145" s="388"/>
    </row>
    <row r="146" spans="1:19" s="630" customFormat="1" x14ac:dyDescent="0.2">
      <c r="A146" s="454" t="s">
        <v>378</v>
      </c>
      <c r="B146" s="454" t="s">
        <v>540</v>
      </c>
      <c r="C146" s="676" t="s">
        <v>99</v>
      </c>
      <c r="D146" s="677">
        <v>100</v>
      </c>
      <c r="E146" s="677">
        <v>15.6</v>
      </c>
      <c r="F146" s="678">
        <v>1560</v>
      </c>
      <c r="G146" s="444">
        <v>100</v>
      </c>
      <c r="H146" s="445">
        <f t="shared" ref="H146:H148" si="320">+G146*E146</f>
        <v>1560</v>
      </c>
      <c r="I146" s="470">
        <v>0</v>
      </c>
      <c r="J146" s="445">
        <f t="shared" ref="J146:J148" si="321">+I146*E146</f>
        <v>0</v>
      </c>
      <c r="K146" s="443">
        <f t="shared" ref="K146:K148" si="322">+G146+I146</f>
        <v>100</v>
      </c>
      <c r="L146" s="446">
        <f t="shared" ref="L146:L148" si="323">+K146*E146</f>
        <v>1560</v>
      </c>
      <c r="M146" s="445">
        <f t="shared" ref="M146:M148" si="324">+K146*100/D146</f>
        <v>100</v>
      </c>
      <c r="N146" s="443">
        <f t="shared" ref="N146:N148" si="325">+D146-K146</f>
        <v>0</v>
      </c>
      <c r="O146" s="445">
        <f t="shared" ref="O146:O148" si="326">+F146-L146</f>
        <v>0</v>
      </c>
      <c r="P146" s="339">
        <f t="shared" ref="P146:P203" si="327">D146*E146-F146</f>
        <v>0</v>
      </c>
      <c r="Q146" s="211"/>
      <c r="R146" s="388"/>
      <c r="S146" s="388"/>
    </row>
    <row r="147" spans="1:19" x14ac:dyDescent="0.2">
      <c r="A147" s="454" t="s">
        <v>379</v>
      </c>
      <c r="B147" s="454" t="s">
        <v>448</v>
      </c>
      <c r="C147" s="676" t="s">
        <v>221</v>
      </c>
      <c r="D147" s="677">
        <v>3</v>
      </c>
      <c r="E147" s="677">
        <v>1083.7</v>
      </c>
      <c r="F147" s="678">
        <v>3251.1</v>
      </c>
      <c r="G147" s="444">
        <v>3</v>
      </c>
      <c r="H147" s="445">
        <f t="shared" si="320"/>
        <v>3251.1000000000004</v>
      </c>
      <c r="I147" s="470">
        <v>0</v>
      </c>
      <c r="J147" s="445">
        <f t="shared" si="321"/>
        <v>0</v>
      </c>
      <c r="K147" s="443">
        <f t="shared" si="322"/>
        <v>3</v>
      </c>
      <c r="L147" s="446">
        <f t="shared" si="323"/>
        <v>3251.1000000000004</v>
      </c>
      <c r="M147" s="445">
        <f t="shared" si="324"/>
        <v>100</v>
      </c>
      <c r="N147" s="443">
        <f t="shared" si="325"/>
        <v>0</v>
      </c>
      <c r="O147" s="445">
        <f t="shared" si="326"/>
        <v>0</v>
      </c>
      <c r="P147" s="339">
        <f t="shared" si="327"/>
        <v>0</v>
      </c>
      <c r="Q147" s="338"/>
      <c r="R147" s="388"/>
      <c r="S147" s="388"/>
    </row>
    <row r="148" spans="1:19" x14ac:dyDescent="0.2">
      <c r="A148" s="454" t="s">
        <v>380</v>
      </c>
      <c r="B148" s="454" t="s">
        <v>541</v>
      </c>
      <c r="C148" s="676" t="s">
        <v>221</v>
      </c>
      <c r="D148" s="677">
        <v>3</v>
      </c>
      <c r="E148" s="677">
        <v>79.070000000000007</v>
      </c>
      <c r="F148" s="678">
        <v>237.21</v>
      </c>
      <c r="G148" s="444">
        <v>3</v>
      </c>
      <c r="H148" s="445">
        <f t="shared" si="320"/>
        <v>237.21000000000004</v>
      </c>
      <c r="I148" s="470">
        <v>0</v>
      </c>
      <c r="J148" s="445">
        <f t="shared" si="321"/>
        <v>0</v>
      </c>
      <c r="K148" s="443">
        <f t="shared" si="322"/>
        <v>3</v>
      </c>
      <c r="L148" s="446">
        <f t="shared" si="323"/>
        <v>237.21000000000004</v>
      </c>
      <c r="M148" s="445">
        <f t="shared" si="324"/>
        <v>100</v>
      </c>
      <c r="N148" s="443">
        <f t="shared" si="325"/>
        <v>0</v>
      </c>
      <c r="O148" s="445">
        <f t="shared" si="326"/>
        <v>0</v>
      </c>
      <c r="P148" s="339">
        <f t="shared" si="327"/>
        <v>0</v>
      </c>
      <c r="Q148" s="338"/>
      <c r="R148" s="388"/>
      <c r="S148" s="388"/>
    </row>
    <row r="149" spans="1:19" x14ac:dyDescent="0.2">
      <c r="A149" s="730">
        <v>5.07</v>
      </c>
      <c r="B149" s="448" t="s">
        <v>449</v>
      </c>
      <c r="C149" s="676"/>
      <c r="D149" s="677"/>
      <c r="E149" s="677"/>
      <c r="F149" s="678"/>
      <c r="G149" s="444"/>
      <c r="H149" s="445"/>
      <c r="I149" s="470"/>
      <c r="J149" s="445"/>
      <c r="K149" s="443"/>
      <c r="L149" s="446"/>
      <c r="M149" s="445"/>
      <c r="N149" s="443"/>
      <c r="O149" s="445"/>
      <c r="P149" s="339">
        <f t="shared" si="327"/>
        <v>0</v>
      </c>
      <c r="Q149" s="338"/>
      <c r="R149" s="388"/>
      <c r="S149" s="388"/>
    </row>
    <row r="150" spans="1:19" x14ac:dyDescent="0.2">
      <c r="A150" s="454" t="s">
        <v>467</v>
      </c>
      <c r="B150" s="454" t="s">
        <v>542</v>
      </c>
      <c r="C150" s="676" t="s">
        <v>221</v>
      </c>
      <c r="D150" s="677">
        <v>1</v>
      </c>
      <c r="E150" s="677">
        <v>3813.29</v>
      </c>
      <c r="F150" s="678">
        <v>3813.29</v>
      </c>
      <c r="G150" s="444">
        <v>1</v>
      </c>
      <c r="H150" s="445">
        <f t="shared" ref="H150:H153" si="328">+G150*E150</f>
        <v>3813.29</v>
      </c>
      <c r="I150" s="470">
        <v>0</v>
      </c>
      <c r="J150" s="445">
        <f t="shared" ref="J150:J153" si="329">+I150*E150</f>
        <v>0</v>
      </c>
      <c r="K150" s="443">
        <f t="shared" ref="K150:K153" si="330">+G150+I150</f>
        <v>1</v>
      </c>
      <c r="L150" s="446">
        <f t="shared" ref="L150:L153" si="331">+K150*E150</f>
        <v>3813.29</v>
      </c>
      <c r="M150" s="445">
        <f t="shared" ref="M150:M153" si="332">+K150*100/D150</f>
        <v>100</v>
      </c>
      <c r="N150" s="443">
        <f t="shared" ref="N150:N153" si="333">+D150-K150</f>
        <v>0</v>
      </c>
      <c r="O150" s="445">
        <f t="shared" ref="O150:O153" si="334">+F150-L150</f>
        <v>0</v>
      </c>
      <c r="P150" s="339">
        <f t="shared" si="327"/>
        <v>0</v>
      </c>
      <c r="Q150" s="338"/>
      <c r="R150" s="388"/>
      <c r="S150" s="388"/>
    </row>
    <row r="151" spans="1:19" x14ac:dyDescent="0.2">
      <c r="A151" s="454" t="s">
        <v>468</v>
      </c>
      <c r="B151" s="454" t="s">
        <v>543</v>
      </c>
      <c r="C151" s="676" t="s">
        <v>221</v>
      </c>
      <c r="D151" s="677">
        <v>1</v>
      </c>
      <c r="E151" s="677">
        <v>219.91</v>
      </c>
      <c r="F151" s="678">
        <v>219.91</v>
      </c>
      <c r="G151" s="444">
        <v>1</v>
      </c>
      <c r="H151" s="445">
        <f t="shared" si="328"/>
        <v>219.91</v>
      </c>
      <c r="I151" s="470">
        <v>0</v>
      </c>
      <c r="J151" s="445">
        <f t="shared" si="329"/>
        <v>0</v>
      </c>
      <c r="K151" s="443">
        <f t="shared" si="330"/>
        <v>1</v>
      </c>
      <c r="L151" s="446">
        <f t="shared" si="331"/>
        <v>219.91</v>
      </c>
      <c r="M151" s="445">
        <f t="shared" si="332"/>
        <v>100</v>
      </c>
      <c r="N151" s="443">
        <f t="shared" si="333"/>
        <v>0</v>
      </c>
      <c r="O151" s="445">
        <f t="shared" si="334"/>
        <v>0</v>
      </c>
      <c r="P151" s="339">
        <f t="shared" si="327"/>
        <v>0</v>
      </c>
      <c r="Q151" s="338"/>
      <c r="R151" s="388"/>
      <c r="S151" s="388"/>
    </row>
    <row r="152" spans="1:19" x14ac:dyDescent="0.2">
      <c r="A152" s="454" t="s">
        <v>469</v>
      </c>
      <c r="B152" s="454" t="s">
        <v>544</v>
      </c>
      <c r="C152" s="676" t="s">
        <v>221</v>
      </c>
      <c r="D152" s="677">
        <v>1</v>
      </c>
      <c r="E152" s="677">
        <v>549.63</v>
      </c>
      <c r="F152" s="678">
        <v>549.63</v>
      </c>
      <c r="G152" s="444">
        <v>1</v>
      </c>
      <c r="H152" s="445">
        <f t="shared" si="328"/>
        <v>549.63</v>
      </c>
      <c r="I152" s="470">
        <v>0</v>
      </c>
      <c r="J152" s="445">
        <f t="shared" si="329"/>
        <v>0</v>
      </c>
      <c r="K152" s="443">
        <f t="shared" si="330"/>
        <v>1</v>
      </c>
      <c r="L152" s="446">
        <f t="shared" si="331"/>
        <v>549.63</v>
      </c>
      <c r="M152" s="445">
        <f t="shared" si="332"/>
        <v>100</v>
      </c>
      <c r="N152" s="443">
        <f t="shared" si="333"/>
        <v>0</v>
      </c>
      <c r="O152" s="445">
        <f t="shared" si="334"/>
        <v>0</v>
      </c>
      <c r="P152" s="339">
        <f t="shared" si="327"/>
        <v>0</v>
      </c>
      <c r="Q152" s="338"/>
      <c r="R152" s="388"/>
      <c r="S152" s="388"/>
    </row>
    <row r="153" spans="1:19" x14ac:dyDescent="0.2">
      <c r="A153" s="454" t="s">
        <v>470</v>
      </c>
      <c r="B153" s="454" t="s">
        <v>545</v>
      </c>
      <c r="C153" s="676" t="s">
        <v>221</v>
      </c>
      <c r="D153" s="677">
        <v>1</v>
      </c>
      <c r="E153" s="677">
        <v>4076.02</v>
      </c>
      <c r="F153" s="678">
        <v>4076.02</v>
      </c>
      <c r="G153" s="444">
        <v>1</v>
      </c>
      <c r="H153" s="445">
        <f t="shared" si="328"/>
        <v>4076.02</v>
      </c>
      <c r="I153" s="470">
        <v>0</v>
      </c>
      <c r="J153" s="445">
        <f t="shared" si="329"/>
        <v>0</v>
      </c>
      <c r="K153" s="443">
        <f t="shared" si="330"/>
        <v>1</v>
      </c>
      <c r="L153" s="446">
        <f t="shared" si="331"/>
        <v>4076.02</v>
      </c>
      <c r="M153" s="445">
        <f t="shared" si="332"/>
        <v>100</v>
      </c>
      <c r="N153" s="443">
        <f t="shared" si="333"/>
        <v>0</v>
      </c>
      <c r="O153" s="445">
        <f t="shared" si="334"/>
        <v>0</v>
      </c>
      <c r="P153" s="339">
        <f t="shared" si="327"/>
        <v>0</v>
      </c>
      <c r="Q153" s="338"/>
      <c r="R153" s="388"/>
      <c r="S153" s="388"/>
    </row>
    <row r="154" spans="1:19" x14ac:dyDescent="0.2">
      <c r="A154" s="453" t="s">
        <v>202</v>
      </c>
      <c r="B154" s="453" t="s">
        <v>450</v>
      </c>
      <c r="C154" s="676"/>
      <c r="D154" s="677"/>
      <c r="E154" s="677"/>
      <c r="F154" s="678"/>
      <c r="G154" s="444"/>
      <c r="H154" s="445"/>
      <c r="I154" s="470"/>
      <c r="J154" s="445"/>
      <c r="K154" s="443"/>
      <c r="L154" s="446"/>
      <c r="M154" s="445"/>
      <c r="N154" s="443"/>
      <c r="O154" s="445"/>
      <c r="P154" s="339">
        <f t="shared" si="327"/>
        <v>0</v>
      </c>
      <c r="Q154" s="338"/>
      <c r="R154" s="388"/>
      <c r="S154" s="388"/>
    </row>
    <row r="155" spans="1:19" x14ac:dyDescent="0.2">
      <c r="A155" s="448" t="s">
        <v>203</v>
      </c>
      <c r="B155" s="448" t="s">
        <v>451</v>
      </c>
      <c r="C155" s="676"/>
      <c r="D155" s="677"/>
      <c r="E155" s="677"/>
      <c r="F155" s="678"/>
      <c r="G155" s="444"/>
      <c r="H155" s="445"/>
      <c r="I155" s="470"/>
      <c r="J155" s="445"/>
      <c r="K155" s="443"/>
      <c r="L155" s="446"/>
      <c r="M155" s="445"/>
      <c r="N155" s="443"/>
      <c r="O155" s="445"/>
      <c r="P155" s="339">
        <f t="shared" si="327"/>
        <v>0</v>
      </c>
      <c r="Q155" s="338"/>
      <c r="R155" s="388"/>
      <c r="S155" s="388"/>
    </row>
    <row r="156" spans="1:19" x14ac:dyDescent="0.2">
      <c r="A156" s="454" t="s">
        <v>381</v>
      </c>
      <c r="B156" s="454" t="s">
        <v>546</v>
      </c>
      <c r="C156" s="676" t="s">
        <v>221</v>
      </c>
      <c r="D156" s="677">
        <v>2</v>
      </c>
      <c r="E156" s="677">
        <v>612.41</v>
      </c>
      <c r="F156" s="678">
        <v>1224.82</v>
      </c>
      <c r="G156" s="444">
        <v>2</v>
      </c>
      <c r="H156" s="445">
        <f t="shared" ref="H156:H158" si="335">+G156*E156</f>
        <v>1224.82</v>
      </c>
      <c r="I156" s="470">
        <v>0</v>
      </c>
      <c r="J156" s="445">
        <f t="shared" ref="J156:J158" si="336">+I156*E156</f>
        <v>0</v>
      </c>
      <c r="K156" s="443">
        <f t="shared" ref="K156:K158" si="337">+G156+I156</f>
        <v>2</v>
      </c>
      <c r="L156" s="446">
        <f t="shared" ref="L156:L158" si="338">+K156*E156</f>
        <v>1224.82</v>
      </c>
      <c r="M156" s="445">
        <f t="shared" ref="M156:M158" si="339">+K156*100/D156</f>
        <v>100</v>
      </c>
      <c r="N156" s="443">
        <f t="shared" ref="N156:N158" si="340">+D156-K156</f>
        <v>0</v>
      </c>
      <c r="O156" s="445">
        <f t="shared" ref="O156:O158" si="341">+F156-L156</f>
        <v>0</v>
      </c>
      <c r="P156" s="339">
        <f t="shared" si="327"/>
        <v>0</v>
      </c>
      <c r="Q156" s="338"/>
      <c r="R156" s="388"/>
      <c r="S156" s="388"/>
    </row>
    <row r="157" spans="1:19" x14ac:dyDescent="0.2">
      <c r="A157" s="454" t="s">
        <v>382</v>
      </c>
      <c r="B157" s="454" t="s">
        <v>534</v>
      </c>
      <c r="C157" s="676" t="s">
        <v>99</v>
      </c>
      <c r="D157" s="677">
        <v>54</v>
      </c>
      <c r="E157" s="677">
        <v>2.37</v>
      </c>
      <c r="F157" s="678">
        <v>127.98</v>
      </c>
      <c r="G157" s="444">
        <v>54</v>
      </c>
      <c r="H157" s="445">
        <f t="shared" si="335"/>
        <v>127.98</v>
      </c>
      <c r="I157" s="470">
        <v>0</v>
      </c>
      <c r="J157" s="445">
        <f t="shared" si="336"/>
        <v>0</v>
      </c>
      <c r="K157" s="443">
        <f t="shared" si="337"/>
        <v>54</v>
      </c>
      <c r="L157" s="446">
        <f t="shared" si="338"/>
        <v>127.98</v>
      </c>
      <c r="M157" s="445">
        <f t="shared" si="339"/>
        <v>100</v>
      </c>
      <c r="N157" s="443">
        <f t="shared" si="340"/>
        <v>0</v>
      </c>
      <c r="O157" s="445">
        <f t="shared" si="341"/>
        <v>0</v>
      </c>
      <c r="P157" s="339">
        <f t="shared" si="327"/>
        <v>0</v>
      </c>
      <c r="Q157" s="338"/>
      <c r="R157" s="388"/>
      <c r="S157" s="388"/>
    </row>
    <row r="158" spans="1:19" x14ac:dyDescent="0.2">
      <c r="A158" s="454" t="s">
        <v>383</v>
      </c>
      <c r="B158" s="454" t="s">
        <v>529</v>
      </c>
      <c r="C158" s="676" t="s">
        <v>99</v>
      </c>
      <c r="D158" s="677">
        <v>54</v>
      </c>
      <c r="E158" s="677">
        <v>2.31</v>
      </c>
      <c r="F158" s="678">
        <v>124.74000000000001</v>
      </c>
      <c r="G158" s="444">
        <v>54</v>
      </c>
      <c r="H158" s="445">
        <f t="shared" si="335"/>
        <v>124.74000000000001</v>
      </c>
      <c r="I158" s="470">
        <v>0</v>
      </c>
      <c r="J158" s="445">
        <f t="shared" si="336"/>
        <v>0</v>
      </c>
      <c r="K158" s="443">
        <f t="shared" si="337"/>
        <v>54</v>
      </c>
      <c r="L158" s="446">
        <f t="shared" si="338"/>
        <v>124.74000000000001</v>
      </c>
      <c r="M158" s="445">
        <f t="shared" si="339"/>
        <v>100</v>
      </c>
      <c r="N158" s="443">
        <f t="shared" si="340"/>
        <v>0</v>
      </c>
      <c r="O158" s="445">
        <f t="shared" si="341"/>
        <v>0</v>
      </c>
      <c r="P158" s="339">
        <f t="shared" si="327"/>
        <v>0</v>
      </c>
      <c r="Q158" s="338"/>
      <c r="R158" s="388"/>
      <c r="S158" s="388"/>
    </row>
    <row r="159" spans="1:19" x14ac:dyDescent="0.2">
      <c r="A159" s="453" t="s">
        <v>311</v>
      </c>
      <c r="B159" s="453" t="s">
        <v>452</v>
      </c>
      <c r="C159" s="676"/>
      <c r="D159" s="677"/>
      <c r="E159" s="677"/>
      <c r="F159" s="678"/>
      <c r="G159" s="444"/>
      <c r="H159" s="445"/>
      <c r="I159" s="470"/>
      <c r="J159" s="445"/>
      <c r="K159" s="443"/>
      <c r="L159" s="446"/>
      <c r="M159" s="445"/>
      <c r="N159" s="443"/>
      <c r="O159" s="445"/>
      <c r="P159" s="339">
        <f t="shared" si="327"/>
        <v>0</v>
      </c>
      <c r="Q159" s="338"/>
      <c r="R159" s="388"/>
      <c r="S159" s="388"/>
    </row>
    <row r="160" spans="1:19" x14ac:dyDescent="0.2">
      <c r="A160" s="448" t="s">
        <v>312</v>
      </c>
      <c r="B160" s="448" t="s">
        <v>453</v>
      </c>
      <c r="C160" s="676"/>
      <c r="D160" s="677"/>
      <c r="E160" s="677"/>
      <c r="F160" s="678"/>
      <c r="G160" s="444"/>
      <c r="H160" s="445"/>
      <c r="I160" s="470"/>
      <c r="J160" s="445"/>
      <c r="K160" s="443"/>
      <c r="L160" s="446"/>
      <c r="M160" s="445"/>
      <c r="N160" s="443"/>
      <c r="O160" s="445"/>
      <c r="P160" s="339">
        <f t="shared" si="327"/>
        <v>0</v>
      </c>
      <c r="Q160" s="338"/>
      <c r="R160" s="388"/>
      <c r="S160" s="388"/>
    </row>
    <row r="161" spans="1:19" x14ac:dyDescent="0.2">
      <c r="A161" s="454" t="s">
        <v>384</v>
      </c>
      <c r="B161" s="454" t="s">
        <v>547</v>
      </c>
      <c r="C161" s="676" t="s">
        <v>99</v>
      </c>
      <c r="D161" s="677">
        <v>75</v>
      </c>
      <c r="E161" s="677">
        <v>31.87</v>
      </c>
      <c r="F161" s="678">
        <v>2390.25</v>
      </c>
      <c r="G161" s="444">
        <v>75</v>
      </c>
      <c r="H161" s="445">
        <f t="shared" ref="H161:H162" si="342">+G161*E161</f>
        <v>2390.25</v>
      </c>
      <c r="I161" s="470">
        <v>0</v>
      </c>
      <c r="J161" s="445">
        <f t="shared" ref="J161:J162" si="343">+I161*E161</f>
        <v>0</v>
      </c>
      <c r="K161" s="443">
        <f t="shared" ref="K161:K162" si="344">+G161+I161</f>
        <v>75</v>
      </c>
      <c r="L161" s="446">
        <f t="shared" ref="L161:L162" si="345">+K161*E161</f>
        <v>2390.25</v>
      </c>
      <c r="M161" s="445">
        <f t="shared" ref="M161:M162" si="346">+K161*100/D161</f>
        <v>100</v>
      </c>
      <c r="N161" s="443">
        <f t="shared" ref="N161:N162" si="347">+D161-K161</f>
        <v>0</v>
      </c>
      <c r="O161" s="445">
        <f t="shared" ref="O161:O162" si="348">+F161-L161</f>
        <v>0</v>
      </c>
      <c r="P161" s="339">
        <f t="shared" si="327"/>
        <v>0</v>
      </c>
      <c r="Q161" s="338"/>
      <c r="R161" s="388"/>
      <c r="S161" s="388"/>
    </row>
    <row r="162" spans="1:19" x14ac:dyDescent="0.2">
      <c r="A162" s="454" t="s">
        <v>385</v>
      </c>
      <c r="B162" s="454" t="s">
        <v>548</v>
      </c>
      <c r="C162" s="676" t="s">
        <v>221</v>
      </c>
      <c r="D162" s="677">
        <v>5</v>
      </c>
      <c r="E162" s="677">
        <v>127.7</v>
      </c>
      <c r="F162" s="678">
        <v>638.5</v>
      </c>
      <c r="G162" s="444">
        <v>5</v>
      </c>
      <c r="H162" s="445">
        <f t="shared" si="342"/>
        <v>638.5</v>
      </c>
      <c r="I162" s="470">
        <v>0</v>
      </c>
      <c r="J162" s="445">
        <f t="shared" si="343"/>
        <v>0</v>
      </c>
      <c r="K162" s="443">
        <f t="shared" si="344"/>
        <v>5</v>
      </c>
      <c r="L162" s="446">
        <f t="shared" si="345"/>
        <v>638.5</v>
      </c>
      <c r="M162" s="445">
        <f t="shared" si="346"/>
        <v>100</v>
      </c>
      <c r="N162" s="443">
        <f t="shared" si="347"/>
        <v>0</v>
      </c>
      <c r="O162" s="445">
        <f t="shared" si="348"/>
        <v>0</v>
      </c>
      <c r="P162" s="339">
        <f t="shared" si="327"/>
        <v>0</v>
      </c>
      <c r="Q162" s="338"/>
      <c r="R162" s="388"/>
      <c r="S162" s="388"/>
    </row>
    <row r="163" spans="1:19" x14ac:dyDescent="0.2">
      <c r="A163" s="730">
        <v>7.02</v>
      </c>
      <c r="B163" s="448" t="s">
        <v>549</v>
      </c>
      <c r="C163" s="676"/>
      <c r="D163" s="677"/>
      <c r="E163" s="677"/>
      <c r="F163" s="678"/>
      <c r="G163" s="444"/>
      <c r="H163" s="445"/>
      <c r="I163" s="470"/>
      <c r="J163" s="445"/>
      <c r="K163" s="443"/>
      <c r="L163" s="446"/>
      <c r="M163" s="445"/>
      <c r="N163" s="443"/>
      <c r="O163" s="445"/>
      <c r="P163" s="339">
        <f t="shared" si="327"/>
        <v>0</v>
      </c>
      <c r="Q163" s="338"/>
      <c r="R163" s="388"/>
      <c r="S163" s="388"/>
    </row>
    <row r="164" spans="1:19" x14ac:dyDescent="0.2">
      <c r="A164" s="910" t="s">
        <v>386</v>
      </c>
      <c r="B164" s="717" t="s">
        <v>454</v>
      </c>
      <c r="C164" s="676"/>
      <c r="D164" s="677"/>
      <c r="E164" s="677"/>
      <c r="F164" s="678"/>
      <c r="G164" s="444"/>
      <c r="H164" s="445"/>
      <c r="I164" s="470"/>
      <c r="J164" s="445"/>
      <c r="K164" s="443"/>
      <c r="L164" s="446"/>
      <c r="M164" s="445"/>
      <c r="N164" s="443"/>
      <c r="O164" s="445"/>
      <c r="P164" s="339">
        <f t="shared" si="327"/>
        <v>0</v>
      </c>
      <c r="Q164" s="338"/>
      <c r="R164" s="388"/>
      <c r="S164" s="388"/>
    </row>
    <row r="165" spans="1:19" x14ac:dyDescent="0.2">
      <c r="A165" s="454" t="s">
        <v>387</v>
      </c>
      <c r="B165" s="454" t="s">
        <v>552</v>
      </c>
      <c r="C165" s="676" t="s">
        <v>99</v>
      </c>
      <c r="D165" s="677">
        <v>100</v>
      </c>
      <c r="E165" s="677">
        <v>13.88</v>
      </c>
      <c r="F165" s="678">
        <v>1388</v>
      </c>
      <c r="G165" s="444">
        <v>100</v>
      </c>
      <c r="H165" s="445">
        <f t="shared" ref="H165:H168" si="349">+G165*E165</f>
        <v>1388</v>
      </c>
      <c r="I165" s="470">
        <v>0</v>
      </c>
      <c r="J165" s="445">
        <f t="shared" ref="J165:J168" si="350">+I165*E165</f>
        <v>0</v>
      </c>
      <c r="K165" s="443">
        <f t="shared" ref="K165:K168" si="351">+G165+I165</f>
        <v>100</v>
      </c>
      <c r="L165" s="446">
        <f t="shared" ref="L165:L168" si="352">+K165*E165</f>
        <v>1388</v>
      </c>
      <c r="M165" s="445">
        <f t="shared" ref="M165:M168" si="353">+K165*100/D165</f>
        <v>100</v>
      </c>
      <c r="N165" s="443">
        <f t="shared" ref="N165:N168" si="354">+D165-K165</f>
        <v>0</v>
      </c>
      <c r="O165" s="445">
        <f t="shared" ref="O165:O168" si="355">+F165-L165</f>
        <v>0</v>
      </c>
      <c r="P165" s="339">
        <f t="shared" si="327"/>
        <v>0</v>
      </c>
      <c r="Q165" s="338"/>
      <c r="R165" s="388"/>
      <c r="S165" s="388"/>
    </row>
    <row r="166" spans="1:19" x14ac:dyDescent="0.2">
      <c r="A166" s="454" t="s">
        <v>388</v>
      </c>
      <c r="B166" s="454" t="s">
        <v>553</v>
      </c>
      <c r="C166" s="676" t="s">
        <v>99</v>
      </c>
      <c r="D166" s="677">
        <v>100</v>
      </c>
      <c r="E166" s="677">
        <v>15.46</v>
      </c>
      <c r="F166" s="678">
        <v>1546</v>
      </c>
      <c r="G166" s="444">
        <v>100</v>
      </c>
      <c r="H166" s="445">
        <f t="shared" si="349"/>
        <v>1546</v>
      </c>
      <c r="I166" s="470">
        <v>0</v>
      </c>
      <c r="J166" s="445">
        <f t="shared" si="350"/>
        <v>0</v>
      </c>
      <c r="K166" s="443">
        <f t="shared" si="351"/>
        <v>100</v>
      </c>
      <c r="L166" s="446">
        <f t="shared" si="352"/>
        <v>1546</v>
      </c>
      <c r="M166" s="445">
        <f t="shared" si="353"/>
        <v>100</v>
      </c>
      <c r="N166" s="443">
        <f t="shared" si="354"/>
        <v>0</v>
      </c>
      <c r="O166" s="445">
        <f t="shared" si="355"/>
        <v>0</v>
      </c>
      <c r="P166" s="339">
        <f t="shared" si="327"/>
        <v>0</v>
      </c>
      <c r="Q166" s="338"/>
      <c r="R166" s="388"/>
      <c r="S166" s="388"/>
    </row>
    <row r="167" spans="1:19" x14ac:dyDescent="0.2">
      <c r="A167" s="454" t="s">
        <v>556</v>
      </c>
      <c r="B167" s="454" t="s">
        <v>554</v>
      </c>
      <c r="C167" s="676" t="s">
        <v>99</v>
      </c>
      <c r="D167" s="677">
        <v>15</v>
      </c>
      <c r="E167" s="677">
        <v>18.68</v>
      </c>
      <c r="F167" s="678">
        <v>280.2</v>
      </c>
      <c r="G167" s="444">
        <v>15</v>
      </c>
      <c r="H167" s="445">
        <f t="shared" si="349"/>
        <v>280.2</v>
      </c>
      <c r="I167" s="470">
        <v>0</v>
      </c>
      <c r="J167" s="445">
        <f t="shared" si="350"/>
        <v>0</v>
      </c>
      <c r="K167" s="443">
        <f t="shared" si="351"/>
        <v>15</v>
      </c>
      <c r="L167" s="446">
        <f t="shared" si="352"/>
        <v>280.2</v>
      </c>
      <c r="M167" s="445">
        <f t="shared" si="353"/>
        <v>100</v>
      </c>
      <c r="N167" s="443">
        <f t="shared" si="354"/>
        <v>0</v>
      </c>
      <c r="O167" s="445">
        <f t="shared" si="355"/>
        <v>0</v>
      </c>
      <c r="P167" s="339">
        <f t="shared" si="327"/>
        <v>0</v>
      </c>
      <c r="Q167" s="338"/>
      <c r="R167" s="388"/>
      <c r="S167" s="388"/>
    </row>
    <row r="168" spans="1:19" x14ac:dyDescent="0.2">
      <c r="A168" s="454" t="s">
        <v>557</v>
      </c>
      <c r="B168" s="454" t="s">
        <v>555</v>
      </c>
      <c r="C168" s="676" t="s">
        <v>99</v>
      </c>
      <c r="D168" s="677">
        <v>30</v>
      </c>
      <c r="E168" s="677">
        <v>19.900000000000002</v>
      </c>
      <c r="F168" s="678">
        <v>597</v>
      </c>
      <c r="G168" s="444">
        <v>30</v>
      </c>
      <c r="H168" s="445">
        <f t="shared" si="349"/>
        <v>597.00000000000011</v>
      </c>
      <c r="I168" s="470">
        <v>0</v>
      </c>
      <c r="J168" s="445">
        <f t="shared" si="350"/>
        <v>0</v>
      </c>
      <c r="K168" s="443">
        <f t="shared" si="351"/>
        <v>30</v>
      </c>
      <c r="L168" s="446">
        <f t="shared" si="352"/>
        <v>597.00000000000011</v>
      </c>
      <c r="M168" s="445">
        <f t="shared" si="353"/>
        <v>100</v>
      </c>
      <c r="N168" s="443">
        <f t="shared" si="354"/>
        <v>0</v>
      </c>
      <c r="O168" s="445">
        <f t="shared" si="355"/>
        <v>0</v>
      </c>
      <c r="P168" s="339">
        <f t="shared" si="327"/>
        <v>0</v>
      </c>
      <c r="Q168" s="338"/>
      <c r="R168" s="388"/>
      <c r="S168" s="388"/>
    </row>
    <row r="169" spans="1:19" x14ac:dyDescent="0.2">
      <c r="A169" s="910" t="s">
        <v>389</v>
      </c>
      <c r="B169" s="910" t="s">
        <v>558</v>
      </c>
      <c r="C169" s="676"/>
      <c r="D169" s="677"/>
      <c r="E169" s="677"/>
      <c r="F169" s="678"/>
      <c r="G169" s="444"/>
      <c r="H169" s="445"/>
      <c r="I169" s="470"/>
      <c r="J169" s="445"/>
      <c r="K169" s="443"/>
      <c r="L169" s="446"/>
      <c r="M169" s="445"/>
      <c r="N169" s="443"/>
      <c r="O169" s="445"/>
      <c r="P169" s="339">
        <f t="shared" si="327"/>
        <v>0</v>
      </c>
      <c r="Q169" s="338"/>
      <c r="R169" s="388"/>
      <c r="S169" s="388"/>
    </row>
    <row r="170" spans="1:19" x14ac:dyDescent="0.2">
      <c r="A170" s="454" t="s">
        <v>390</v>
      </c>
      <c r="B170" s="454" t="s">
        <v>560</v>
      </c>
      <c r="C170" s="676" t="s">
        <v>221</v>
      </c>
      <c r="D170" s="677">
        <v>6</v>
      </c>
      <c r="E170" s="677">
        <v>809.97</v>
      </c>
      <c r="F170" s="678">
        <v>4859.82</v>
      </c>
      <c r="G170" s="444">
        <v>6</v>
      </c>
      <c r="H170" s="445">
        <f t="shared" ref="H170:H174" si="356">+G170*E170</f>
        <v>4859.82</v>
      </c>
      <c r="I170" s="470">
        <v>0</v>
      </c>
      <c r="J170" s="445">
        <f t="shared" ref="J170:J174" si="357">+I170*E170</f>
        <v>0</v>
      </c>
      <c r="K170" s="443">
        <f t="shared" ref="K170:K174" si="358">+G170+I170</f>
        <v>6</v>
      </c>
      <c r="L170" s="446">
        <f t="shared" ref="L170:L174" si="359">+K170*E170</f>
        <v>4859.82</v>
      </c>
      <c r="M170" s="445">
        <f t="shared" ref="M170:M174" si="360">+K170*100/D170</f>
        <v>100</v>
      </c>
      <c r="N170" s="443">
        <f t="shared" ref="N170:N174" si="361">+D170-K170</f>
        <v>0</v>
      </c>
      <c r="O170" s="445">
        <f t="shared" ref="O170:O174" si="362">+F170-L170</f>
        <v>0</v>
      </c>
      <c r="P170" s="339">
        <f t="shared" si="327"/>
        <v>0</v>
      </c>
      <c r="Q170" s="338"/>
      <c r="R170" s="388"/>
      <c r="S170" s="388"/>
    </row>
    <row r="171" spans="1:19" x14ac:dyDescent="0.2">
      <c r="A171" s="454" t="s">
        <v>391</v>
      </c>
      <c r="B171" s="454" t="s">
        <v>561</v>
      </c>
      <c r="C171" s="676" t="s">
        <v>221</v>
      </c>
      <c r="D171" s="677">
        <v>2</v>
      </c>
      <c r="E171" s="677">
        <v>809.97</v>
      </c>
      <c r="F171" s="678">
        <v>1619.94</v>
      </c>
      <c r="G171" s="444">
        <v>2</v>
      </c>
      <c r="H171" s="445">
        <f t="shared" si="356"/>
        <v>1619.94</v>
      </c>
      <c r="I171" s="470">
        <v>0</v>
      </c>
      <c r="J171" s="445">
        <f t="shared" si="357"/>
        <v>0</v>
      </c>
      <c r="K171" s="443">
        <f t="shared" si="358"/>
        <v>2</v>
      </c>
      <c r="L171" s="446">
        <f t="shared" si="359"/>
        <v>1619.94</v>
      </c>
      <c r="M171" s="445">
        <f t="shared" si="360"/>
        <v>100</v>
      </c>
      <c r="N171" s="443">
        <f t="shared" si="361"/>
        <v>0</v>
      </c>
      <c r="O171" s="445">
        <f t="shared" si="362"/>
        <v>0</v>
      </c>
      <c r="P171" s="339">
        <f t="shared" si="327"/>
        <v>0</v>
      </c>
      <c r="Q171" s="338"/>
      <c r="R171" s="388"/>
      <c r="S171" s="388"/>
    </row>
    <row r="172" spans="1:19" x14ac:dyDescent="0.2">
      <c r="A172" s="454" t="s">
        <v>550</v>
      </c>
      <c r="B172" s="454" t="s">
        <v>562</v>
      </c>
      <c r="C172" s="676" t="s">
        <v>221</v>
      </c>
      <c r="D172" s="677">
        <v>5</v>
      </c>
      <c r="E172" s="677">
        <v>87.19</v>
      </c>
      <c r="F172" s="678">
        <v>435.95</v>
      </c>
      <c r="G172" s="444">
        <v>5</v>
      </c>
      <c r="H172" s="445">
        <f t="shared" si="356"/>
        <v>435.95</v>
      </c>
      <c r="I172" s="470">
        <v>0</v>
      </c>
      <c r="J172" s="445">
        <f t="shared" si="357"/>
        <v>0</v>
      </c>
      <c r="K172" s="443">
        <f t="shared" si="358"/>
        <v>5</v>
      </c>
      <c r="L172" s="446">
        <f t="shared" si="359"/>
        <v>435.95</v>
      </c>
      <c r="M172" s="445">
        <f t="shared" si="360"/>
        <v>100</v>
      </c>
      <c r="N172" s="443">
        <f t="shared" si="361"/>
        <v>0</v>
      </c>
      <c r="O172" s="445">
        <f t="shared" si="362"/>
        <v>0</v>
      </c>
      <c r="P172" s="339">
        <f t="shared" si="327"/>
        <v>0</v>
      </c>
      <c r="Q172" s="338"/>
      <c r="R172" s="388"/>
      <c r="S172" s="388"/>
    </row>
    <row r="173" spans="1:19" x14ac:dyDescent="0.2">
      <c r="A173" s="454" t="s">
        <v>551</v>
      </c>
      <c r="B173" s="454" t="s">
        <v>563</v>
      </c>
      <c r="C173" s="676" t="s">
        <v>221</v>
      </c>
      <c r="D173" s="677">
        <v>12</v>
      </c>
      <c r="E173" s="677">
        <v>453.27</v>
      </c>
      <c r="F173" s="678">
        <v>5439.24</v>
      </c>
      <c r="G173" s="444">
        <v>12</v>
      </c>
      <c r="H173" s="445">
        <f t="shared" si="356"/>
        <v>5439.24</v>
      </c>
      <c r="I173" s="470">
        <v>0</v>
      </c>
      <c r="J173" s="445">
        <f t="shared" si="357"/>
        <v>0</v>
      </c>
      <c r="K173" s="443">
        <f t="shared" si="358"/>
        <v>12</v>
      </c>
      <c r="L173" s="446">
        <f t="shared" si="359"/>
        <v>5439.24</v>
      </c>
      <c r="M173" s="445">
        <f t="shared" si="360"/>
        <v>100</v>
      </c>
      <c r="N173" s="443">
        <f t="shared" si="361"/>
        <v>0</v>
      </c>
      <c r="O173" s="445">
        <f t="shared" si="362"/>
        <v>0</v>
      </c>
      <c r="P173" s="339">
        <f t="shared" si="327"/>
        <v>0</v>
      </c>
      <c r="Q173" s="338"/>
      <c r="R173" s="388"/>
      <c r="S173" s="388"/>
    </row>
    <row r="174" spans="1:19" x14ac:dyDescent="0.2">
      <c r="A174" s="454" t="s">
        <v>559</v>
      </c>
      <c r="B174" s="454" t="s">
        <v>564</v>
      </c>
      <c r="C174" s="676" t="s">
        <v>221</v>
      </c>
      <c r="D174" s="677">
        <v>5</v>
      </c>
      <c r="E174" s="677">
        <v>512.59</v>
      </c>
      <c r="F174" s="678">
        <v>2562.9500000000003</v>
      </c>
      <c r="G174" s="444">
        <v>5</v>
      </c>
      <c r="H174" s="445">
        <f t="shared" si="356"/>
        <v>2562.9500000000003</v>
      </c>
      <c r="I174" s="470">
        <v>0</v>
      </c>
      <c r="J174" s="445">
        <f t="shared" si="357"/>
        <v>0</v>
      </c>
      <c r="K174" s="443">
        <f t="shared" si="358"/>
        <v>5</v>
      </c>
      <c r="L174" s="446">
        <f t="shared" si="359"/>
        <v>2562.9500000000003</v>
      </c>
      <c r="M174" s="445">
        <f t="shared" si="360"/>
        <v>100</v>
      </c>
      <c r="N174" s="443">
        <f t="shared" si="361"/>
        <v>0</v>
      </c>
      <c r="O174" s="445">
        <f t="shared" si="362"/>
        <v>0</v>
      </c>
      <c r="P174" s="339">
        <f t="shared" si="327"/>
        <v>0</v>
      </c>
      <c r="Q174" s="338"/>
      <c r="R174" s="388"/>
      <c r="S174" s="388"/>
    </row>
    <row r="175" spans="1:19" x14ac:dyDescent="0.2">
      <c r="A175" s="910" t="s">
        <v>392</v>
      </c>
      <c r="B175" s="717" t="s">
        <v>455</v>
      </c>
      <c r="C175" s="676"/>
      <c r="D175" s="677"/>
      <c r="E175" s="677"/>
      <c r="F175" s="678"/>
      <c r="G175" s="444"/>
      <c r="H175" s="445"/>
      <c r="I175" s="470"/>
      <c r="J175" s="445"/>
      <c r="K175" s="443"/>
      <c r="L175" s="446"/>
      <c r="M175" s="445"/>
      <c r="N175" s="443"/>
      <c r="O175" s="445"/>
      <c r="P175" s="339">
        <f t="shared" si="327"/>
        <v>0</v>
      </c>
      <c r="Q175" s="338"/>
      <c r="R175" s="388"/>
      <c r="S175" s="388"/>
    </row>
    <row r="176" spans="1:19" x14ac:dyDescent="0.2">
      <c r="A176" s="454" t="s">
        <v>393</v>
      </c>
      <c r="B176" s="454" t="s">
        <v>456</v>
      </c>
      <c r="C176" s="676" t="s">
        <v>221</v>
      </c>
      <c r="D176" s="677">
        <v>6</v>
      </c>
      <c r="E176" s="677">
        <v>598.11</v>
      </c>
      <c r="F176" s="678">
        <v>3588.66</v>
      </c>
      <c r="G176" s="444">
        <v>6</v>
      </c>
      <c r="H176" s="445">
        <f t="shared" ref="H176:H179" si="363">+G176*E176</f>
        <v>3588.66</v>
      </c>
      <c r="I176" s="470">
        <v>0</v>
      </c>
      <c r="J176" s="445">
        <f t="shared" ref="J176:J179" si="364">+I176*E176</f>
        <v>0</v>
      </c>
      <c r="K176" s="443">
        <f t="shared" ref="K176:K179" si="365">+G176+I176</f>
        <v>6</v>
      </c>
      <c r="L176" s="446">
        <f t="shared" ref="L176:L179" si="366">+K176*E176</f>
        <v>3588.66</v>
      </c>
      <c r="M176" s="445">
        <f t="shared" ref="M176:M179" si="367">+K176*100/D176</f>
        <v>100</v>
      </c>
      <c r="N176" s="443">
        <f t="shared" ref="N176:N179" si="368">+D176-K176</f>
        <v>0</v>
      </c>
      <c r="O176" s="445">
        <f t="shared" ref="O176:O179" si="369">+F176-L176</f>
        <v>0</v>
      </c>
      <c r="P176" s="339">
        <f t="shared" si="327"/>
        <v>0</v>
      </c>
      <c r="Q176" s="338"/>
      <c r="R176" s="388"/>
      <c r="S176" s="388"/>
    </row>
    <row r="177" spans="1:19" x14ac:dyDescent="0.2">
      <c r="A177" s="454" t="s">
        <v>394</v>
      </c>
      <c r="B177" s="454" t="s">
        <v>566</v>
      </c>
      <c r="C177" s="676" t="s">
        <v>221</v>
      </c>
      <c r="D177" s="677">
        <v>2</v>
      </c>
      <c r="E177" s="677">
        <v>428.62</v>
      </c>
      <c r="F177" s="678">
        <v>857.24</v>
      </c>
      <c r="G177" s="444">
        <v>2</v>
      </c>
      <c r="H177" s="445">
        <f t="shared" si="363"/>
        <v>857.24</v>
      </c>
      <c r="I177" s="470">
        <v>0</v>
      </c>
      <c r="J177" s="445">
        <f t="shared" si="364"/>
        <v>0</v>
      </c>
      <c r="K177" s="443">
        <f t="shared" si="365"/>
        <v>2</v>
      </c>
      <c r="L177" s="446">
        <f t="shared" si="366"/>
        <v>857.24</v>
      </c>
      <c r="M177" s="445">
        <f t="shared" si="367"/>
        <v>100</v>
      </c>
      <c r="N177" s="443">
        <f t="shared" si="368"/>
        <v>0</v>
      </c>
      <c r="O177" s="445">
        <f t="shared" si="369"/>
        <v>0</v>
      </c>
      <c r="P177" s="339">
        <f t="shared" si="327"/>
        <v>0</v>
      </c>
      <c r="Q177" s="338"/>
      <c r="R177" s="388"/>
      <c r="S177" s="388"/>
    </row>
    <row r="178" spans="1:19" x14ac:dyDescent="0.2">
      <c r="A178" s="454" t="s">
        <v>395</v>
      </c>
      <c r="B178" s="454" t="s">
        <v>457</v>
      </c>
      <c r="C178" s="676" t="s">
        <v>221</v>
      </c>
      <c r="D178" s="677">
        <v>6</v>
      </c>
      <c r="E178" s="677">
        <v>396.95</v>
      </c>
      <c r="F178" s="678">
        <v>2381.7000000000003</v>
      </c>
      <c r="G178" s="444">
        <v>6</v>
      </c>
      <c r="H178" s="445">
        <f t="shared" si="363"/>
        <v>2381.6999999999998</v>
      </c>
      <c r="I178" s="470">
        <v>0</v>
      </c>
      <c r="J178" s="445">
        <f t="shared" si="364"/>
        <v>0</v>
      </c>
      <c r="K178" s="443">
        <f t="shared" si="365"/>
        <v>6</v>
      </c>
      <c r="L178" s="446">
        <f t="shared" si="366"/>
        <v>2381.6999999999998</v>
      </c>
      <c r="M178" s="445">
        <f t="shared" si="367"/>
        <v>100</v>
      </c>
      <c r="N178" s="443">
        <f t="shared" si="368"/>
        <v>0</v>
      </c>
      <c r="O178" s="445">
        <f t="shared" si="369"/>
        <v>0</v>
      </c>
      <c r="P178" s="339">
        <f t="shared" si="327"/>
        <v>0</v>
      </c>
      <c r="Q178" s="338"/>
      <c r="R178" s="388"/>
      <c r="S178" s="388"/>
    </row>
    <row r="179" spans="1:19" x14ac:dyDescent="0.2">
      <c r="A179" s="454" t="s">
        <v>396</v>
      </c>
      <c r="B179" s="454" t="s">
        <v>567</v>
      </c>
      <c r="C179" s="676" t="s">
        <v>221</v>
      </c>
      <c r="D179" s="677">
        <v>5</v>
      </c>
      <c r="E179" s="677">
        <v>547.26</v>
      </c>
      <c r="F179" s="678">
        <v>2736.3</v>
      </c>
      <c r="G179" s="444">
        <v>5</v>
      </c>
      <c r="H179" s="445">
        <f t="shared" si="363"/>
        <v>2736.3</v>
      </c>
      <c r="I179" s="470">
        <v>0</v>
      </c>
      <c r="J179" s="445">
        <f t="shared" si="364"/>
        <v>0</v>
      </c>
      <c r="K179" s="443">
        <f t="shared" si="365"/>
        <v>5</v>
      </c>
      <c r="L179" s="446">
        <f t="shared" si="366"/>
        <v>2736.3</v>
      </c>
      <c r="M179" s="445">
        <f t="shared" si="367"/>
        <v>100</v>
      </c>
      <c r="N179" s="443">
        <f t="shared" si="368"/>
        <v>0</v>
      </c>
      <c r="O179" s="445">
        <f t="shared" si="369"/>
        <v>0</v>
      </c>
      <c r="P179" s="339">
        <f t="shared" si="327"/>
        <v>0</v>
      </c>
      <c r="Q179" s="338"/>
      <c r="R179" s="388"/>
      <c r="S179" s="388"/>
    </row>
    <row r="180" spans="1:19" x14ac:dyDescent="0.2">
      <c r="A180" s="454" t="s">
        <v>397</v>
      </c>
      <c r="B180" s="454" t="s">
        <v>500</v>
      </c>
      <c r="C180" s="676" t="s">
        <v>221</v>
      </c>
      <c r="D180" s="677">
        <v>2</v>
      </c>
      <c r="E180" s="677">
        <v>581.15</v>
      </c>
      <c r="F180" s="678">
        <v>1162.3</v>
      </c>
      <c r="G180" s="444">
        <v>2</v>
      </c>
      <c r="H180" s="445">
        <f t="shared" ref="H180:H182" si="370">+G180*E180</f>
        <v>1162.3</v>
      </c>
      <c r="I180" s="470">
        <v>0</v>
      </c>
      <c r="J180" s="445">
        <f t="shared" ref="J180:J182" si="371">+I180*E180</f>
        <v>0</v>
      </c>
      <c r="K180" s="443">
        <f t="shared" ref="K180:K182" si="372">+G180+I180</f>
        <v>2</v>
      </c>
      <c r="L180" s="446">
        <f t="shared" ref="L180:L182" si="373">+K180*E180</f>
        <v>1162.3</v>
      </c>
      <c r="M180" s="445">
        <f t="shared" ref="M180:M182" si="374">+K180*100/D180</f>
        <v>100</v>
      </c>
      <c r="N180" s="443">
        <f t="shared" ref="N180:N182" si="375">+D180-K180</f>
        <v>0</v>
      </c>
      <c r="O180" s="445">
        <f t="shared" ref="O180:O182" si="376">+F180-L180</f>
        <v>0</v>
      </c>
      <c r="P180" s="339">
        <f t="shared" si="327"/>
        <v>0</v>
      </c>
      <c r="Q180" s="338"/>
      <c r="R180" s="388"/>
      <c r="S180" s="388"/>
    </row>
    <row r="181" spans="1:19" x14ac:dyDescent="0.2">
      <c r="A181" s="454" t="s">
        <v>398</v>
      </c>
      <c r="B181" s="454" t="s">
        <v>568</v>
      </c>
      <c r="C181" s="676" t="s">
        <v>221</v>
      </c>
      <c r="D181" s="677">
        <v>2</v>
      </c>
      <c r="E181" s="677">
        <v>407.43</v>
      </c>
      <c r="F181" s="678">
        <v>814.86</v>
      </c>
      <c r="G181" s="444">
        <v>2</v>
      </c>
      <c r="H181" s="445">
        <f t="shared" si="370"/>
        <v>814.86</v>
      </c>
      <c r="I181" s="470">
        <v>0</v>
      </c>
      <c r="J181" s="445">
        <f t="shared" si="371"/>
        <v>0</v>
      </c>
      <c r="K181" s="443">
        <f t="shared" si="372"/>
        <v>2</v>
      </c>
      <c r="L181" s="446">
        <f t="shared" si="373"/>
        <v>814.86</v>
      </c>
      <c r="M181" s="445">
        <f t="shared" si="374"/>
        <v>100</v>
      </c>
      <c r="N181" s="443">
        <f t="shared" si="375"/>
        <v>0</v>
      </c>
      <c r="O181" s="445">
        <f t="shared" si="376"/>
        <v>0</v>
      </c>
      <c r="P181" s="339">
        <f t="shared" si="327"/>
        <v>0</v>
      </c>
      <c r="Q181" s="338"/>
      <c r="R181" s="388"/>
      <c r="S181" s="388"/>
    </row>
    <row r="182" spans="1:19" x14ac:dyDescent="0.2">
      <c r="A182" s="454" t="s">
        <v>565</v>
      </c>
      <c r="B182" s="454" t="s">
        <v>569</v>
      </c>
      <c r="C182" s="676" t="s">
        <v>221</v>
      </c>
      <c r="D182" s="677">
        <v>1</v>
      </c>
      <c r="E182" s="677">
        <v>2268.37</v>
      </c>
      <c r="F182" s="678">
        <v>2268.37</v>
      </c>
      <c r="G182" s="444">
        <v>1</v>
      </c>
      <c r="H182" s="445">
        <f t="shared" si="370"/>
        <v>2268.37</v>
      </c>
      <c r="I182" s="470">
        <v>0</v>
      </c>
      <c r="J182" s="445">
        <f t="shared" si="371"/>
        <v>0</v>
      </c>
      <c r="K182" s="443">
        <f t="shared" si="372"/>
        <v>1</v>
      </c>
      <c r="L182" s="446">
        <f t="shared" si="373"/>
        <v>2268.37</v>
      </c>
      <c r="M182" s="445">
        <f t="shared" si="374"/>
        <v>100</v>
      </c>
      <c r="N182" s="443">
        <f t="shared" si="375"/>
        <v>0</v>
      </c>
      <c r="O182" s="445">
        <f t="shared" si="376"/>
        <v>0</v>
      </c>
      <c r="P182" s="339">
        <f t="shared" si="327"/>
        <v>0</v>
      </c>
      <c r="Q182" s="338"/>
      <c r="R182" s="388"/>
      <c r="S182" s="388"/>
    </row>
    <row r="183" spans="1:19" x14ac:dyDescent="0.2">
      <c r="A183" s="910" t="s">
        <v>399</v>
      </c>
      <c r="B183" s="717" t="s">
        <v>458</v>
      </c>
      <c r="C183" s="676"/>
      <c r="D183" s="677"/>
      <c r="E183" s="677"/>
      <c r="F183" s="678"/>
      <c r="G183" s="444"/>
      <c r="H183" s="445"/>
      <c r="I183" s="470"/>
      <c r="J183" s="445"/>
      <c r="K183" s="443"/>
      <c r="L183" s="446"/>
      <c r="M183" s="445"/>
      <c r="N183" s="443"/>
      <c r="O183" s="445"/>
      <c r="P183" s="339">
        <f t="shared" si="327"/>
        <v>0</v>
      </c>
      <c r="Q183" s="338"/>
      <c r="R183" s="388"/>
      <c r="S183" s="388"/>
    </row>
    <row r="184" spans="1:19" s="379" customFormat="1" x14ac:dyDescent="0.2">
      <c r="A184" s="454" t="s">
        <v>400</v>
      </c>
      <c r="B184" s="454" t="s">
        <v>570</v>
      </c>
      <c r="C184" s="676" t="s">
        <v>221</v>
      </c>
      <c r="D184" s="677">
        <v>2</v>
      </c>
      <c r="E184" s="677">
        <v>95.66</v>
      </c>
      <c r="F184" s="678">
        <v>191.32</v>
      </c>
      <c r="G184" s="444">
        <v>2</v>
      </c>
      <c r="H184" s="445">
        <f t="shared" ref="H184:H186" si="377">+G184*E184</f>
        <v>191.32</v>
      </c>
      <c r="I184" s="470">
        <v>0</v>
      </c>
      <c r="J184" s="445">
        <f t="shared" ref="J184:J186" si="378">+I184*E184</f>
        <v>0</v>
      </c>
      <c r="K184" s="443">
        <f t="shared" ref="K184:K186" si="379">+G184+I184</f>
        <v>2</v>
      </c>
      <c r="L184" s="446">
        <f t="shared" ref="L184:L186" si="380">+K184*E184</f>
        <v>191.32</v>
      </c>
      <c r="M184" s="445">
        <f t="shared" ref="M184:M186" si="381">+K184*100/D184</f>
        <v>100</v>
      </c>
      <c r="N184" s="443">
        <f t="shared" ref="N184:N186" si="382">+D184-K184</f>
        <v>0</v>
      </c>
      <c r="O184" s="445">
        <f t="shared" ref="O184:O186" si="383">+F184-L184</f>
        <v>0</v>
      </c>
      <c r="P184" s="339">
        <f t="shared" si="327"/>
        <v>0</v>
      </c>
      <c r="R184" s="388"/>
      <c r="S184" s="388"/>
    </row>
    <row r="185" spans="1:19" x14ac:dyDescent="0.2">
      <c r="A185" s="454" t="s">
        <v>600</v>
      </c>
      <c r="B185" s="454" t="s">
        <v>571</v>
      </c>
      <c r="C185" s="676" t="s">
        <v>221</v>
      </c>
      <c r="D185" s="677">
        <v>1</v>
      </c>
      <c r="E185" s="677">
        <v>235.49</v>
      </c>
      <c r="F185" s="678">
        <v>235.49</v>
      </c>
      <c r="G185" s="444">
        <v>1</v>
      </c>
      <c r="H185" s="445">
        <f t="shared" si="377"/>
        <v>235.49</v>
      </c>
      <c r="I185" s="470">
        <v>0</v>
      </c>
      <c r="J185" s="445">
        <f t="shared" si="378"/>
        <v>0</v>
      </c>
      <c r="K185" s="443">
        <f t="shared" si="379"/>
        <v>1</v>
      </c>
      <c r="L185" s="446">
        <f t="shared" si="380"/>
        <v>235.49</v>
      </c>
      <c r="M185" s="445">
        <f t="shared" si="381"/>
        <v>100</v>
      </c>
      <c r="N185" s="443">
        <f t="shared" si="382"/>
        <v>0</v>
      </c>
      <c r="O185" s="445">
        <f t="shared" si="383"/>
        <v>0</v>
      </c>
      <c r="P185" s="339">
        <f t="shared" si="327"/>
        <v>0</v>
      </c>
      <c r="Q185" s="338"/>
      <c r="R185" s="388"/>
      <c r="S185" s="388"/>
    </row>
    <row r="186" spans="1:19" x14ac:dyDescent="0.2">
      <c r="A186" s="454" t="s">
        <v>601</v>
      </c>
      <c r="B186" s="454" t="s">
        <v>572</v>
      </c>
      <c r="C186" s="676" t="s">
        <v>221</v>
      </c>
      <c r="D186" s="677">
        <v>2</v>
      </c>
      <c r="E186" s="677">
        <v>87.19</v>
      </c>
      <c r="F186" s="678">
        <v>174.38</v>
      </c>
      <c r="G186" s="444">
        <v>2</v>
      </c>
      <c r="H186" s="445">
        <f t="shared" si="377"/>
        <v>174.38</v>
      </c>
      <c r="I186" s="470">
        <v>0</v>
      </c>
      <c r="J186" s="445">
        <f t="shared" si="378"/>
        <v>0</v>
      </c>
      <c r="K186" s="443">
        <f t="shared" si="379"/>
        <v>2</v>
      </c>
      <c r="L186" s="446">
        <f t="shared" si="380"/>
        <v>174.38</v>
      </c>
      <c r="M186" s="445">
        <f t="shared" si="381"/>
        <v>100</v>
      </c>
      <c r="N186" s="443">
        <f t="shared" si="382"/>
        <v>0</v>
      </c>
      <c r="O186" s="445">
        <f t="shared" si="383"/>
        <v>0</v>
      </c>
      <c r="P186" s="339">
        <f t="shared" si="327"/>
        <v>0</v>
      </c>
      <c r="Q186" s="338"/>
      <c r="R186" s="388"/>
      <c r="S186" s="388"/>
    </row>
    <row r="187" spans="1:19" x14ac:dyDescent="0.2">
      <c r="A187" s="730">
        <v>7.03</v>
      </c>
      <c r="B187" s="448" t="s">
        <v>459</v>
      </c>
      <c r="C187" s="676"/>
      <c r="D187" s="677"/>
      <c r="E187" s="677"/>
      <c r="F187" s="678"/>
      <c r="G187" s="444"/>
      <c r="H187" s="445"/>
      <c r="I187" s="470"/>
      <c r="J187" s="445"/>
      <c r="K187" s="443"/>
      <c r="L187" s="446"/>
      <c r="M187" s="445"/>
      <c r="N187" s="443"/>
      <c r="O187" s="445"/>
      <c r="P187" s="339">
        <f t="shared" si="327"/>
        <v>0</v>
      </c>
      <c r="Q187" s="338"/>
      <c r="R187" s="388"/>
      <c r="S187" s="388"/>
    </row>
    <row r="188" spans="1:19" x14ac:dyDescent="0.2">
      <c r="A188" s="910" t="s">
        <v>573</v>
      </c>
      <c r="B188" s="717" t="s">
        <v>460</v>
      </c>
      <c r="C188" s="676"/>
      <c r="D188" s="677"/>
      <c r="E188" s="677"/>
      <c r="F188" s="678"/>
      <c r="G188" s="444"/>
      <c r="H188" s="445"/>
      <c r="I188" s="470"/>
      <c r="J188" s="445"/>
      <c r="K188" s="443"/>
      <c r="L188" s="446"/>
      <c r="M188" s="445"/>
      <c r="N188" s="443"/>
      <c r="O188" s="445"/>
      <c r="P188" s="339">
        <f t="shared" si="327"/>
        <v>0</v>
      </c>
      <c r="Q188" s="338"/>
      <c r="R188" s="388"/>
      <c r="S188" s="388"/>
    </row>
    <row r="189" spans="1:19" x14ac:dyDescent="0.2">
      <c r="A189" s="454" t="s">
        <v>574</v>
      </c>
      <c r="B189" s="454" t="s">
        <v>576</v>
      </c>
      <c r="C189" s="676" t="s">
        <v>99</v>
      </c>
      <c r="D189" s="677">
        <v>60</v>
      </c>
      <c r="E189" s="677">
        <v>9.14</v>
      </c>
      <c r="F189" s="678">
        <v>548.4</v>
      </c>
      <c r="G189" s="444">
        <v>60</v>
      </c>
      <c r="H189" s="445">
        <f t="shared" ref="H189:H190" si="384">+G189*E189</f>
        <v>548.40000000000009</v>
      </c>
      <c r="I189" s="470">
        <v>0</v>
      </c>
      <c r="J189" s="445">
        <f t="shared" ref="J189:J190" si="385">+I189*E189</f>
        <v>0</v>
      </c>
      <c r="K189" s="443">
        <f t="shared" ref="K189:K190" si="386">+G189+I189</f>
        <v>60</v>
      </c>
      <c r="L189" s="446">
        <f t="shared" ref="L189:L190" si="387">+K189*E189</f>
        <v>548.40000000000009</v>
      </c>
      <c r="M189" s="445">
        <f t="shared" ref="M189:M190" si="388">+K189*100/D189</f>
        <v>100</v>
      </c>
      <c r="N189" s="443">
        <f t="shared" ref="N189:N190" si="389">+D189-K189</f>
        <v>0</v>
      </c>
      <c r="O189" s="445">
        <f t="shared" ref="O189:O190" si="390">+F189-L189</f>
        <v>0</v>
      </c>
      <c r="P189" s="339">
        <f t="shared" si="327"/>
        <v>0</v>
      </c>
      <c r="Q189" s="338"/>
      <c r="R189" s="388"/>
      <c r="S189" s="388"/>
    </row>
    <row r="190" spans="1:19" x14ac:dyDescent="0.2">
      <c r="A190" s="454" t="s">
        <v>575</v>
      </c>
      <c r="B190" s="454" t="s">
        <v>577</v>
      </c>
      <c r="C190" s="676" t="s">
        <v>99</v>
      </c>
      <c r="D190" s="677">
        <v>40</v>
      </c>
      <c r="E190" s="677">
        <v>12.88</v>
      </c>
      <c r="F190" s="678">
        <v>515.20000000000005</v>
      </c>
      <c r="G190" s="444">
        <v>40</v>
      </c>
      <c r="H190" s="445">
        <f t="shared" si="384"/>
        <v>515.20000000000005</v>
      </c>
      <c r="I190" s="470">
        <v>0</v>
      </c>
      <c r="J190" s="445">
        <f t="shared" si="385"/>
        <v>0</v>
      </c>
      <c r="K190" s="443">
        <f t="shared" si="386"/>
        <v>40</v>
      </c>
      <c r="L190" s="446">
        <f t="shared" si="387"/>
        <v>515.20000000000005</v>
      </c>
      <c r="M190" s="445">
        <f t="shared" si="388"/>
        <v>100</v>
      </c>
      <c r="N190" s="443">
        <f t="shared" si="389"/>
        <v>0</v>
      </c>
      <c r="O190" s="445">
        <f t="shared" si="390"/>
        <v>0</v>
      </c>
      <c r="P190" s="339">
        <f t="shared" si="327"/>
        <v>0</v>
      </c>
      <c r="Q190" s="338"/>
      <c r="R190" s="388"/>
      <c r="S190" s="388"/>
    </row>
    <row r="191" spans="1:19" x14ac:dyDescent="0.2">
      <c r="A191" s="910" t="s">
        <v>578</v>
      </c>
      <c r="B191" s="717" t="s">
        <v>461</v>
      </c>
      <c r="C191" s="676"/>
      <c r="D191" s="677"/>
      <c r="E191" s="677"/>
      <c r="F191" s="678"/>
      <c r="G191" s="444"/>
      <c r="H191" s="445"/>
      <c r="I191" s="470"/>
      <c r="J191" s="445"/>
      <c r="K191" s="443"/>
      <c r="L191" s="446"/>
      <c r="M191" s="445"/>
      <c r="N191" s="443"/>
      <c r="O191" s="445"/>
      <c r="P191" s="339">
        <f t="shared" si="327"/>
        <v>0</v>
      </c>
      <c r="Q191" s="338"/>
      <c r="R191" s="388"/>
      <c r="S191" s="388"/>
    </row>
    <row r="192" spans="1:19" x14ac:dyDescent="0.2">
      <c r="A192" s="454" t="s">
        <v>579</v>
      </c>
      <c r="B192" s="454" t="s">
        <v>581</v>
      </c>
      <c r="C192" s="676" t="s">
        <v>221</v>
      </c>
      <c r="D192" s="677">
        <v>10</v>
      </c>
      <c r="E192" s="677">
        <v>33.57</v>
      </c>
      <c r="F192" s="678">
        <v>335.7</v>
      </c>
      <c r="G192" s="444">
        <v>10</v>
      </c>
      <c r="H192" s="445">
        <f t="shared" ref="H192:H193" si="391">+G192*E192</f>
        <v>335.7</v>
      </c>
      <c r="I192" s="470">
        <v>0</v>
      </c>
      <c r="J192" s="445">
        <f t="shared" ref="J192:J193" si="392">+I192*E192</f>
        <v>0</v>
      </c>
      <c r="K192" s="443">
        <f t="shared" ref="K192:K193" si="393">+G192+I192</f>
        <v>10</v>
      </c>
      <c r="L192" s="446">
        <f t="shared" ref="L192:L193" si="394">+K192*E192</f>
        <v>335.7</v>
      </c>
      <c r="M192" s="445">
        <f t="shared" ref="M192:M193" si="395">+K192*100/D192</f>
        <v>100</v>
      </c>
      <c r="N192" s="443">
        <f t="shared" ref="N192:N193" si="396">+D192-K192</f>
        <v>0</v>
      </c>
      <c r="O192" s="445">
        <f t="shared" ref="O192:O193" si="397">+F192-L192</f>
        <v>0</v>
      </c>
      <c r="P192" s="339">
        <f t="shared" si="327"/>
        <v>0</v>
      </c>
      <c r="Q192" s="338"/>
      <c r="R192" s="388"/>
      <c r="S192" s="388"/>
    </row>
    <row r="193" spans="1:19" x14ac:dyDescent="0.2">
      <c r="A193" s="454" t="s">
        <v>580</v>
      </c>
      <c r="B193" s="454" t="s">
        <v>582</v>
      </c>
      <c r="C193" s="676" t="s">
        <v>221</v>
      </c>
      <c r="D193" s="677">
        <v>6</v>
      </c>
      <c r="E193" s="677">
        <v>42.9</v>
      </c>
      <c r="F193" s="678">
        <v>257.39999999999998</v>
      </c>
      <c r="G193" s="444">
        <v>6</v>
      </c>
      <c r="H193" s="445">
        <f t="shared" si="391"/>
        <v>257.39999999999998</v>
      </c>
      <c r="I193" s="470">
        <v>0</v>
      </c>
      <c r="J193" s="445">
        <f t="shared" si="392"/>
        <v>0</v>
      </c>
      <c r="K193" s="443">
        <f t="shared" si="393"/>
        <v>6</v>
      </c>
      <c r="L193" s="446">
        <f t="shared" si="394"/>
        <v>257.39999999999998</v>
      </c>
      <c r="M193" s="445">
        <f t="shared" si="395"/>
        <v>100</v>
      </c>
      <c r="N193" s="443">
        <f t="shared" si="396"/>
        <v>0</v>
      </c>
      <c r="O193" s="445">
        <f t="shared" si="397"/>
        <v>0</v>
      </c>
      <c r="P193" s="339">
        <f t="shared" si="327"/>
        <v>0</v>
      </c>
      <c r="Q193" s="338"/>
      <c r="R193" s="388"/>
      <c r="S193" s="388"/>
    </row>
    <row r="194" spans="1:19" x14ac:dyDescent="0.2">
      <c r="A194" s="910" t="s">
        <v>583</v>
      </c>
      <c r="B194" s="717" t="s">
        <v>462</v>
      </c>
      <c r="C194" s="676"/>
      <c r="D194" s="677"/>
      <c r="E194" s="677"/>
      <c r="F194" s="678"/>
      <c r="G194" s="444"/>
      <c r="H194" s="445"/>
      <c r="I194" s="470"/>
      <c r="J194" s="445"/>
      <c r="K194" s="443"/>
      <c r="L194" s="446"/>
      <c r="M194" s="445"/>
      <c r="N194" s="443"/>
      <c r="O194" s="445"/>
      <c r="P194" s="339">
        <f t="shared" si="327"/>
        <v>0</v>
      </c>
      <c r="Q194" s="338"/>
      <c r="R194" s="388"/>
      <c r="S194" s="388"/>
    </row>
    <row r="195" spans="1:19" x14ac:dyDescent="0.2">
      <c r="A195" s="454" t="s">
        <v>584</v>
      </c>
      <c r="B195" s="454" t="s">
        <v>590</v>
      </c>
      <c r="C195" s="676" t="s">
        <v>221</v>
      </c>
      <c r="D195" s="677">
        <v>6</v>
      </c>
      <c r="E195" s="677">
        <v>22.14</v>
      </c>
      <c r="F195" s="678">
        <v>132.84</v>
      </c>
      <c r="G195" s="444">
        <v>6</v>
      </c>
      <c r="H195" s="445">
        <f t="shared" ref="H195:H200" si="398">+G195*E195</f>
        <v>132.84</v>
      </c>
      <c r="I195" s="470">
        <v>0</v>
      </c>
      <c r="J195" s="445">
        <f t="shared" ref="J195:J200" si="399">+I195*E195</f>
        <v>0</v>
      </c>
      <c r="K195" s="443">
        <f t="shared" ref="K195:K200" si="400">+G195+I195</f>
        <v>6</v>
      </c>
      <c r="L195" s="446">
        <f t="shared" ref="L195:L200" si="401">+K195*E195</f>
        <v>132.84</v>
      </c>
      <c r="M195" s="445">
        <f t="shared" ref="M195:M200" si="402">+K195*100/D195</f>
        <v>100</v>
      </c>
      <c r="N195" s="443">
        <f t="shared" ref="N195:N200" si="403">+D195-K195</f>
        <v>0</v>
      </c>
      <c r="O195" s="445">
        <f t="shared" ref="O195:O200" si="404">+F195-L195</f>
        <v>0</v>
      </c>
      <c r="P195" s="339">
        <f t="shared" si="327"/>
        <v>0</v>
      </c>
      <c r="Q195" s="338"/>
      <c r="R195" s="388"/>
      <c r="S195" s="388"/>
    </row>
    <row r="196" spans="1:19" x14ac:dyDescent="0.2">
      <c r="A196" s="454" t="s">
        <v>585</v>
      </c>
      <c r="B196" s="454" t="s">
        <v>463</v>
      </c>
      <c r="C196" s="676" t="s">
        <v>221</v>
      </c>
      <c r="D196" s="677">
        <v>6</v>
      </c>
      <c r="E196" s="677">
        <v>22.68</v>
      </c>
      <c r="F196" s="678">
        <v>136.08000000000001</v>
      </c>
      <c r="G196" s="444">
        <v>6</v>
      </c>
      <c r="H196" s="445">
        <f t="shared" si="398"/>
        <v>136.07999999999998</v>
      </c>
      <c r="I196" s="470">
        <v>0</v>
      </c>
      <c r="J196" s="445">
        <f t="shared" si="399"/>
        <v>0</v>
      </c>
      <c r="K196" s="443">
        <f t="shared" si="400"/>
        <v>6</v>
      </c>
      <c r="L196" s="446">
        <f t="shared" si="401"/>
        <v>136.07999999999998</v>
      </c>
      <c r="M196" s="445">
        <f t="shared" si="402"/>
        <v>100</v>
      </c>
      <c r="N196" s="443">
        <f t="shared" si="403"/>
        <v>0</v>
      </c>
      <c r="O196" s="445">
        <f t="shared" si="404"/>
        <v>0</v>
      </c>
      <c r="P196" s="339">
        <f t="shared" si="327"/>
        <v>0</v>
      </c>
      <c r="Q196" s="338"/>
      <c r="R196" s="388"/>
      <c r="S196" s="388"/>
    </row>
    <row r="197" spans="1:19" x14ac:dyDescent="0.2">
      <c r="A197" s="454" t="s">
        <v>586</v>
      </c>
      <c r="B197" s="454" t="s">
        <v>591</v>
      </c>
      <c r="C197" s="676" t="s">
        <v>221</v>
      </c>
      <c r="D197" s="677">
        <v>5</v>
      </c>
      <c r="E197" s="677">
        <v>17.05</v>
      </c>
      <c r="F197" s="678">
        <v>85.25</v>
      </c>
      <c r="G197" s="444">
        <v>5</v>
      </c>
      <c r="H197" s="445">
        <f t="shared" si="398"/>
        <v>85.25</v>
      </c>
      <c r="I197" s="470">
        <v>0</v>
      </c>
      <c r="J197" s="445">
        <f t="shared" si="399"/>
        <v>0</v>
      </c>
      <c r="K197" s="443">
        <f t="shared" si="400"/>
        <v>5</v>
      </c>
      <c r="L197" s="446">
        <f t="shared" si="401"/>
        <v>85.25</v>
      </c>
      <c r="M197" s="445">
        <f t="shared" si="402"/>
        <v>100</v>
      </c>
      <c r="N197" s="443">
        <f t="shared" si="403"/>
        <v>0</v>
      </c>
      <c r="O197" s="445">
        <f t="shared" si="404"/>
        <v>0</v>
      </c>
      <c r="P197" s="339">
        <f t="shared" si="327"/>
        <v>0</v>
      </c>
      <c r="Q197" s="338"/>
      <c r="R197" s="388"/>
      <c r="S197" s="388"/>
    </row>
    <row r="198" spans="1:19" x14ac:dyDescent="0.2">
      <c r="A198" s="454" t="s">
        <v>587</v>
      </c>
      <c r="B198" s="454" t="s">
        <v>592</v>
      </c>
      <c r="C198" s="676" t="s">
        <v>221</v>
      </c>
      <c r="D198" s="677">
        <v>1</v>
      </c>
      <c r="E198" s="677">
        <v>17.05</v>
      </c>
      <c r="F198" s="678">
        <v>17.05</v>
      </c>
      <c r="G198" s="444">
        <v>1</v>
      </c>
      <c r="H198" s="445">
        <f t="shared" si="398"/>
        <v>17.05</v>
      </c>
      <c r="I198" s="470">
        <v>0</v>
      </c>
      <c r="J198" s="445">
        <f t="shared" si="399"/>
        <v>0</v>
      </c>
      <c r="K198" s="443">
        <f t="shared" si="400"/>
        <v>1</v>
      </c>
      <c r="L198" s="446">
        <f t="shared" si="401"/>
        <v>17.05</v>
      </c>
      <c r="M198" s="445">
        <f t="shared" si="402"/>
        <v>100</v>
      </c>
      <c r="N198" s="443">
        <f t="shared" si="403"/>
        <v>0</v>
      </c>
      <c r="O198" s="445">
        <f t="shared" si="404"/>
        <v>0</v>
      </c>
      <c r="P198" s="339">
        <f t="shared" si="327"/>
        <v>0</v>
      </c>
      <c r="Q198" s="338"/>
      <c r="R198" s="388"/>
      <c r="S198" s="388"/>
    </row>
    <row r="199" spans="1:19" x14ac:dyDescent="0.2">
      <c r="A199" s="454" t="s">
        <v>588</v>
      </c>
      <c r="B199" s="454" t="s">
        <v>593</v>
      </c>
      <c r="C199" s="676" t="s">
        <v>221</v>
      </c>
      <c r="D199" s="677">
        <v>2</v>
      </c>
      <c r="E199" s="677">
        <v>22.14</v>
      </c>
      <c r="F199" s="678">
        <v>44.28</v>
      </c>
      <c r="G199" s="444">
        <v>2</v>
      </c>
      <c r="H199" s="445">
        <f t="shared" si="398"/>
        <v>44.28</v>
      </c>
      <c r="I199" s="470">
        <v>0</v>
      </c>
      <c r="J199" s="445">
        <f t="shared" si="399"/>
        <v>0</v>
      </c>
      <c r="K199" s="443">
        <f t="shared" si="400"/>
        <v>2</v>
      </c>
      <c r="L199" s="446">
        <f t="shared" si="401"/>
        <v>44.28</v>
      </c>
      <c r="M199" s="445">
        <f t="shared" si="402"/>
        <v>100</v>
      </c>
      <c r="N199" s="443">
        <f t="shared" si="403"/>
        <v>0</v>
      </c>
      <c r="O199" s="445">
        <f t="shared" si="404"/>
        <v>0</v>
      </c>
      <c r="P199" s="339">
        <f t="shared" si="327"/>
        <v>0</v>
      </c>
      <c r="Q199" s="338"/>
      <c r="R199" s="388"/>
      <c r="S199" s="388"/>
    </row>
    <row r="200" spans="1:19" x14ac:dyDescent="0.2">
      <c r="A200" s="454" t="s">
        <v>589</v>
      </c>
      <c r="B200" s="454" t="s">
        <v>594</v>
      </c>
      <c r="C200" s="676" t="s">
        <v>221</v>
      </c>
      <c r="D200" s="677">
        <v>2</v>
      </c>
      <c r="E200" s="677">
        <v>15.9</v>
      </c>
      <c r="F200" s="678">
        <v>31.8</v>
      </c>
      <c r="G200" s="444">
        <v>2</v>
      </c>
      <c r="H200" s="445">
        <f t="shared" si="398"/>
        <v>31.8</v>
      </c>
      <c r="I200" s="470">
        <v>0</v>
      </c>
      <c r="J200" s="445">
        <f t="shared" si="399"/>
        <v>0</v>
      </c>
      <c r="K200" s="443">
        <f t="shared" si="400"/>
        <v>2</v>
      </c>
      <c r="L200" s="446">
        <f t="shared" si="401"/>
        <v>31.8</v>
      </c>
      <c r="M200" s="445">
        <f t="shared" si="402"/>
        <v>100</v>
      </c>
      <c r="N200" s="443">
        <f t="shared" si="403"/>
        <v>0</v>
      </c>
      <c r="O200" s="445">
        <f t="shared" si="404"/>
        <v>0</v>
      </c>
      <c r="P200" s="339">
        <f t="shared" si="327"/>
        <v>0</v>
      </c>
      <c r="Q200" s="338"/>
      <c r="R200" s="388"/>
      <c r="S200" s="388"/>
    </row>
    <row r="201" spans="1:19" s="630" customFormat="1" x14ac:dyDescent="0.2">
      <c r="A201" s="910" t="s">
        <v>595</v>
      </c>
      <c r="B201" s="717" t="s">
        <v>464</v>
      </c>
      <c r="C201" s="676"/>
      <c r="D201" s="677"/>
      <c r="E201" s="677"/>
      <c r="F201" s="678"/>
      <c r="G201" s="444"/>
      <c r="H201" s="445"/>
      <c r="I201" s="470"/>
      <c r="J201" s="445"/>
      <c r="K201" s="443"/>
      <c r="L201" s="446"/>
      <c r="M201" s="445"/>
      <c r="N201" s="443"/>
      <c r="O201" s="445"/>
      <c r="P201" s="339">
        <f t="shared" si="327"/>
        <v>0</v>
      </c>
      <c r="Q201" s="211"/>
      <c r="R201" s="388"/>
      <c r="S201" s="388"/>
    </row>
    <row r="202" spans="1:19" x14ac:dyDescent="0.2">
      <c r="A202" s="454" t="s">
        <v>598</v>
      </c>
      <c r="B202" s="454" t="s">
        <v>596</v>
      </c>
      <c r="C202" s="676" t="s">
        <v>221</v>
      </c>
      <c r="D202" s="677">
        <v>2</v>
      </c>
      <c r="E202" s="677">
        <v>151.1</v>
      </c>
      <c r="F202" s="678">
        <v>302.2</v>
      </c>
      <c r="G202" s="444">
        <v>2</v>
      </c>
      <c r="H202" s="445">
        <f t="shared" ref="H202:H203" si="405">+G202*E202</f>
        <v>302.2</v>
      </c>
      <c r="I202" s="470">
        <v>0</v>
      </c>
      <c r="J202" s="445">
        <f t="shared" ref="J202:J203" si="406">+I202*E202</f>
        <v>0</v>
      </c>
      <c r="K202" s="443">
        <f t="shared" ref="K202:K203" si="407">+G202+I202</f>
        <v>2</v>
      </c>
      <c r="L202" s="446">
        <f t="shared" ref="L202:L203" si="408">+K202*E202</f>
        <v>302.2</v>
      </c>
      <c r="M202" s="445">
        <f t="shared" ref="M202:M203" si="409">+K202*100/D202</f>
        <v>100</v>
      </c>
      <c r="N202" s="443">
        <f t="shared" ref="N202:N203" si="410">+D202-K202</f>
        <v>0</v>
      </c>
      <c r="O202" s="445">
        <f t="shared" ref="O202:O203" si="411">+F202-L202</f>
        <v>0</v>
      </c>
      <c r="P202" s="339">
        <f t="shared" si="327"/>
        <v>0</v>
      </c>
      <c r="Q202" s="338"/>
      <c r="R202" s="388"/>
      <c r="S202" s="388"/>
    </row>
    <row r="203" spans="1:19" ht="10.8" thickBot="1" x14ac:dyDescent="0.25">
      <c r="A203" s="454" t="s">
        <v>599</v>
      </c>
      <c r="B203" s="454" t="s">
        <v>597</v>
      </c>
      <c r="C203" s="676" t="s">
        <v>221</v>
      </c>
      <c r="D203" s="677">
        <v>1</v>
      </c>
      <c r="E203" s="677">
        <v>129.25</v>
      </c>
      <c r="F203" s="678">
        <v>129.25</v>
      </c>
      <c r="G203" s="444">
        <v>1</v>
      </c>
      <c r="H203" s="445">
        <f t="shared" si="405"/>
        <v>129.25</v>
      </c>
      <c r="I203" s="470">
        <v>0</v>
      </c>
      <c r="J203" s="445">
        <f t="shared" si="406"/>
        <v>0</v>
      </c>
      <c r="K203" s="443">
        <f t="shared" si="407"/>
        <v>1</v>
      </c>
      <c r="L203" s="446">
        <f t="shared" si="408"/>
        <v>129.25</v>
      </c>
      <c r="M203" s="445">
        <f t="shared" si="409"/>
        <v>100</v>
      </c>
      <c r="N203" s="443">
        <f t="shared" si="410"/>
        <v>0</v>
      </c>
      <c r="O203" s="445">
        <f t="shared" si="411"/>
        <v>0</v>
      </c>
      <c r="P203" s="339">
        <f t="shared" si="327"/>
        <v>0</v>
      </c>
      <c r="Q203" s="338"/>
      <c r="R203" s="388"/>
      <c r="S203" s="388"/>
    </row>
    <row r="204" spans="1:19" x14ac:dyDescent="0.2">
      <c r="A204" s="424"/>
      <c r="B204" s="427"/>
      <c r="C204" s="364"/>
      <c r="D204" s="397"/>
      <c r="E204" s="363"/>
      <c r="F204" s="433"/>
      <c r="G204" s="364"/>
      <c r="H204" s="365"/>
      <c r="I204" s="364"/>
      <c r="J204" s="365"/>
      <c r="K204" s="364"/>
      <c r="L204" s="363"/>
      <c r="M204" s="365"/>
      <c r="N204" s="363"/>
      <c r="O204" s="365"/>
      <c r="P204" s="204"/>
    </row>
    <row r="205" spans="1:19" x14ac:dyDescent="0.2">
      <c r="A205" s="425"/>
      <c r="B205" s="422" t="s">
        <v>279</v>
      </c>
      <c r="C205" s="428"/>
      <c r="D205" s="398"/>
      <c r="E205" s="366"/>
      <c r="F205" s="434">
        <f>SUM(F17:F203)</f>
        <v>317150.96000000002</v>
      </c>
      <c r="G205" s="367"/>
      <c r="H205" s="429">
        <f>SUM(H15:H203)</f>
        <v>317150.95910000004</v>
      </c>
      <c r="I205" s="367"/>
      <c r="J205" s="429">
        <f>SUM(J15:J203)</f>
        <v>0</v>
      </c>
      <c r="K205" s="367"/>
      <c r="L205" s="430">
        <f>SUM(L15:L203)</f>
        <v>317150.95910000004</v>
      </c>
      <c r="M205" s="368"/>
      <c r="N205" s="366"/>
      <c r="O205" s="429">
        <f>SUM(O15:O203)</f>
        <v>8.99999999433021E-4</v>
      </c>
      <c r="P205" s="204"/>
    </row>
    <row r="206" spans="1:19" x14ac:dyDescent="0.2">
      <c r="A206" s="425"/>
      <c r="B206" s="422" t="s">
        <v>278</v>
      </c>
      <c r="C206" s="428"/>
      <c r="D206" s="398"/>
      <c r="E206" s="366"/>
      <c r="F206" s="435">
        <f>0.1*F205</f>
        <v>31715.096000000005</v>
      </c>
      <c r="G206" s="367"/>
      <c r="H206" s="432">
        <f>0.1*H205</f>
        <v>31715.095910000004</v>
      </c>
      <c r="I206" s="367"/>
      <c r="J206" s="432">
        <f>0.1*J205</f>
        <v>0</v>
      </c>
      <c r="K206" s="367"/>
      <c r="L206" s="474">
        <f>0.1*L205</f>
        <v>31715.095910000004</v>
      </c>
      <c r="M206" s="368"/>
      <c r="N206" s="366"/>
      <c r="O206" s="432">
        <f>0.1*O205</f>
        <v>8.99999999433021E-5</v>
      </c>
      <c r="P206" s="204"/>
    </row>
    <row r="207" spans="1:19" x14ac:dyDescent="0.2">
      <c r="A207" s="425"/>
      <c r="B207" s="422" t="s">
        <v>308</v>
      </c>
      <c r="C207" s="428"/>
      <c r="D207" s="398"/>
      <c r="E207" s="366"/>
      <c r="F207" s="435">
        <f>0.1*F205</f>
        <v>31715.096000000005</v>
      </c>
      <c r="G207" s="367"/>
      <c r="H207" s="432">
        <f>0.1*H205</f>
        <v>31715.095910000004</v>
      </c>
      <c r="I207" s="367"/>
      <c r="J207" s="432">
        <f>0.1*J205</f>
        <v>0</v>
      </c>
      <c r="K207" s="367"/>
      <c r="L207" s="474">
        <f>0.1*L205</f>
        <v>31715.095910000004</v>
      </c>
      <c r="M207" s="368"/>
      <c r="N207" s="366"/>
      <c r="O207" s="432">
        <f>0.1*O205</f>
        <v>8.99999999433021E-5</v>
      </c>
      <c r="P207" s="204"/>
    </row>
    <row r="208" spans="1:19" x14ac:dyDescent="0.2">
      <c r="A208" s="425"/>
      <c r="B208" s="422" t="s">
        <v>280</v>
      </c>
      <c r="C208" s="428"/>
      <c r="D208" s="398"/>
      <c r="E208" s="366"/>
      <c r="F208" s="435">
        <f>SUM(F205:F207)</f>
        <v>380581.15200000006</v>
      </c>
      <c r="G208" s="367"/>
      <c r="H208" s="432">
        <f>SUM(H205:H207)</f>
        <v>380581.15092000004</v>
      </c>
      <c r="I208" s="367"/>
      <c r="J208" s="432">
        <f>SUM(J205:J207)</f>
        <v>0</v>
      </c>
      <c r="K208" s="367"/>
      <c r="L208" s="474">
        <f>SUM(L205:L207)</f>
        <v>380581.15092000004</v>
      </c>
      <c r="M208" s="368"/>
      <c r="N208" s="366"/>
      <c r="O208" s="432">
        <f>SUM(O205:O207)</f>
        <v>1.0799999993196252E-3</v>
      </c>
      <c r="P208" s="204"/>
    </row>
    <row r="209" spans="1:16" x14ac:dyDescent="0.2">
      <c r="A209" s="425"/>
      <c r="B209" s="422" t="s">
        <v>281</v>
      </c>
      <c r="C209" s="428"/>
      <c r="D209" s="398"/>
      <c r="E209" s="366"/>
      <c r="F209" s="436">
        <v>1</v>
      </c>
      <c r="G209" s="367"/>
      <c r="H209" s="432">
        <v>1</v>
      </c>
      <c r="I209" s="367"/>
      <c r="J209" s="432">
        <v>1</v>
      </c>
      <c r="K209" s="367"/>
      <c r="L209" s="474">
        <v>1</v>
      </c>
      <c r="M209" s="368"/>
      <c r="N209" s="366"/>
      <c r="O209" s="432">
        <v>1</v>
      </c>
      <c r="P209" s="204"/>
    </row>
    <row r="210" spans="1:16" x14ac:dyDescent="0.2">
      <c r="A210" s="425"/>
      <c r="B210" s="422" t="s">
        <v>282</v>
      </c>
      <c r="C210" s="428"/>
      <c r="D210" s="398"/>
      <c r="E210" s="366"/>
      <c r="F210" s="437">
        <f>SUM(F208)*F209</f>
        <v>380581.15200000006</v>
      </c>
      <c r="G210" s="464"/>
      <c r="H210" s="465">
        <f>SUM(H208)*H209</f>
        <v>380581.15092000004</v>
      </c>
      <c r="I210" s="367"/>
      <c r="J210" s="465">
        <f>SUM(J208)*J209</f>
        <v>0</v>
      </c>
      <c r="K210" s="464"/>
      <c r="L210" s="475">
        <f>SUM(L208)*L209</f>
        <v>380581.15092000004</v>
      </c>
      <c r="M210" s="429"/>
      <c r="N210" s="430"/>
      <c r="O210" s="465">
        <f>SUM(O208)*O209</f>
        <v>1.0799999993196252E-3</v>
      </c>
      <c r="P210" s="204"/>
    </row>
    <row r="211" spans="1:16" x14ac:dyDescent="0.2">
      <c r="A211" s="425"/>
      <c r="B211" s="422" t="s">
        <v>173</v>
      </c>
      <c r="C211" s="428"/>
      <c r="D211" s="398"/>
      <c r="E211" s="366"/>
      <c r="F211" s="435">
        <f>ROUND(F210*18%,2)</f>
        <v>68504.61</v>
      </c>
      <c r="G211" s="367"/>
      <c r="H211" s="432">
        <f>ROUND(H210*0.18000004,2)</f>
        <v>68504.62</v>
      </c>
      <c r="I211" s="367"/>
      <c r="J211" s="432">
        <f>ROUND(J210*0.1799999999,2)</f>
        <v>0</v>
      </c>
      <c r="K211" s="367"/>
      <c r="L211" s="474">
        <f>ROUND(L210*0.18000004,2)</f>
        <v>68504.62</v>
      </c>
      <c r="M211" s="369"/>
      <c r="N211" s="715"/>
      <c r="O211" s="432">
        <f>ROUND(O210*18%,2)</f>
        <v>0</v>
      </c>
      <c r="P211" s="204"/>
    </row>
    <row r="212" spans="1:16" ht="10.8" thickBot="1" x14ac:dyDescent="0.25">
      <c r="A212" s="426"/>
      <c r="B212" s="423" t="s">
        <v>0</v>
      </c>
      <c r="C212" s="431"/>
      <c r="D212" s="399"/>
      <c r="E212" s="371"/>
      <c r="F212" s="438">
        <f>ROUND(SUM(F210:F211),3)+0.01</f>
        <v>449085.772</v>
      </c>
      <c r="G212" s="467"/>
      <c r="H212" s="481">
        <f>ROUND(SUM(H210:H211),3)</f>
        <v>449085.77100000001</v>
      </c>
      <c r="I212" s="707"/>
      <c r="J212" s="481">
        <f>ROUND(SUM(J210:J211),3)</f>
        <v>0</v>
      </c>
      <c r="K212" s="467"/>
      <c r="L212" s="476">
        <f>ROUND(SUM(L210:L211),3)</f>
        <v>449085.77100000001</v>
      </c>
      <c r="M212" s="468"/>
      <c r="N212" s="716"/>
      <c r="O212" s="481">
        <f>ROUND(SUM(O210:O211),3)</f>
        <v>1E-3</v>
      </c>
      <c r="P212" s="204"/>
    </row>
    <row r="213" spans="1:16" x14ac:dyDescent="0.2">
      <c r="G213" s="139"/>
      <c r="H213" s="212">
        <f>+H212/F212</f>
        <v>0.99999999777325388</v>
      </c>
      <c r="I213" s="705"/>
      <c r="J213" s="212">
        <f>+J212/F212</f>
        <v>0</v>
      </c>
      <c r="K213" s="206"/>
      <c r="L213" s="212">
        <f>+L212/F212</f>
        <v>0.99999999777325388</v>
      </c>
      <c r="M213" s="206"/>
      <c r="N213" s="206"/>
      <c r="O213" s="391">
        <f>+O212/F212</f>
        <v>2.2267461192246365E-9</v>
      </c>
    </row>
    <row r="214" spans="1:16" x14ac:dyDescent="0.2">
      <c r="B214" s="204"/>
      <c r="E214" s="198" t="s">
        <v>238</v>
      </c>
      <c r="F214" s="402">
        <f>+F205</f>
        <v>317150.96000000002</v>
      </c>
      <c r="G214" s="163">
        <v>100</v>
      </c>
      <c r="H214" s="164"/>
      <c r="I214" s="708"/>
      <c r="J214" s="163"/>
      <c r="K214" s="163"/>
      <c r="L214" s="163"/>
    </row>
    <row r="215" spans="1:16" x14ac:dyDescent="0.2">
      <c r="B215" s="197" t="s">
        <v>284</v>
      </c>
      <c r="F215" s="402">
        <f>+F206</f>
        <v>31715.096000000005</v>
      </c>
      <c r="G215" s="188" t="s">
        <v>237</v>
      </c>
      <c r="H215" s="164">
        <f>+F215*G214/F214</f>
        <v>10.000000000000002</v>
      </c>
      <c r="I215" s="708"/>
      <c r="J215" s="163"/>
      <c r="K215" s="163"/>
      <c r="L215" s="430"/>
    </row>
    <row r="216" spans="1:16" x14ac:dyDescent="0.2">
      <c r="B216" s="673"/>
      <c r="G216" s="163"/>
      <c r="H216" s="164"/>
      <c r="I216" s="708"/>
      <c r="J216" s="163"/>
      <c r="K216" s="163"/>
      <c r="L216" s="430">
        <v>317150.95910000004</v>
      </c>
      <c r="M216" s="202"/>
      <c r="N216" s="202"/>
      <c r="O216" s="361"/>
    </row>
    <row r="217" spans="1:16" x14ac:dyDescent="0.2">
      <c r="G217" s="163"/>
      <c r="H217" s="164"/>
      <c r="I217" s="708"/>
      <c r="J217" s="163"/>
      <c r="K217" s="163"/>
      <c r="L217" s="474">
        <v>31715.095910000004</v>
      </c>
      <c r="M217" s="202"/>
      <c r="N217" s="202"/>
    </row>
    <row r="218" spans="1:16" x14ac:dyDescent="0.2">
      <c r="E218" s="198" t="s">
        <v>236</v>
      </c>
      <c r="F218" s="402">
        <f>+F205</f>
        <v>317150.96000000002</v>
      </c>
      <c r="G218" s="198">
        <v>100</v>
      </c>
      <c r="L218" s="474">
        <v>31715.095910000004</v>
      </c>
      <c r="M218" s="202"/>
      <c r="N218" s="202"/>
    </row>
    <row r="219" spans="1:16" x14ac:dyDescent="0.2">
      <c r="F219" s="402">
        <f>+F207</f>
        <v>31715.096000000005</v>
      </c>
      <c r="G219" s="188" t="s">
        <v>237</v>
      </c>
      <c r="H219" s="164">
        <f>+F219*G218/F218</f>
        <v>10.000000000000002</v>
      </c>
      <c r="J219" s="163"/>
      <c r="K219" s="163"/>
      <c r="L219" s="474">
        <v>380581.15092000004</v>
      </c>
      <c r="M219" s="202"/>
      <c r="N219" s="202"/>
    </row>
    <row r="220" spans="1:16" x14ac:dyDescent="0.2">
      <c r="J220" s="163"/>
      <c r="K220" s="163"/>
      <c r="L220" s="474">
        <v>1</v>
      </c>
      <c r="M220" s="202"/>
      <c r="N220" s="202"/>
    </row>
    <row r="221" spans="1:16" x14ac:dyDescent="0.2">
      <c r="J221" s="163"/>
      <c r="K221" s="163"/>
      <c r="L221" s="475">
        <v>380581.15092000004</v>
      </c>
      <c r="M221" s="202"/>
      <c r="N221" s="202"/>
    </row>
    <row r="222" spans="1:16" x14ac:dyDescent="0.2">
      <c r="J222" s="163"/>
      <c r="K222" s="163"/>
      <c r="L222" s="474">
        <v>68504.62</v>
      </c>
      <c r="M222" s="202"/>
      <c r="N222" s="202"/>
    </row>
    <row r="223" spans="1:16" ht="10.8" thickBot="1" x14ac:dyDescent="0.25">
      <c r="J223" s="163"/>
      <c r="K223" s="163"/>
      <c r="L223" s="476">
        <v>449085.77100000001</v>
      </c>
      <c r="M223" s="202"/>
      <c r="N223" s="202"/>
    </row>
    <row r="224" spans="1:16" x14ac:dyDescent="0.2">
      <c r="J224" s="163"/>
      <c r="K224" s="163"/>
      <c r="L224" s="212">
        <v>0.99999999777325388</v>
      </c>
      <c r="M224" s="202"/>
    </row>
    <row r="225" spans="4:13" x14ac:dyDescent="0.2">
      <c r="J225" s="163"/>
      <c r="K225" s="163"/>
      <c r="L225" s="474"/>
      <c r="M225" s="202"/>
    </row>
    <row r="226" spans="4:13" x14ac:dyDescent="0.2">
      <c r="J226" s="163"/>
      <c r="K226" s="163"/>
      <c r="L226" s="474"/>
      <c r="M226" s="202"/>
    </row>
    <row r="227" spans="4:13" x14ac:dyDescent="0.2">
      <c r="D227" s="392" t="s">
        <v>240</v>
      </c>
      <c r="F227" s="402">
        <f>+Hoja1!C9</f>
        <v>17878272.109999999</v>
      </c>
      <c r="J227" s="163"/>
      <c r="K227" s="163"/>
      <c r="L227" s="466"/>
    </row>
    <row r="228" spans="4:13" x14ac:dyDescent="0.2">
      <c r="D228" s="392" t="s">
        <v>239</v>
      </c>
      <c r="F228" s="402">
        <v>7768320.3169999998</v>
      </c>
      <c r="G228" s="2218" t="e">
        <f>+F212+#REF!+#REF!</f>
        <v>#REF!</v>
      </c>
      <c r="H228" s="2218"/>
      <c r="I228" s="709"/>
      <c r="J228" s="163"/>
      <c r="K228" s="163"/>
      <c r="L228" s="466"/>
    </row>
    <row r="229" spans="4:13" x14ac:dyDescent="0.2">
      <c r="D229" s="392" t="s">
        <v>241</v>
      </c>
      <c r="F229" s="2209">
        <f>+F227/F228</f>
        <v>2.3014334348283287</v>
      </c>
      <c r="G229" s="2209"/>
      <c r="J229" s="163"/>
      <c r="K229" s="163"/>
      <c r="L229" s="672"/>
    </row>
    <row r="230" spans="4:13" x14ac:dyDescent="0.2">
      <c r="F230" s="2209">
        <v>0.99995749184038185</v>
      </c>
      <c r="G230" s="2209"/>
      <c r="L230" s="672"/>
    </row>
    <row r="231" spans="4:13" x14ac:dyDescent="0.2">
      <c r="L231" s="672"/>
    </row>
    <row r="232" spans="4:13" x14ac:dyDescent="0.2">
      <c r="L232" s="672"/>
    </row>
    <row r="233" spans="4:13" x14ac:dyDescent="0.2">
      <c r="L233" s="672"/>
    </row>
    <row r="234" spans="4:13" x14ac:dyDescent="0.2">
      <c r="L234" s="672"/>
    </row>
  </sheetData>
  <autoFilter ref="A14:O203"/>
  <mergeCells count="16">
    <mergeCell ref="F229:G229"/>
    <mergeCell ref="F230:G230"/>
    <mergeCell ref="P143:V143"/>
    <mergeCell ref="G228:H228"/>
    <mergeCell ref="N12:O12"/>
    <mergeCell ref="A1:B1"/>
    <mergeCell ref="C1:J1"/>
    <mergeCell ref="A2:B2"/>
    <mergeCell ref="A3:O3"/>
    <mergeCell ref="A4:O4"/>
    <mergeCell ref="D6:O6"/>
    <mergeCell ref="A12:A13"/>
    <mergeCell ref="C12:F12"/>
    <mergeCell ref="G12:H12"/>
    <mergeCell ref="I12:J12"/>
    <mergeCell ref="K12:M12"/>
  </mergeCells>
  <conditionalFormatting sqref="O213:O1048576 O1:O12 O14">
    <cfRule type="cellIs" dxfId="1" priority="5" operator="greaterThan">
      <formula>0</formula>
    </cfRule>
  </conditionalFormatting>
  <conditionalFormatting sqref="I1:I1048576">
    <cfRule type="cellIs" dxfId="0" priority="1" operator="greaterThan">
      <formula>0</formula>
    </cfRule>
  </conditionalFormatting>
  <printOptions horizontalCentered="1"/>
  <pageMargins left="0.19685039370078741" right="0" top="0.98425196850393704" bottom="0.55118110236220474" header="0.31496062992125984" footer="0.31496062992125984"/>
  <pageSetup paperSize="9" scale="57" orientation="landscape" horizontalDpi="4294967294" r:id="rId1"/>
  <rowBreaks count="2" manualBreakCount="2">
    <brk id="119" max="14" man="1"/>
    <brk id="163" max="14" man="1"/>
  </rowBreaks>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2:IN71"/>
  <sheetViews>
    <sheetView view="pageBreakPreview" zoomScale="75" zoomScaleNormal="75" zoomScaleSheetLayoutView="75" workbookViewId="0">
      <selection activeCell="M62" sqref="M62"/>
    </sheetView>
  </sheetViews>
  <sheetFormatPr baseColWidth="10" defaultColWidth="10.5546875" defaultRowHeight="13.2" x14ac:dyDescent="0.25"/>
  <cols>
    <col min="1" max="1" width="11.5546875" customWidth="1"/>
    <col min="2" max="2" width="20.33203125" customWidth="1"/>
    <col min="3" max="3" width="4.88671875" customWidth="1"/>
    <col min="4" max="4" width="21.88671875" customWidth="1"/>
    <col min="5" max="5" width="12.109375" style="278" customWidth="1"/>
    <col min="6" max="6" width="9.5546875" style="278" customWidth="1"/>
    <col min="7" max="7" width="11.5546875" style="278" customWidth="1"/>
    <col min="8" max="8" width="11.33203125" style="278" customWidth="1"/>
    <col min="9" max="10" width="8.88671875" style="278" customWidth="1"/>
    <col min="11" max="15" width="8.88671875" customWidth="1"/>
    <col min="16" max="16" width="9.44140625" customWidth="1"/>
    <col min="17" max="32" width="8.88671875" customWidth="1"/>
    <col min="33" max="34" width="8.88671875" hidden="1" customWidth="1"/>
    <col min="35" max="39" width="10.5546875" customWidth="1"/>
  </cols>
  <sheetData>
    <row r="2" spans="1:248" ht="13.8" thickBot="1" x14ac:dyDescent="0.3">
      <c r="A2" s="2250" t="str">
        <f>RESUM_VAL_!A1</f>
        <v>GOBIERNO REGIONAL AYACUCHO</v>
      </c>
      <c r="B2" s="2250"/>
      <c r="C2" s="2250"/>
      <c r="D2" s="2250"/>
      <c r="E2" s="351"/>
      <c r="F2" s="351"/>
      <c r="G2" s="351"/>
      <c r="H2" s="351"/>
      <c r="I2" s="351"/>
      <c r="J2" s="35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c r="GP2" s="1"/>
      <c r="GQ2" s="1"/>
      <c r="GR2" s="1"/>
      <c r="GS2" s="1"/>
      <c r="GT2" s="1"/>
      <c r="GU2" s="1"/>
      <c r="GV2" s="1"/>
      <c r="GW2" s="1"/>
      <c r="GX2" s="1"/>
      <c r="GY2" s="1"/>
      <c r="GZ2" s="1"/>
      <c r="HA2" s="1"/>
      <c r="HB2" s="1"/>
      <c r="HC2" s="1"/>
      <c r="HD2" s="1"/>
      <c r="HE2" s="1"/>
      <c r="HF2" s="1"/>
      <c r="HG2" s="1"/>
      <c r="HH2" s="1"/>
      <c r="HI2" s="1"/>
      <c r="HJ2" s="1"/>
      <c r="HK2" s="1"/>
      <c r="HL2" s="1"/>
      <c r="HM2" s="1"/>
      <c r="HN2" s="1"/>
      <c r="HO2" s="1"/>
      <c r="HP2" s="1"/>
      <c r="HQ2" s="1"/>
      <c r="HR2" s="1"/>
      <c r="HS2" s="1"/>
      <c r="HT2" s="1"/>
      <c r="HU2" s="1"/>
      <c r="HV2" s="1"/>
      <c r="HW2" s="1"/>
      <c r="HX2" s="1"/>
      <c r="HY2" s="1"/>
      <c r="HZ2" s="1"/>
      <c r="IA2" s="1"/>
      <c r="IB2" s="1"/>
      <c r="IC2" s="1"/>
      <c r="ID2" s="1"/>
      <c r="IE2" s="1"/>
      <c r="IF2" s="1"/>
      <c r="IG2" s="1"/>
      <c r="IH2" s="1"/>
      <c r="II2" s="1"/>
      <c r="IJ2" s="1"/>
      <c r="IK2" s="1"/>
      <c r="IL2" s="1"/>
      <c r="IM2" s="1"/>
      <c r="IN2" s="1"/>
    </row>
    <row r="3" spans="1:248" x14ac:dyDescent="0.25">
      <c r="A3" s="2250" t="str">
        <f>RESUM_VAL_!A2</f>
        <v>SUBGERENCIA DE SUPERVISION Y LIQUIDACION</v>
      </c>
      <c r="B3" s="2250"/>
      <c r="C3" s="2250"/>
      <c r="D3" s="2250"/>
      <c r="E3" s="351"/>
      <c r="F3" s="351"/>
      <c r="G3" s="351"/>
      <c r="H3" s="351"/>
      <c r="I3" s="351"/>
      <c r="J3" s="351"/>
      <c r="K3" s="1"/>
      <c r="L3" s="1"/>
      <c r="M3" s="1"/>
      <c r="N3" s="1"/>
      <c r="O3" s="1"/>
      <c r="P3" s="1"/>
      <c r="Q3" s="1"/>
      <c r="R3" s="1"/>
      <c r="S3" s="1"/>
      <c r="T3" s="1"/>
      <c r="U3" s="1"/>
      <c r="V3" s="1"/>
      <c r="W3" s="1"/>
      <c r="X3" s="1"/>
      <c r="Y3" s="1"/>
      <c r="Z3" s="1"/>
      <c r="AA3" s="1"/>
      <c r="AB3" s="1"/>
      <c r="AC3" s="1"/>
      <c r="AD3" s="1"/>
      <c r="AE3" s="1"/>
      <c r="AF3" s="1"/>
      <c r="AG3" s="349"/>
      <c r="AH3" s="350"/>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row>
    <row r="4" spans="1:248" x14ac:dyDescent="0.25">
      <c r="A4" s="2250"/>
      <c r="B4" s="2250"/>
      <c r="C4" s="2250"/>
      <c r="D4" s="2250"/>
      <c r="E4" s="351"/>
      <c r="F4" s="351"/>
      <c r="G4" s="351"/>
      <c r="H4" s="351"/>
      <c r="I4" s="351"/>
      <c r="J4" s="351"/>
      <c r="K4" s="1"/>
      <c r="L4" s="1"/>
      <c r="M4" s="1"/>
      <c r="N4" s="1"/>
      <c r="O4" s="1"/>
      <c r="P4" s="1"/>
      <c r="Q4" s="1"/>
      <c r="R4" s="1"/>
      <c r="S4" s="1"/>
      <c r="T4" s="1"/>
      <c r="U4" s="1"/>
      <c r="V4" s="1"/>
      <c r="W4" s="1"/>
      <c r="X4" s="1"/>
      <c r="Y4" s="1"/>
      <c r="Z4" s="1"/>
      <c r="AA4" s="1"/>
      <c r="AB4" s="1"/>
      <c r="AC4" s="1"/>
      <c r="AD4" s="1"/>
      <c r="AE4" s="1"/>
      <c r="AF4" s="1"/>
      <c r="AG4" s="1"/>
      <c r="AH4" s="352"/>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row>
    <row r="5" spans="1:248" x14ac:dyDescent="0.25">
      <c r="A5" s="353"/>
      <c r="B5" s="353"/>
      <c r="C5" s="353"/>
      <c r="D5" s="1"/>
      <c r="E5" s="351"/>
      <c r="F5" s="351"/>
      <c r="G5" s="351"/>
      <c r="H5" s="351"/>
      <c r="I5" s="351"/>
      <c r="J5" s="351"/>
      <c r="K5" s="1"/>
      <c r="L5" s="1"/>
      <c r="M5" s="1"/>
      <c r="N5" s="1"/>
      <c r="O5" s="1"/>
      <c r="P5" s="1"/>
      <c r="Q5" s="1"/>
      <c r="R5" s="1"/>
      <c r="S5" s="1"/>
      <c r="T5" s="1"/>
      <c r="U5" s="1"/>
      <c r="V5" s="1"/>
      <c r="W5" s="1"/>
      <c r="X5" s="1"/>
      <c r="Y5" s="1"/>
      <c r="Z5" s="1"/>
      <c r="AA5" s="1"/>
      <c r="AB5" s="1"/>
      <c r="AC5" s="1"/>
      <c r="AD5" s="1"/>
      <c r="AE5" s="1"/>
      <c r="AF5" s="1"/>
      <c r="AG5" s="1"/>
      <c r="AH5" s="352"/>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row>
    <row r="6" spans="1:248" ht="16.5" customHeight="1" x14ac:dyDescent="0.25">
      <c r="A6" s="2261" t="s">
        <v>1382</v>
      </c>
      <c r="B6" s="2261"/>
      <c r="C6" s="2261"/>
      <c r="D6" s="2261"/>
      <c r="E6" s="2261"/>
      <c r="F6" s="2261"/>
      <c r="G6" s="2261"/>
      <c r="H6" s="2261"/>
      <c r="I6" s="2261"/>
      <c r="J6" s="2261"/>
      <c r="K6" s="2261"/>
      <c r="L6" s="2261"/>
      <c r="M6" s="2261"/>
      <c r="N6" s="2261"/>
      <c r="O6" s="2261"/>
      <c r="P6" s="2261"/>
      <c r="Q6" s="2261"/>
      <c r="R6" s="2261"/>
      <c r="S6" s="2261"/>
      <c r="T6" s="2261"/>
      <c r="U6" s="2261"/>
      <c r="V6" s="2261"/>
      <c r="W6" s="2261"/>
      <c r="X6" s="2261"/>
      <c r="Y6" s="2261"/>
      <c r="Z6" s="2261"/>
      <c r="AA6" s="2261"/>
      <c r="AB6" s="2261"/>
      <c r="AC6" s="2261"/>
      <c r="AD6" s="2261"/>
      <c r="AE6" s="2261"/>
      <c r="AF6" s="2261"/>
      <c r="AG6" s="1"/>
      <c r="AH6" s="352"/>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row>
    <row r="7" spans="1:248" ht="16.5" customHeight="1" x14ac:dyDescent="0.3">
      <c r="A7" s="742"/>
      <c r="B7" s="742"/>
      <c r="C7" s="742"/>
      <c r="D7" s="742"/>
      <c r="E7" s="742"/>
      <c r="F7" s="742"/>
      <c r="G7" s="742"/>
      <c r="H7" s="742"/>
      <c r="I7" s="742"/>
      <c r="J7" s="742"/>
      <c r="K7" s="351"/>
      <c r="L7" s="351"/>
      <c r="M7" s="351"/>
      <c r="N7" s="351"/>
      <c r="O7" s="351"/>
      <c r="P7" s="351"/>
      <c r="Q7" s="351"/>
      <c r="R7" s="1"/>
      <c r="S7" s="1"/>
      <c r="T7" s="1"/>
      <c r="U7" s="1"/>
      <c r="V7" s="1"/>
      <c r="W7" s="1"/>
      <c r="X7" s="1"/>
      <c r="Y7" s="1"/>
      <c r="Z7" s="1"/>
      <c r="AA7" s="1"/>
      <c r="AB7" s="1"/>
      <c r="AC7" s="1"/>
      <c r="AD7" s="1"/>
      <c r="AE7" s="1"/>
      <c r="AF7" s="1"/>
      <c r="AG7" s="1"/>
      <c r="AH7" s="352"/>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row>
    <row r="8" spans="1:248" x14ac:dyDescent="0.25">
      <c r="A8" s="894" t="s">
        <v>1204</v>
      </c>
      <c r="B8" s="266"/>
      <c r="C8" s="266" t="s">
        <v>7</v>
      </c>
      <c r="D8" s="354" t="str">
        <f>CARAT_!$F$47</f>
        <v>ESPECIFICO Nº SP-2022-012</v>
      </c>
      <c r="E8" s="227"/>
      <c r="F8" s="227"/>
      <c r="G8" s="227"/>
      <c r="H8" s="227"/>
      <c r="I8" s="227"/>
      <c r="J8" s="227"/>
      <c r="K8" s="228"/>
      <c r="L8" s="228"/>
      <c r="M8" s="228"/>
      <c r="N8" s="228"/>
      <c r="O8" s="228"/>
      <c r="P8" s="228"/>
      <c r="Q8" s="228"/>
      <c r="R8" s="1"/>
      <c r="S8" s="1"/>
      <c r="T8" s="1"/>
      <c r="U8" s="1"/>
      <c r="V8" s="1"/>
      <c r="W8" s="1"/>
      <c r="X8" s="1"/>
      <c r="Y8" s="1"/>
      <c r="Z8" s="1"/>
      <c r="AA8" s="1"/>
      <c r="AB8" s="1"/>
      <c r="AC8" s="1"/>
      <c r="AD8" s="1"/>
      <c r="AE8" s="1"/>
      <c r="AF8" s="1"/>
      <c r="AG8" s="1"/>
      <c r="AH8" s="352"/>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row>
    <row r="9" spans="1:248" ht="13.2" customHeight="1" x14ac:dyDescent="0.25">
      <c r="A9" s="225" t="s">
        <v>18</v>
      </c>
      <c r="B9" s="266"/>
      <c r="C9" s="266" t="s">
        <v>7</v>
      </c>
      <c r="D9" s="2262" t="str">
        <f>+CARAT_!F48</f>
        <v>“CREACION DEL PUENTE VEHICULAR CCANCHIS SOBRE EL RIO PAMPAS, DISTRITO DE CHUNGUI - PROVINCIA LA MAR - DEPARTAMENTO AYACUCHO”.</v>
      </c>
      <c r="E9" s="2262"/>
      <c r="F9" s="2262"/>
      <c r="G9" s="2262"/>
      <c r="H9" s="2262"/>
      <c r="I9" s="2262"/>
      <c r="J9" s="2262"/>
      <c r="K9" s="2262"/>
      <c r="L9" s="2262"/>
      <c r="M9" s="2262"/>
      <c r="N9" s="2262"/>
      <c r="O9" s="2262"/>
      <c r="P9" s="2262"/>
      <c r="Q9" s="2262"/>
      <c r="R9" s="2262"/>
      <c r="S9" s="2262"/>
      <c r="T9" s="2262"/>
      <c r="U9" s="2262"/>
      <c r="V9" s="2262"/>
      <c r="W9" s="2262"/>
      <c r="X9" s="1"/>
      <c r="Y9" s="1"/>
      <c r="Z9" s="1"/>
      <c r="AA9" s="1"/>
      <c r="AB9" s="1"/>
      <c r="AC9" s="1"/>
      <c r="AD9" s="1"/>
      <c r="AE9" s="1"/>
      <c r="AF9" s="1"/>
      <c r="AG9" s="1"/>
      <c r="AH9" s="352"/>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row>
    <row r="10" spans="1:248" ht="3.6" customHeight="1" x14ac:dyDescent="0.25">
      <c r="A10" s="895"/>
      <c r="B10" s="266"/>
      <c r="C10" s="266"/>
      <c r="D10" s="2262"/>
      <c r="E10" s="2262"/>
      <c r="F10" s="2262"/>
      <c r="G10" s="2262"/>
      <c r="H10" s="2262"/>
      <c r="I10" s="2262"/>
      <c r="J10" s="2262"/>
      <c r="K10" s="2262"/>
      <c r="L10" s="2262"/>
      <c r="M10" s="2262"/>
      <c r="N10" s="2262"/>
      <c r="O10" s="2262"/>
      <c r="P10" s="2262"/>
      <c r="Q10" s="2262"/>
      <c r="R10" s="2262"/>
      <c r="S10" s="2262"/>
      <c r="T10" s="2262"/>
      <c r="U10" s="2262"/>
      <c r="V10" s="2262"/>
      <c r="W10" s="2262"/>
      <c r="X10" s="1"/>
      <c r="Y10" s="1"/>
      <c r="Z10" s="1"/>
      <c r="AA10" s="1"/>
      <c r="AB10" s="1"/>
      <c r="AC10" s="1"/>
      <c r="AD10" s="1"/>
      <c r="AE10" s="1"/>
      <c r="AF10" s="1"/>
      <c r="AG10" s="1"/>
      <c r="AH10" s="352"/>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row>
    <row r="11" spans="1:248" x14ac:dyDescent="0.25">
      <c r="A11" s="226" t="s">
        <v>1488</v>
      </c>
      <c r="B11" s="266"/>
      <c r="C11" s="266" t="s">
        <v>7</v>
      </c>
      <c r="D11" s="2259" t="str">
        <f>CARAT_!$F$52</f>
        <v>SIMA PERU S.A.</v>
      </c>
      <c r="E11" s="2259"/>
      <c r="F11" s="2259"/>
      <c r="G11" s="2259"/>
      <c r="H11" s="2259"/>
      <c r="I11" s="2259"/>
      <c r="J11" s="2259"/>
      <c r="K11" s="2259"/>
      <c r="L11" s="228"/>
      <c r="M11" s="228"/>
      <c r="N11" s="228"/>
      <c r="O11" s="228"/>
      <c r="P11" s="228"/>
      <c r="Q11" s="228"/>
      <c r="R11" s="1"/>
      <c r="S11" s="1"/>
      <c r="T11" s="1"/>
      <c r="U11" s="1"/>
      <c r="V11" s="1"/>
      <c r="W11" s="1"/>
      <c r="X11" s="1"/>
      <c r="Y11" s="1"/>
      <c r="Z11" s="1"/>
      <c r="AA11" s="1"/>
      <c r="AB11" s="1"/>
      <c r="AC11" s="1"/>
      <c r="AD11" s="1"/>
      <c r="AE11" s="1"/>
      <c r="AF11" s="1"/>
      <c r="AG11" s="1"/>
      <c r="AH11" s="352"/>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row>
    <row r="12" spans="1:248" x14ac:dyDescent="0.25">
      <c r="A12" s="266" t="s">
        <v>25</v>
      </c>
      <c r="B12" s="266"/>
      <c r="C12" s="266" t="s">
        <v>7</v>
      </c>
      <c r="D12" s="1414" t="s">
        <v>1461</v>
      </c>
      <c r="E12" s="227"/>
      <c r="F12" s="227"/>
      <c r="G12" s="227"/>
      <c r="H12" s="227"/>
      <c r="I12" s="227"/>
      <c r="J12" s="227"/>
      <c r="K12" s="228"/>
      <c r="L12" s="228"/>
      <c r="M12" s="228"/>
      <c r="N12" s="228"/>
      <c r="O12" s="228"/>
      <c r="P12" s="228"/>
      <c r="Q12" s="228"/>
      <c r="R12" s="1"/>
      <c r="S12" s="1"/>
      <c r="T12" s="1"/>
      <c r="U12" s="1"/>
      <c r="V12" s="1"/>
      <c r="W12" s="1"/>
      <c r="X12" s="1"/>
      <c r="Y12" s="1"/>
      <c r="Z12" s="1"/>
      <c r="AA12" s="1"/>
      <c r="AB12" s="1"/>
      <c r="AC12" s="1"/>
      <c r="AD12" s="1"/>
      <c r="AE12" s="1"/>
      <c r="AF12" s="1"/>
      <c r="AG12" s="1"/>
      <c r="AH12" s="352"/>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row>
    <row r="13" spans="1:248" x14ac:dyDescent="0.25">
      <c r="A13" s="226" t="s">
        <v>44</v>
      </c>
      <c r="B13" s="266"/>
      <c r="C13" s="266" t="s">
        <v>7</v>
      </c>
      <c r="D13" s="354" t="str">
        <f>CARAT_!$F$54</f>
        <v>MES DE DICIEMBRE DE 2022</v>
      </c>
      <c r="E13" s="227"/>
      <c r="F13" s="227"/>
      <c r="G13" s="227"/>
      <c r="H13" s="227"/>
      <c r="I13" s="227"/>
      <c r="J13" s="227"/>
      <c r="K13" s="228"/>
      <c r="L13" s="228"/>
      <c r="M13" s="228"/>
      <c r="N13" s="228"/>
      <c r="O13" s="228"/>
      <c r="P13" s="228"/>
      <c r="Q13" s="228"/>
      <c r="R13" s="1"/>
      <c r="S13" s="1"/>
      <c r="T13" s="1"/>
      <c r="U13" s="1"/>
      <c r="V13" s="1"/>
      <c r="W13" s="1"/>
      <c r="X13" s="1"/>
      <c r="Y13" s="1"/>
      <c r="Z13" s="1"/>
      <c r="AA13" s="1"/>
      <c r="AB13" s="1"/>
      <c r="AC13" s="1"/>
      <c r="AD13" s="1"/>
      <c r="AE13" s="1"/>
      <c r="AF13" s="1"/>
      <c r="AG13" s="1"/>
      <c r="AH13" s="352"/>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row>
    <row r="14" spans="1:248" x14ac:dyDescent="0.25">
      <c r="A14" s="225" t="s">
        <v>26</v>
      </c>
      <c r="B14" s="226"/>
      <c r="C14" s="226" t="s">
        <v>7</v>
      </c>
      <c r="D14" s="226" t="s">
        <v>1383</v>
      </c>
      <c r="E14" s="227"/>
      <c r="F14" s="227"/>
      <c r="G14" s="227"/>
      <c r="H14" s="227"/>
      <c r="I14" s="227"/>
      <c r="J14" s="227"/>
      <c r="K14" s="226"/>
      <c r="L14" s="228"/>
      <c r="M14" s="228"/>
      <c r="N14" s="226"/>
      <c r="O14" s="226"/>
      <c r="P14" s="226"/>
      <c r="Q14" s="225"/>
      <c r="R14" s="1"/>
      <c r="S14" s="1"/>
      <c r="T14" s="1"/>
      <c r="U14" s="1"/>
      <c r="V14" s="1"/>
      <c r="W14" s="1"/>
      <c r="X14" s="1"/>
      <c r="Y14" s="1"/>
      <c r="Z14" s="1"/>
      <c r="AA14" s="1"/>
      <c r="AB14" s="1"/>
      <c r="AC14" s="1"/>
      <c r="AD14" s="1"/>
      <c r="AE14" s="1"/>
      <c r="AF14" s="1"/>
      <c r="AG14" s="1"/>
      <c r="AH14" s="352"/>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row>
    <row r="15" spans="1:248" ht="13.8" thickBot="1" x14ac:dyDescent="0.3">
      <c r="A15" s="225"/>
      <c r="B15" s="226"/>
      <c r="C15" s="226"/>
      <c r="D15" s="226"/>
      <c r="E15" s="227"/>
      <c r="F15" s="227"/>
      <c r="G15" s="227"/>
      <c r="H15" s="227"/>
      <c r="I15" s="227"/>
      <c r="J15" s="227"/>
      <c r="K15" s="226"/>
      <c r="L15" s="228"/>
      <c r="M15" s="228"/>
      <c r="N15" s="226"/>
      <c r="O15" s="226"/>
      <c r="P15" s="226"/>
      <c r="Q15" s="225"/>
      <c r="R15" s="1"/>
      <c r="S15" s="1"/>
      <c r="T15" s="1"/>
      <c r="U15" s="1"/>
      <c r="V15" s="1"/>
      <c r="W15" s="1"/>
      <c r="X15" s="1"/>
      <c r="Y15" s="1"/>
      <c r="Z15" s="1"/>
      <c r="AA15" s="1"/>
      <c r="AB15" s="1"/>
      <c r="AC15" s="1"/>
      <c r="AD15" s="1"/>
      <c r="AE15" s="1"/>
      <c r="AF15" s="1"/>
      <c r="AG15" s="1"/>
      <c r="AH15" s="352"/>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row>
    <row r="16" spans="1:248" ht="40.200000000000003" customHeight="1" thickBot="1" x14ac:dyDescent="0.3">
      <c r="A16" s="2256" t="s">
        <v>1384</v>
      </c>
      <c r="B16" s="2257"/>
      <c r="C16" s="2257"/>
      <c r="D16" s="2257"/>
      <c r="E16" s="2257"/>
      <c r="F16" s="2257"/>
      <c r="G16" s="2257"/>
      <c r="H16" s="2257"/>
      <c r="I16" s="2257"/>
      <c r="J16" s="2257"/>
      <c r="K16" s="2257"/>
      <c r="L16" s="2257"/>
      <c r="M16" s="2257"/>
      <c r="N16" s="2258"/>
      <c r="O16" s="228"/>
      <c r="P16" s="228"/>
      <c r="Q16" s="228"/>
      <c r="R16" s="2260"/>
      <c r="S16" s="2260"/>
      <c r="T16" s="1"/>
      <c r="U16" s="1"/>
      <c r="V16" s="1"/>
      <c r="W16" s="1"/>
      <c r="X16" s="1"/>
      <c r="Y16" s="1"/>
      <c r="Z16" s="1"/>
      <c r="AA16" s="1"/>
      <c r="AB16" s="1"/>
      <c r="AC16" s="1"/>
      <c r="AD16" s="1"/>
      <c r="AE16" s="1"/>
      <c r="AF16" s="1"/>
      <c r="AG16" s="1"/>
      <c r="AH16" s="352"/>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row>
    <row r="17" spans="1:248" x14ac:dyDescent="0.25">
      <c r="A17" s="226" t="s">
        <v>217</v>
      </c>
      <c r="B17" s="1"/>
      <c r="C17" s="228"/>
      <c r="D17" s="228"/>
      <c r="E17" s="227"/>
      <c r="F17" s="227"/>
      <c r="G17" s="227"/>
      <c r="H17" s="227"/>
      <c r="I17" s="227"/>
      <c r="J17" s="227"/>
      <c r="K17" s="228"/>
      <c r="L17" s="228"/>
      <c r="M17" s="228"/>
      <c r="N17" s="228"/>
      <c r="O17" s="228"/>
      <c r="P17" s="228"/>
      <c r="Q17" s="228"/>
      <c r="R17" s="1"/>
      <c r="S17" s="1"/>
      <c r="T17" s="1"/>
      <c r="U17" s="1"/>
      <c r="V17" s="1"/>
      <c r="W17" s="1"/>
      <c r="X17" s="1"/>
      <c r="Y17" s="1"/>
      <c r="Z17" s="1"/>
      <c r="AA17" s="1"/>
      <c r="AB17" s="1"/>
      <c r="AC17" s="1"/>
      <c r="AD17" s="1"/>
      <c r="AE17" s="1"/>
      <c r="AF17" s="1"/>
      <c r="AG17" s="1"/>
      <c r="AH17" s="352"/>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row>
    <row r="18" spans="1:248" ht="13.8" thickBot="1" x14ac:dyDescent="0.3">
      <c r="A18" s="228"/>
      <c r="B18" s="1"/>
      <c r="C18" s="228"/>
      <c r="D18" s="228"/>
      <c r="E18" s="227"/>
      <c r="F18" s="227"/>
      <c r="G18" s="227"/>
      <c r="H18" s="227"/>
      <c r="I18" s="2225" t="s">
        <v>1471</v>
      </c>
      <c r="J18" s="2225"/>
      <c r="K18" s="2225" t="s">
        <v>1469</v>
      </c>
      <c r="L18" s="2225"/>
      <c r="M18" s="2225" t="s">
        <v>1467</v>
      </c>
      <c r="N18" s="2225"/>
      <c r="O18" s="2225" t="s">
        <v>1468</v>
      </c>
      <c r="P18" s="2225"/>
      <c r="Q18" s="2225" t="s">
        <v>1470</v>
      </c>
      <c r="R18" s="2225"/>
      <c r="S18" s="2225" t="s">
        <v>1663</v>
      </c>
      <c r="T18" s="2225"/>
      <c r="U18" s="2225" t="s">
        <v>1694</v>
      </c>
      <c r="V18" s="2225"/>
      <c r="W18" s="2225" t="s">
        <v>1703</v>
      </c>
      <c r="X18" s="2225"/>
      <c r="Y18" s="1"/>
      <c r="Z18" s="1"/>
      <c r="AA18" s="1"/>
      <c r="AB18" s="1"/>
      <c r="AC18" s="1"/>
      <c r="AD18" s="1"/>
      <c r="AE18" s="1"/>
      <c r="AF18" s="1"/>
      <c r="AG18" s="1"/>
      <c r="AH18" s="352"/>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row>
    <row r="19" spans="1:248" x14ac:dyDescent="0.25">
      <c r="A19" s="953"/>
      <c r="B19" s="282"/>
      <c r="C19" s="283"/>
      <c r="D19" s="284"/>
      <c r="E19" s="954"/>
      <c r="F19" s="285" t="s">
        <v>27</v>
      </c>
      <c r="G19" s="954" t="s">
        <v>17</v>
      </c>
      <c r="H19" s="955" t="s">
        <v>28</v>
      </c>
      <c r="I19" s="2251" t="s">
        <v>176</v>
      </c>
      <c r="J19" s="2252"/>
      <c r="K19" s="2251" t="s">
        <v>177</v>
      </c>
      <c r="L19" s="2252"/>
      <c r="M19" s="2251" t="s">
        <v>179</v>
      </c>
      <c r="N19" s="2252"/>
      <c r="O19" s="2254" t="s">
        <v>180</v>
      </c>
      <c r="P19" s="2255"/>
      <c r="Q19" s="2251" t="s">
        <v>181</v>
      </c>
      <c r="R19" s="2252"/>
      <c r="S19" s="2251" t="s">
        <v>182</v>
      </c>
      <c r="T19" s="2252"/>
      <c r="U19" s="2253" t="s">
        <v>248</v>
      </c>
      <c r="V19" s="2252"/>
      <c r="W19" s="2254" t="s">
        <v>251</v>
      </c>
      <c r="X19" s="2255"/>
      <c r="Y19" s="2251" t="s">
        <v>253</v>
      </c>
      <c r="Z19" s="2252"/>
      <c r="AA19" s="2251" t="s">
        <v>255</v>
      </c>
      <c r="AB19" s="2252"/>
      <c r="AC19" s="2251" t="s">
        <v>261</v>
      </c>
      <c r="AD19" s="2252"/>
      <c r="AE19" s="2251" t="s">
        <v>306</v>
      </c>
      <c r="AF19" s="2252"/>
      <c r="AG19" s="2251" t="s">
        <v>1193</v>
      </c>
      <c r="AH19" s="2252"/>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row>
    <row r="20" spans="1:248" x14ac:dyDescent="0.25">
      <c r="A20" s="286" t="s">
        <v>29</v>
      </c>
      <c r="B20" s="2226" t="s">
        <v>30</v>
      </c>
      <c r="C20" s="2227"/>
      <c r="D20" s="2228"/>
      <c r="E20" s="484" t="s">
        <v>31</v>
      </c>
      <c r="F20" s="952"/>
      <c r="G20" s="484"/>
      <c r="H20" s="485" t="s">
        <v>32</v>
      </c>
      <c r="I20" s="2245">
        <v>44681</v>
      </c>
      <c r="J20" s="2246"/>
      <c r="K20" s="2245">
        <v>44712</v>
      </c>
      <c r="L20" s="2246"/>
      <c r="M20" s="2245">
        <v>44742</v>
      </c>
      <c r="N20" s="2246"/>
      <c r="O20" s="2245">
        <v>44773</v>
      </c>
      <c r="P20" s="2246"/>
      <c r="Q20" s="2245">
        <v>44804</v>
      </c>
      <c r="R20" s="2246"/>
      <c r="S20" s="2245">
        <v>44834</v>
      </c>
      <c r="T20" s="2246"/>
      <c r="U20" s="2263">
        <v>44865</v>
      </c>
      <c r="V20" s="2246"/>
      <c r="W20" s="2245">
        <v>44895</v>
      </c>
      <c r="X20" s="2246"/>
      <c r="Y20" s="2245">
        <v>44926</v>
      </c>
      <c r="Z20" s="2246"/>
      <c r="AA20" s="2245">
        <v>44957</v>
      </c>
      <c r="AB20" s="2246"/>
      <c r="AC20" s="2245">
        <v>44985</v>
      </c>
      <c r="AD20" s="2246"/>
      <c r="AE20" s="2245">
        <v>45016</v>
      </c>
      <c r="AF20" s="2246"/>
      <c r="AG20" s="2245">
        <v>44561</v>
      </c>
      <c r="AH20" s="2246"/>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row>
    <row r="21" spans="1:248" ht="13.8" thickBot="1" x14ac:dyDescent="0.3">
      <c r="A21" s="287"/>
      <c r="B21" s="288"/>
      <c r="C21" s="289"/>
      <c r="D21" s="290"/>
      <c r="E21" s="291"/>
      <c r="F21" s="292" t="s">
        <v>33</v>
      </c>
      <c r="G21" s="291" t="s">
        <v>33</v>
      </c>
      <c r="H21" s="489">
        <v>44607</v>
      </c>
      <c r="I21" s="667" t="s">
        <v>34</v>
      </c>
      <c r="J21" s="294" t="s">
        <v>35</v>
      </c>
      <c r="K21" s="667" t="s">
        <v>34</v>
      </c>
      <c r="L21" s="294" t="s">
        <v>35</v>
      </c>
      <c r="M21" s="667" t="s">
        <v>34</v>
      </c>
      <c r="N21" s="294" t="s">
        <v>35</v>
      </c>
      <c r="O21" s="667" t="s">
        <v>34</v>
      </c>
      <c r="P21" s="294" t="s">
        <v>35</v>
      </c>
      <c r="Q21" s="667" t="s">
        <v>34</v>
      </c>
      <c r="R21" s="294" t="s">
        <v>35</v>
      </c>
      <c r="S21" s="667" t="s">
        <v>34</v>
      </c>
      <c r="T21" s="294" t="s">
        <v>35</v>
      </c>
      <c r="U21" s="293" t="s">
        <v>34</v>
      </c>
      <c r="V21" s="294" t="s">
        <v>35</v>
      </c>
      <c r="W21" s="667" t="s">
        <v>34</v>
      </c>
      <c r="X21" s="294" t="s">
        <v>35</v>
      </c>
      <c r="Y21" s="667" t="s">
        <v>34</v>
      </c>
      <c r="Z21" s="294" t="s">
        <v>35</v>
      </c>
      <c r="AA21" s="667" t="s">
        <v>34</v>
      </c>
      <c r="AB21" s="294" t="s">
        <v>35</v>
      </c>
      <c r="AC21" s="667" t="s">
        <v>34</v>
      </c>
      <c r="AD21" s="294" t="s">
        <v>35</v>
      </c>
      <c r="AE21" s="667" t="s">
        <v>34</v>
      </c>
      <c r="AF21" s="294" t="s">
        <v>35</v>
      </c>
      <c r="AG21" s="667" t="s">
        <v>34</v>
      </c>
      <c r="AH21" s="294" t="s">
        <v>35</v>
      </c>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row>
    <row r="22" spans="1:248" x14ac:dyDescent="0.25">
      <c r="A22" s="2232" t="s">
        <v>101</v>
      </c>
      <c r="B22" s="238"/>
      <c r="C22" s="239"/>
      <c r="D22" s="240"/>
      <c r="E22" s="255"/>
      <c r="F22" s="2235">
        <v>0.14899999999999999</v>
      </c>
      <c r="G22" s="242"/>
      <c r="H22" s="243"/>
      <c r="I22" s="688"/>
      <c r="J22" s="2238">
        <f>ROUND($F22*I24/$H24,3)</f>
        <v>0.14899999999999999</v>
      </c>
      <c r="K22" s="688"/>
      <c r="L22" s="2238">
        <f>ROUND($F22*K24/$H24,3)</f>
        <v>0.14899999999999999</v>
      </c>
      <c r="M22" s="688"/>
      <c r="N22" s="2238">
        <f>ROUND($F22*M24/$H24,3)</f>
        <v>0.14899999999999999</v>
      </c>
      <c r="O22" s="688"/>
      <c r="P22" s="2238">
        <f>ROUND($F22*O24/$H24,3)</f>
        <v>0.14899999999999999</v>
      </c>
      <c r="Q22" s="688"/>
      <c r="R22" s="2238">
        <f>ROUND($F22*Q24/$H24,3)</f>
        <v>0.14899999999999999</v>
      </c>
      <c r="S22" s="750"/>
      <c r="T22" s="2244">
        <f>ROUND($F22*S24/$H24,3)</f>
        <v>0.14899999999999999</v>
      </c>
      <c r="U22" s="750"/>
      <c r="V22" s="2244">
        <f>ROUND($F22*U24/$H24,3)</f>
        <v>0.161</v>
      </c>
      <c r="W22" s="750"/>
      <c r="X22" s="2244">
        <f>ROUND($F22*W24/$H24,3)</f>
        <v>0.161</v>
      </c>
      <c r="Y22" s="750"/>
      <c r="Z22" s="2244">
        <f>ROUND($F22*Y24/$H24,3)</f>
        <v>0.161</v>
      </c>
      <c r="AA22" s="688"/>
      <c r="AB22" s="2238"/>
      <c r="AC22" s="688"/>
      <c r="AD22" s="2238"/>
      <c r="AE22" s="688"/>
      <c r="AF22" s="2238"/>
      <c r="AG22" s="688"/>
      <c r="AH22" s="2238" t="e">
        <f>ROUND($F22*AG24/$H24,3)</f>
        <v>#REF!</v>
      </c>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row>
    <row r="23" spans="1:248" ht="12.75" customHeight="1" x14ac:dyDescent="0.25">
      <c r="A23" s="2233"/>
      <c r="B23" s="410" t="s">
        <v>246</v>
      </c>
      <c r="C23" s="230"/>
      <c r="D23" s="231"/>
      <c r="E23" s="244">
        <v>47</v>
      </c>
      <c r="F23" s="2236"/>
      <c r="G23" s="411">
        <v>1</v>
      </c>
      <c r="H23" s="412">
        <f>D61</f>
        <v>650.44000000000005</v>
      </c>
      <c r="I23" s="686">
        <f>E61</f>
        <v>650.44000000000005</v>
      </c>
      <c r="J23" s="2238"/>
      <c r="K23" s="686">
        <f>F61</f>
        <v>650.44000000000005</v>
      </c>
      <c r="L23" s="2238"/>
      <c r="M23" s="686">
        <f>G61</f>
        <v>650.44000000000005</v>
      </c>
      <c r="N23" s="2238"/>
      <c r="O23" s="686">
        <f>H61</f>
        <v>650.44000000000005</v>
      </c>
      <c r="P23" s="2238"/>
      <c r="Q23" s="686">
        <f>I61</f>
        <v>650.44000000000005</v>
      </c>
      <c r="R23" s="2238"/>
      <c r="S23" s="750">
        <f>J61</f>
        <v>650.44000000000005</v>
      </c>
      <c r="T23" s="2238"/>
      <c r="U23" s="750">
        <f>K61</f>
        <v>702.1</v>
      </c>
      <c r="V23" s="2238"/>
      <c r="W23" s="750">
        <f>L61</f>
        <v>702.1</v>
      </c>
      <c r="X23" s="2238"/>
      <c r="Y23" s="750">
        <f>M61</f>
        <v>702.1</v>
      </c>
      <c r="Z23" s="2238"/>
      <c r="AA23" s="686"/>
      <c r="AB23" s="2238"/>
      <c r="AC23" s="686"/>
      <c r="AD23" s="2238"/>
      <c r="AE23" s="686"/>
      <c r="AF23" s="2238"/>
      <c r="AG23" s="686" t="e">
        <f>#REF!</f>
        <v>#REF!</v>
      </c>
      <c r="AH23" s="2238"/>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row>
    <row r="24" spans="1:248" ht="12.75" customHeight="1" x14ac:dyDescent="0.25">
      <c r="A24" s="2234"/>
      <c r="B24" s="256"/>
      <c r="C24" s="257"/>
      <c r="D24" s="258"/>
      <c r="E24" s="235"/>
      <c r="F24" s="2237"/>
      <c r="G24" s="236"/>
      <c r="H24" s="237">
        <f>H23*$G23</f>
        <v>650.44000000000005</v>
      </c>
      <c r="I24" s="687">
        <f>I23*$G23</f>
        <v>650.44000000000005</v>
      </c>
      <c r="J24" s="2238"/>
      <c r="K24" s="687">
        <f>K23*$G23</f>
        <v>650.44000000000005</v>
      </c>
      <c r="L24" s="2238"/>
      <c r="M24" s="687">
        <f>M23*$G23</f>
        <v>650.44000000000005</v>
      </c>
      <c r="N24" s="2238"/>
      <c r="O24" s="687">
        <f>O23*$G23</f>
        <v>650.44000000000005</v>
      </c>
      <c r="P24" s="2238"/>
      <c r="Q24" s="687">
        <f>Q23*$G23</f>
        <v>650.44000000000005</v>
      </c>
      <c r="R24" s="2238"/>
      <c r="S24" s="687">
        <f>S23*$G23</f>
        <v>650.44000000000005</v>
      </c>
      <c r="T24" s="2238"/>
      <c r="U24" s="687">
        <f>U23*$G23</f>
        <v>702.1</v>
      </c>
      <c r="V24" s="2238"/>
      <c r="W24" s="687">
        <f>W23*$G23</f>
        <v>702.1</v>
      </c>
      <c r="X24" s="2238"/>
      <c r="Y24" s="687">
        <f>Y23*$G23</f>
        <v>702.1</v>
      </c>
      <c r="Z24" s="2238"/>
      <c r="AA24" s="687"/>
      <c r="AB24" s="2238"/>
      <c r="AC24" s="687"/>
      <c r="AD24" s="2238"/>
      <c r="AE24" s="687"/>
      <c r="AF24" s="2238"/>
      <c r="AG24" s="687" t="e">
        <f>AG23*$G23</f>
        <v>#REF!</v>
      </c>
      <c r="AH24" s="2238"/>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row>
    <row r="25" spans="1:248" ht="12.75" customHeight="1" x14ac:dyDescent="0.25">
      <c r="A25" s="2229" t="s">
        <v>87</v>
      </c>
      <c r="B25" s="229"/>
      <c r="C25" s="230"/>
      <c r="D25" s="231"/>
      <c r="E25" s="232"/>
      <c r="F25" s="2239">
        <v>0.44900000000000001</v>
      </c>
      <c r="G25" s="233"/>
      <c r="H25" s="693"/>
      <c r="I25" s="685"/>
      <c r="J25" s="2242">
        <f>ROUND($F$25*(I27+I30+I33+I36+I39+I42)/($H$27+$H$30+$H$33+$H$36+$H$39+$H$42),3)</f>
        <v>0.44400000000000001</v>
      </c>
      <c r="K25" s="685"/>
      <c r="L25" s="2242">
        <f>ROUND($F$25*(K27+K30+K33+K36+K39+K42)/($H$27+$H$30+$H$33+$H$36+$H$39+$H$42),3)</f>
        <v>0.49199999999999999</v>
      </c>
      <c r="M25" s="685"/>
      <c r="N25" s="2242">
        <f>ROUND($F$25*(M27+M30+M33+M36+M39+M42)/($H$27+$H$30+$H$33+$H$36+$H$39+$H$42),3)</f>
        <v>0.51</v>
      </c>
      <c r="O25" s="685"/>
      <c r="P25" s="2242">
        <f>ROUND($F$25*(O27+O30+O33+O36+O39+O42)/($H$27+$H$30+$H$33+$H$36+$H$39+$H$42),3)</f>
        <v>0.50900000000000001</v>
      </c>
      <c r="Q25" s="685"/>
      <c r="R25" s="2242">
        <f>ROUND($F$25*(Q27+Q30+Q33+Q36+Q39+Q42)/($H$27+$H$30+$H$33+$H$36+$H$39+$H$42),3)</f>
        <v>0.52700000000000002</v>
      </c>
      <c r="S25" s="685"/>
      <c r="T25" s="2242">
        <f>ROUND($F$25*(S27+S30+S33+S36+S39+S42)/($H$27+$H$30+$H$33+$H$36+$H$39+$H$42),3)</f>
        <v>0.49</v>
      </c>
      <c r="U25" s="685"/>
      <c r="V25" s="2242">
        <f>ROUND($F$25*(U27+U30+U33+U36+U39+U42)/($H$27+$H$30+$H$33+$H$36+$H$39+$H$42),3)</f>
        <v>0.48799999999999999</v>
      </c>
      <c r="W25" s="685"/>
      <c r="X25" s="2242">
        <f>ROUND($F$25*(W27+W30+W33+W36+W39+W42)/($H$27+$H$30+$H$33+$H$36+$H$39+$H$42),3)</f>
        <v>0.497</v>
      </c>
      <c r="Y25" s="685"/>
      <c r="Z25" s="2242">
        <f>ROUND($F$25*(Y27+Y30+Y33+Y36+Y39+Y42)/($H$27+$H$30+$H$33+$H$36+$H$39+$H$42),3)</f>
        <v>0.48599999999999999</v>
      </c>
      <c r="AA25" s="685"/>
      <c r="AB25" s="2242"/>
      <c r="AC25" s="685"/>
      <c r="AD25" s="2242"/>
      <c r="AE25" s="685"/>
      <c r="AF25" s="2242"/>
      <c r="AG25" s="685"/>
      <c r="AH25" s="2242" t="e">
        <f>ROUND(+$F$28*(#REF!+AG30+AG27)/(#REF!+$H$29+$H$26),3)</f>
        <v>#REF!</v>
      </c>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row>
    <row r="26" spans="1:248" ht="12.75" customHeight="1" x14ac:dyDescent="0.25">
      <c r="A26" s="2230"/>
      <c r="B26" s="406" t="s">
        <v>242</v>
      </c>
      <c r="C26" s="230"/>
      <c r="D26" s="231"/>
      <c r="E26" s="232">
        <v>3</v>
      </c>
      <c r="F26" s="2240"/>
      <c r="G26" s="411">
        <v>0.64920999999999995</v>
      </c>
      <c r="H26" s="694">
        <f>D62</f>
        <v>811.32</v>
      </c>
      <c r="I26" s="686">
        <f>E62</f>
        <v>800.14</v>
      </c>
      <c r="J26" s="2243"/>
      <c r="K26" s="686">
        <f>F62</f>
        <v>908.09</v>
      </c>
      <c r="L26" s="2243"/>
      <c r="M26" s="686">
        <f>G62</f>
        <v>948.77</v>
      </c>
      <c r="N26" s="2243"/>
      <c r="O26" s="686">
        <f>H62</f>
        <v>946.24</v>
      </c>
      <c r="P26" s="2243"/>
      <c r="Q26" s="686">
        <f>I62</f>
        <v>985.34</v>
      </c>
      <c r="R26" s="2243"/>
      <c r="S26" s="686">
        <f>J62</f>
        <v>898.31</v>
      </c>
      <c r="T26" s="2243"/>
      <c r="U26" s="686">
        <f>K62</f>
        <v>894.62</v>
      </c>
      <c r="V26" s="2243"/>
      <c r="W26" s="686">
        <f>L62</f>
        <v>913.2</v>
      </c>
      <c r="X26" s="2243"/>
      <c r="Y26" s="686">
        <f>M62</f>
        <v>890.03</v>
      </c>
      <c r="Z26" s="2243"/>
      <c r="AA26" s="686"/>
      <c r="AB26" s="2243"/>
      <c r="AC26" s="686"/>
      <c r="AD26" s="2243"/>
      <c r="AE26" s="686"/>
      <c r="AF26" s="2243"/>
      <c r="AG26" s="686" t="e">
        <f>#REF!</f>
        <v>#REF!</v>
      </c>
      <c r="AH26" s="2243"/>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row>
    <row r="27" spans="1:248" ht="12.75" customHeight="1" x14ac:dyDescent="0.25">
      <c r="A27" s="2230"/>
      <c r="B27" s="229"/>
      <c r="C27" s="230"/>
      <c r="D27" s="231"/>
      <c r="E27" s="235"/>
      <c r="F27" s="2240"/>
      <c r="G27" s="236"/>
      <c r="H27" s="695">
        <f>H26*$G26</f>
        <v>526.7170572</v>
      </c>
      <c r="I27" s="687">
        <f>I26*$G26</f>
        <v>519.45888939999998</v>
      </c>
      <c r="J27" s="2243"/>
      <c r="K27" s="687">
        <f>K26*$G26</f>
        <v>589.54110889999993</v>
      </c>
      <c r="L27" s="2243"/>
      <c r="M27" s="687">
        <f>M26*$G26</f>
        <v>615.95097169999997</v>
      </c>
      <c r="N27" s="2243"/>
      <c r="O27" s="687">
        <f>O26*$G26</f>
        <v>614.30847039999992</v>
      </c>
      <c r="P27" s="2243"/>
      <c r="Q27" s="687">
        <f>Q26*$G26</f>
        <v>639.69258139999999</v>
      </c>
      <c r="R27" s="2243"/>
      <c r="S27" s="687">
        <f>S26*$G26</f>
        <v>583.19183509999993</v>
      </c>
      <c r="T27" s="2243"/>
      <c r="U27" s="687">
        <f>U26*$G26</f>
        <v>580.79625019999992</v>
      </c>
      <c r="V27" s="2243"/>
      <c r="W27" s="687">
        <f>W26*$G26</f>
        <v>592.85857199999998</v>
      </c>
      <c r="X27" s="2243"/>
      <c r="Y27" s="687">
        <f>Y26*$G26</f>
        <v>577.81637629999989</v>
      </c>
      <c r="Z27" s="2243"/>
      <c r="AA27" s="687"/>
      <c r="AB27" s="2243"/>
      <c r="AC27" s="687"/>
      <c r="AD27" s="2243"/>
      <c r="AE27" s="687"/>
      <c r="AF27" s="2243"/>
      <c r="AG27" s="687" t="e">
        <f>AG26*$G26</f>
        <v>#REF!</v>
      </c>
      <c r="AH27" s="2243"/>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row>
    <row r="28" spans="1:248" ht="15" customHeight="1" x14ac:dyDescent="0.25">
      <c r="A28" s="2230"/>
      <c r="B28" s="238"/>
      <c r="C28" s="239"/>
      <c r="D28" s="240"/>
      <c r="E28" s="241"/>
      <c r="F28" s="2240"/>
      <c r="G28" s="242"/>
      <c r="H28" s="696"/>
      <c r="I28" s="688"/>
      <c r="J28" s="2243"/>
      <c r="K28" s="688"/>
      <c r="L28" s="2243"/>
      <c r="M28" s="688"/>
      <c r="N28" s="2243"/>
      <c r="O28" s="688"/>
      <c r="P28" s="2243"/>
      <c r="Q28" s="688"/>
      <c r="R28" s="2243"/>
      <c r="S28" s="688"/>
      <c r="T28" s="2243"/>
      <c r="U28" s="688"/>
      <c r="V28" s="2243"/>
      <c r="W28" s="688"/>
      <c r="X28" s="2243"/>
      <c r="Y28" s="688"/>
      <c r="Z28" s="2243"/>
      <c r="AA28" s="688"/>
      <c r="AB28" s="2243"/>
      <c r="AC28" s="688"/>
      <c r="AD28" s="2243"/>
      <c r="AE28" s="688"/>
      <c r="AF28" s="2243"/>
      <c r="AG28" s="688"/>
      <c r="AH28" s="2243"/>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row>
    <row r="29" spans="1:248" ht="12.75" customHeight="1" x14ac:dyDescent="0.25">
      <c r="A29" s="2230"/>
      <c r="B29" s="407" t="s">
        <v>244</v>
      </c>
      <c r="C29" s="230"/>
      <c r="D29" s="231"/>
      <c r="E29" s="244">
        <v>5</v>
      </c>
      <c r="F29" s="2240"/>
      <c r="G29" s="411">
        <v>0.14660000000000001</v>
      </c>
      <c r="H29" s="694">
        <f>D63</f>
        <v>458.51</v>
      </c>
      <c r="I29" s="686">
        <f>E63</f>
        <v>460.81</v>
      </c>
      <c r="J29" s="2243"/>
      <c r="K29" s="686">
        <f>F63</f>
        <v>463.12</v>
      </c>
      <c r="L29" s="2243"/>
      <c r="M29" s="686">
        <f>G63</f>
        <v>465.65</v>
      </c>
      <c r="N29" s="2243"/>
      <c r="O29" s="686">
        <f>H63</f>
        <v>465.93</v>
      </c>
      <c r="P29" s="2243"/>
      <c r="Q29" s="686">
        <f>I63</f>
        <v>466.45</v>
      </c>
      <c r="R29" s="2243"/>
      <c r="S29" s="686">
        <f>J63</f>
        <v>469.2</v>
      </c>
      <c r="T29" s="2243"/>
      <c r="U29" s="686">
        <f>K63</f>
        <v>468.65</v>
      </c>
      <c r="V29" s="2243"/>
      <c r="W29" s="686">
        <f>L63</f>
        <v>468.11</v>
      </c>
      <c r="X29" s="2243"/>
      <c r="Y29" s="686">
        <f>M63</f>
        <v>468.85</v>
      </c>
      <c r="Z29" s="2243"/>
      <c r="AA29" s="686"/>
      <c r="AB29" s="2243"/>
      <c r="AC29" s="686"/>
      <c r="AD29" s="2243"/>
      <c r="AE29" s="686"/>
      <c r="AF29" s="2243"/>
      <c r="AG29" s="686" t="e">
        <f>#REF!</f>
        <v>#REF!</v>
      </c>
      <c r="AH29" s="2243"/>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row>
    <row r="30" spans="1:248" ht="12.75" customHeight="1" x14ac:dyDescent="0.25">
      <c r="A30" s="2230"/>
      <c r="B30" s="245"/>
      <c r="C30" s="246"/>
      <c r="D30" s="247"/>
      <c r="E30" s="235"/>
      <c r="F30" s="2240"/>
      <c r="G30" s="236"/>
      <c r="H30" s="695">
        <f>+H29*G29</f>
        <v>67.217566000000005</v>
      </c>
      <c r="I30" s="687">
        <f>I29*$G29</f>
        <v>67.554746000000009</v>
      </c>
      <c r="J30" s="2243"/>
      <c r="K30" s="687">
        <f>K29*$G29</f>
        <v>67.893392000000006</v>
      </c>
      <c r="L30" s="2243"/>
      <c r="M30" s="687">
        <f>M29*$G29</f>
        <v>68.264290000000003</v>
      </c>
      <c r="N30" s="2243"/>
      <c r="O30" s="687">
        <f>O29*$G29</f>
        <v>68.305338000000006</v>
      </c>
      <c r="P30" s="2243"/>
      <c r="Q30" s="687">
        <f>Q29*$G29</f>
        <v>68.381569999999996</v>
      </c>
      <c r="R30" s="2243"/>
      <c r="S30" s="687">
        <f>S29*$G29</f>
        <v>68.784720000000007</v>
      </c>
      <c r="T30" s="2243"/>
      <c r="U30" s="687">
        <f>U29*$G29</f>
        <v>68.704089999999994</v>
      </c>
      <c r="V30" s="2243"/>
      <c r="W30" s="687">
        <f>W29*$G29</f>
        <v>68.624926000000002</v>
      </c>
      <c r="X30" s="2243"/>
      <c r="Y30" s="687">
        <f>Y29*$G29</f>
        <v>68.733410000000006</v>
      </c>
      <c r="Z30" s="2243"/>
      <c r="AA30" s="687"/>
      <c r="AB30" s="2243"/>
      <c r="AC30" s="687"/>
      <c r="AD30" s="2243"/>
      <c r="AE30" s="687"/>
      <c r="AF30" s="2243"/>
      <c r="AG30" s="687" t="e">
        <f>AG29*$G29</f>
        <v>#REF!</v>
      </c>
      <c r="AH30" s="2244"/>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row>
    <row r="31" spans="1:248" ht="12.75" customHeight="1" x14ac:dyDescent="0.25">
      <c r="A31" s="2230"/>
      <c r="B31" s="229"/>
      <c r="C31" s="230"/>
      <c r="D31" s="231"/>
      <c r="E31" s="255"/>
      <c r="F31" s="2240"/>
      <c r="G31" s="242"/>
      <c r="H31" s="234"/>
      <c r="I31" s="686"/>
      <c r="J31" s="2243"/>
      <c r="K31" s="686"/>
      <c r="L31" s="2243"/>
      <c r="M31" s="686"/>
      <c r="N31" s="2243"/>
      <c r="O31" s="686"/>
      <c r="P31" s="2243"/>
      <c r="Q31" s="686"/>
      <c r="R31" s="2243"/>
      <c r="S31" s="750"/>
      <c r="T31" s="2243"/>
      <c r="U31" s="750"/>
      <c r="V31" s="2243"/>
      <c r="W31" s="750"/>
      <c r="X31" s="2243"/>
      <c r="Y31" s="750"/>
      <c r="Z31" s="2243"/>
      <c r="AA31" s="686"/>
      <c r="AB31" s="2243"/>
      <c r="AC31" s="686"/>
      <c r="AD31" s="2243"/>
      <c r="AE31" s="686"/>
      <c r="AF31" s="2243"/>
      <c r="AG31" s="686"/>
      <c r="AH31" s="2238"/>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row>
    <row r="32" spans="1:248" ht="12.75" customHeight="1" x14ac:dyDescent="0.25">
      <c r="A32" s="2230"/>
      <c r="B32" s="407" t="s">
        <v>243</v>
      </c>
      <c r="C32" s="250"/>
      <c r="D32" s="251"/>
      <c r="E32" s="259">
        <v>21</v>
      </c>
      <c r="F32" s="2240"/>
      <c r="G32" s="411">
        <v>6.2449999999999999E-2</v>
      </c>
      <c r="H32" s="412">
        <f>D64</f>
        <v>503.23</v>
      </c>
      <c r="I32" s="686">
        <f>E64</f>
        <v>503.23</v>
      </c>
      <c r="J32" s="2243"/>
      <c r="K32" s="686">
        <f>F64</f>
        <v>503.23</v>
      </c>
      <c r="L32" s="2243"/>
      <c r="M32" s="686">
        <f>G64</f>
        <v>503.23</v>
      </c>
      <c r="N32" s="2243"/>
      <c r="O32" s="686">
        <f>H64</f>
        <v>503.23</v>
      </c>
      <c r="P32" s="2243"/>
      <c r="Q32" s="686">
        <f>I64</f>
        <v>527.79999999999995</v>
      </c>
      <c r="R32" s="2243"/>
      <c r="S32" s="750">
        <f>J64</f>
        <v>527.79999999999995</v>
      </c>
      <c r="T32" s="2243"/>
      <c r="U32" s="750">
        <f>K64</f>
        <v>527.79999999999995</v>
      </c>
      <c r="V32" s="2243"/>
      <c r="W32" s="750">
        <f>L64</f>
        <v>527.79999999999995</v>
      </c>
      <c r="X32" s="2243"/>
      <c r="Y32" s="750">
        <f>M64</f>
        <v>527.79999999999995</v>
      </c>
      <c r="Z32" s="2243"/>
      <c r="AA32" s="686"/>
      <c r="AB32" s="2243"/>
      <c r="AC32" s="686"/>
      <c r="AD32" s="2243"/>
      <c r="AE32" s="686"/>
      <c r="AF32" s="2243"/>
      <c r="AG32" s="686" t="e">
        <f>#REF!</f>
        <v>#REF!</v>
      </c>
      <c r="AH32" s="2238"/>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row>
    <row r="33" spans="1:248" ht="12.75" customHeight="1" x14ac:dyDescent="0.25">
      <c r="A33" s="2230"/>
      <c r="B33" s="256"/>
      <c r="C33" s="257"/>
      <c r="D33" s="258"/>
      <c r="E33" s="235"/>
      <c r="F33" s="2240"/>
      <c r="G33" s="236"/>
      <c r="H33" s="237">
        <f>H32*$G32</f>
        <v>31.426713500000002</v>
      </c>
      <c r="I33" s="687">
        <f>I32*$G32</f>
        <v>31.426713500000002</v>
      </c>
      <c r="J33" s="2243"/>
      <c r="K33" s="687">
        <f>K32*$G32</f>
        <v>31.426713500000002</v>
      </c>
      <c r="L33" s="2243"/>
      <c r="M33" s="687">
        <f>M32*$G32</f>
        <v>31.426713500000002</v>
      </c>
      <c r="N33" s="2243"/>
      <c r="O33" s="687">
        <f>O32*$G32</f>
        <v>31.426713500000002</v>
      </c>
      <c r="P33" s="2243"/>
      <c r="Q33" s="687">
        <f>Q32*$G32</f>
        <v>32.961109999999998</v>
      </c>
      <c r="R33" s="2243"/>
      <c r="S33" s="687">
        <f>S32*$G32</f>
        <v>32.961109999999998</v>
      </c>
      <c r="T33" s="2243"/>
      <c r="U33" s="687">
        <f>U32*$G32</f>
        <v>32.961109999999998</v>
      </c>
      <c r="V33" s="2243"/>
      <c r="W33" s="687">
        <f>W32*$G32</f>
        <v>32.961109999999998</v>
      </c>
      <c r="X33" s="2243"/>
      <c r="Y33" s="687">
        <f>Y32*$G32</f>
        <v>32.961109999999998</v>
      </c>
      <c r="Z33" s="2243"/>
      <c r="AA33" s="687"/>
      <c r="AB33" s="2244"/>
      <c r="AC33" s="687"/>
      <c r="AD33" s="2244"/>
      <c r="AE33" s="687"/>
      <c r="AF33" s="2244"/>
      <c r="AG33" s="687" t="e">
        <f>AG32*$G32</f>
        <v>#REF!</v>
      </c>
      <c r="AH33" s="2238"/>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row>
    <row r="34" spans="1:248" ht="12.75" customHeight="1" x14ac:dyDescent="0.25">
      <c r="A34" s="2230"/>
      <c r="B34" s="229"/>
      <c r="C34" s="230"/>
      <c r="D34" s="231"/>
      <c r="E34" s="232"/>
      <c r="F34" s="2240"/>
      <c r="G34" s="233"/>
      <c r="H34" s="693"/>
      <c r="I34" s="685"/>
      <c r="J34" s="2243"/>
      <c r="K34" s="685"/>
      <c r="L34" s="2243"/>
      <c r="M34" s="685"/>
      <c r="N34" s="2243"/>
      <c r="O34" s="685"/>
      <c r="P34" s="2243"/>
      <c r="Q34" s="685"/>
      <c r="R34" s="2243"/>
      <c r="S34" s="685"/>
      <c r="T34" s="2243"/>
      <c r="U34" s="685"/>
      <c r="V34" s="2243"/>
      <c r="W34" s="685"/>
      <c r="X34" s="2243"/>
      <c r="Y34" s="685"/>
      <c r="Z34" s="2243"/>
      <c r="AA34" s="685"/>
      <c r="AB34" s="2242"/>
      <c r="AC34" s="685"/>
      <c r="AD34" s="2242"/>
      <c r="AE34" s="685"/>
      <c r="AF34" s="2242"/>
      <c r="AG34" s="750"/>
      <c r="AH34" s="111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row>
    <row r="35" spans="1:248" ht="12.75" customHeight="1" x14ac:dyDescent="0.25">
      <c r="A35" s="2230"/>
      <c r="B35" s="406" t="s">
        <v>1385</v>
      </c>
      <c r="C35" s="230"/>
      <c r="D35" s="231"/>
      <c r="E35" s="232">
        <v>45</v>
      </c>
      <c r="F35" s="2240"/>
      <c r="G35" s="411">
        <v>3.943E-2</v>
      </c>
      <c r="H35" s="694">
        <f>D65</f>
        <v>417.6</v>
      </c>
      <c r="I35" s="686">
        <f>E65</f>
        <v>420.88</v>
      </c>
      <c r="J35" s="2243"/>
      <c r="K35" s="686">
        <f>F65</f>
        <v>424.01</v>
      </c>
      <c r="L35" s="2243"/>
      <c r="M35" s="686">
        <f>G65</f>
        <v>425.71</v>
      </c>
      <c r="N35" s="2243"/>
      <c r="O35" s="686">
        <f>H65</f>
        <v>425.71</v>
      </c>
      <c r="P35" s="2243"/>
      <c r="Q35" s="686">
        <f>I65</f>
        <v>427.98</v>
      </c>
      <c r="R35" s="2243"/>
      <c r="S35" s="686">
        <f>J65</f>
        <v>432.15</v>
      </c>
      <c r="T35" s="2243"/>
      <c r="U35" s="686">
        <f>K65</f>
        <v>436.39</v>
      </c>
      <c r="V35" s="2243"/>
      <c r="W35" s="686">
        <f>L65</f>
        <v>435.74</v>
      </c>
      <c r="X35" s="2243"/>
      <c r="Y35" s="686">
        <f>M65</f>
        <v>434.43</v>
      </c>
      <c r="Z35" s="2243"/>
      <c r="AA35" s="686"/>
      <c r="AB35" s="2243"/>
      <c r="AC35" s="686"/>
      <c r="AD35" s="2243"/>
      <c r="AE35" s="686"/>
      <c r="AF35" s="2243"/>
      <c r="AG35" s="750"/>
      <c r="AH35" s="111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row>
    <row r="36" spans="1:248" ht="12.75" customHeight="1" x14ac:dyDescent="0.25">
      <c r="A36" s="2230"/>
      <c r="B36" s="229"/>
      <c r="C36" s="230"/>
      <c r="D36" s="231"/>
      <c r="E36" s="235"/>
      <c r="F36" s="2240"/>
      <c r="G36" s="236"/>
      <c r="H36" s="695">
        <f>H35*$G35</f>
        <v>16.465968</v>
      </c>
      <c r="I36" s="687">
        <f>I35*$G35</f>
        <v>16.595298400000001</v>
      </c>
      <c r="J36" s="2243"/>
      <c r="K36" s="687">
        <f>K35*$G35</f>
        <v>16.718714299999998</v>
      </c>
      <c r="L36" s="2243"/>
      <c r="M36" s="687">
        <f>M35*$G35</f>
        <v>16.785745299999999</v>
      </c>
      <c r="N36" s="2243"/>
      <c r="O36" s="687">
        <f>O35*$G35</f>
        <v>16.785745299999999</v>
      </c>
      <c r="P36" s="2243"/>
      <c r="Q36" s="687">
        <f>Q35*$G35</f>
        <v>16.8752514</v>
      </c>
      <c r="R36" s="2243"/>
      <c r="S36" s="687">
        <f>S35*$G35</f>
        <v>17.0396745</v>
      </c>
      <c r="T36" s="2243"/>
      <c r="U36" s="687">
        <f>U35*$G35</f>
        <v>17.2068577</v>
      </c>
      <c r="V36" s="2243"/>
      <c r="W36" s="687">
        <f>W35*$G35</f>
        <v>17.1812282</v>
      </c>
      <c r="X36" s="2243"/>
      <c r="Y36" s="687">
        <f>Y35*$G35</f>
        <v>17.129574900000001</v>
      </c>
      <c r="Z36" s="2243"/>
      <c r="AA36" s="687"/>
      <c r="AB36" s="2243"/>
      <c r="AC36" s="687"/>
      <c r="AD36" s="2243"/>
      <c r="AE36" s="687"/>
      <c r="AF36" s="2243"/>
      <c r="AG36" s="750"/>
      <c r="AH36" s="111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row>
    <row r="37" spans="1:248" ht="12.75" customHeight="1" x14ac:dyDescent="0.25">
      <c r="A37" s="2230"/>
      <c r="B37" s="238"/>
      <c r="C37" s="239"/>
      <c r="D37" s="240"/>
      <c r="E37" s="241"/>
      <c r="F37" s="2240"/>
      <c r="G37" s="242"/>
      <c r="H37" s="696"/>
      <c r="I37" s="688"/>
      <c r="J37" s="2243"/>
      <c r="K37" s="688"/>
      <c r="L37" s="2243"/>
      <c r="M37" s="688"/>
      <c r="N37" s="2243"/>
      <c r="O37" s="688"/>
      <c r="P37" s="2243"/>
      <c r="Q37" s="688"/>
      <c r="R37" s="2243"/>
      <c r="S37" s="688"/>
      <c r="T37" s="2243"/>
      <c r="U37" s="688"/>
      <c r="V37" s="2243"/>
      <c r="W37" s="688"/>
      <c r="X37" s="2243"/>
      <c r="Y37" s="688"/>
      <c r="Z37" s="2243"/>
      <c r="AA37" s="688"/>
      <c r="AB37" s="2243"/>
      <c r="AC37" s="688"/>
      <c r="AD37" s="2243"/>
      <c r="AE37" s="688"/>
      <c r="AF37" s="2243"/>
      <c r="AG37" s="750"/>
      <c r="AH37" s="111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row>
    <row r="38" spans="1:248" ht="12.75" customHeight="1" x14ac:dyDescent="0.25">
      <c r="A38" s="2230"/>
      <c r="B38" s="407" t="s">
        <v>1386</v>
      </c>
      <c r="C38" s="230"/>
      <c r="D38" s="231"/>
      <c r="E38" s="244">
        <v>51</v>
      </c>
      <c r="F38" s="2240"/>
      <c r="G38" s="411">
        <v>2.64E-3</v>
      </c>
      <c r="H38" s="694">
        <f>D66</f>
        <v>464.74</v>
      </c>
      <c r="I38" s="686">
        <f>E66</f>
        <v>460.78</v>
      </c>
      <c r="J38" s="2243"/>
      <c r="K38" s="686">
        <f>F66</f>
        <v>505.32</v>
      </c>
      <c r="L38" s="2243"/>
      <c r="M38" s="686">
        <f>G66</f>
        <v>510.21</v>
      </c>
      <c r="N38" s="2243"/>
      <c r="O38" s="686">
        <f>H66</f>
        <v>508.91</v>
      </c>
      <c r="P38" s="2243"/>
      <c r="Q38" s="686">
        <f>I66</f>
        <v>513.99</v>
      </c>
      <c r="R38" s="2243"/>
      <c r="S38" s="686">
        <f>J66</f>
        <v>499.94</v>
      </c>
      <c r="T38" s="2243"/>
      <c r="U38" s="686">
        <f>K66</f>
        <v>495.25</v>
      </c>
      <c r="V38" s="2243"/>
      <c r="W38" s="686">
        <f>L66</f>
        <v>510.58</v>
      </c>
      <c r="X38" s="2243"/>
      <c r="Y38" s="686">
        <f>M66</f>
        <v>501.8</v>
      </c>
      <c r="Z38" s="2243"/>
      <c r="AA38" s="686"/>
      <c r="AB38" s="2243"/>
      <c r="AC38" s="686"/>
      <c r="AD38" s="2243"/>
      <c r="AE38" s="686"/>
      <c r="AF38" s="2243"/>
      <c r="AG38" s="750"/>
      <c r="AH38" s="111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row>
    <row r="39" spans="1:248" ht="12.75" customHeight="1" x14ac:dyDescent="0.25">
      <c r="A39" s="2230"/>
      <c r="B39" s="245"/>
      <c r="C39" s="246"/>
      <c r="D39" s="247"/>
      <c r="E39" s="235"/>
      <c r="F39" s="2240"/>
      <c r="G39" s="236"/>
      <c r="H39" s="695">
        <f>+H38*G38</f>
        <v>1.2269136</v>
      </c>
      <c r="I39" s="687">
        <f>I38*$G38</f>
        <v>1.2164591999999999</v>
      </c>
      <c r="J39" s="2243"/>
      <c r="K39" s="687">
        <f>K38*$G38</f>
        <v>1.3340448</v>
      </c>
      <c r="L39" s="2243"/>
      <c r="M39" s="687">
        <f>M38*$G38</f>
        <v>1.3469544</v>
      </c>
      <c r="N39" s="2243"/>
      <c r="O39" s="687">
        <f>O38*$G38</f>
        <v>1.3435224000000001</v>
      </c>
      <c r="P39" s="2243"/>
      <c r="Q39" s="687">
        <f>Q38*$G38</f>
        <v>1.3569336000000001</v>
      </c>
      <c r="R39" s="2243"/>
      <c r="S39" s="687">
        <f>S38*$G38</f>
        <v>1.3198415999999999</v>
      </c>
      <c r="T39" s="2243"/>
      <c r="U39" s="687">
        <f>U38*$G38</f>
        <v>1.3074600000000001</v>
      </c>
      <c r="V39" s="2243"/>
      <c r="W39" s="687">
        <f>W38*$G38</f>
        <v>1.3479311999999999</v>
      </c>
      <c r="X39" s="2243"/>
      <c r="Y39" s="687">
        <f>Y38*$G38</f>
        <v>1.3247519999999999</v>
      </c>
      <c r="Z39" s="2243"/>
      <c r="AA39" s="687"/>
      <c r="AB39" s="2243"/>
      <c r="AC39" s="687"/>
      <c r="AD39" s="2243"/>
      <c r="AE39" s="687"/>
      <c r="AF39" s="2243"/>
      <c r="AG39" s="750"/>
      <c r="AH39" s="111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row>
    <row r="40" spans="1:248" ht="12.75" customHeight="1" x14ac:dyDescent="0.25">
      <c r="A40" s="2230"/>
      <c r="B40" s="229"/>
      <c r="C40" s="230"/>
      <c r="D40" s="231"/>
      <c r="E40" s="255"/>
      <c r="F40" s="2240"/>
      <c r="G40" s="242"/>
      <c r="H40" s="234"/>
      <c r="I40" s="686"/>
      <c r="J40" s="2243"/>
      <c r="K40" s="686"/>
      <c r="L40" s="2243"/>
      <c r="M40" s="686"/>
      <c r="N40" s="2243"/>
      <c r="O40" s="686"/>
      <c r="P40" s="2243"/>
      <c r="Q40" s="686"/>
      <c r="R40" s="2243"/>
      <c r="S40" s="750"/>
      <c r="T40" s="2243"/>
      <c r="U40" s="750"/>
      <c r="V40" s="2243"/>
      <c r="W40" s="750"/>
      <c r="X40" s="2243"/>
      <c r="Y40" s="750"/>
      <c r="Z40" s="2243"/>
      <c r="AA40" s="686"/>
      <c r="AB40" s="2243"/>
      <c r="AC40" s="686"/>
      <c r="AD40" s="2243"/>
      <c r="AE40" s="686"/>
      <c r="AF40" s="2243"/>
      <c r="AG40" s="750"/>
      <c r="AH40" s="111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row>
    <row r="41" spans="1:248" ht="12.75" customHeight="1" x14ac:dyDescent="0.25">
      <c r="A41" s="2230"/>
      <c r="B41" s="407" t="s">
        <v>1387</v>
      </c>
      <c r="C41" s="250"/>
      <c r="D41" s="251"/>
      <c r="E41" s="259">
        <v>65</v>
      </c>
      <c r="F41" s="2240"/>
      <c r="G41" s="411">
        <v>9.9669999999999995E-2</v>
      </c>
      <c r="H41" s="412">
        <f>D67</f>
        <v>318.79000000000002</v>
      </c>
      <c r="I41" s="686">
        <f>E67</f>
        <v>313.75</v>
      </c>
      <c r="J41" s="2243"/>
      <c r="K41" s="686">
        <f>F67</f>
        <v>323.51</v>
      </c>
      <c r="L41" s="2243"/>
      <c r="M41" s="686">
        <f>G67</f>
        <v>324.17</v>
      </c>
      <c r="N41" s="2243"/>
      <c r="O41" s="686">
        <f>H67</f>
        <v>323.89999999999998</v>
      </c>
      <c r="P41" s="2243"/>
      <c r="Q41" s="686">
        <f>I67</f>
        <v>329.58</v>
      </c>
      <c r="R41" s="2243"/>
      <c r="S41" s="750">
        <f>J67</f>
        <v>331.49</v>
      </c>
      <c r="T41" s="2243"/>
      <c r="U41" s="750">
        <f>K67</f>
        <v>332.62</v>
      </c>
      <c r="V41" s="2243"/>
      <c r="W41" s="750">
        <f>L67</f>
        <v>333.94</v>
      </c>
      <c r="X41" s="2243"/>
      <c r="Y41" s="750">
        <f>M67</f>
        <v>327.14999999999998</v>
      </c>
      <c r="Z41" s="2243"/>
      <c r="AA41" s="686"/>
      <c r="AB41" s="2243"/>
      <c r="AC41" s="686"/>
      <c r="AD41" s="2243"/>
      <c r="AE41" s="686"/>
      <c r="AF41" s="2243"/>
      <c r="AG41" s="750"/>
      <c r="AH41" s="111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row>
    <row r="42" spans="1:248" ht="12.75" customHeight="1" x14ac:dyDescent="0.25">
      <c r="A42" s="2231"/>
      <c r="B42" s="256"/>
      <c r="C42" s="257"/>
      <c r="D42" s="258"/>
      <c r="E42" s="235"/>
      <c r="F42" s="2241"/>
      <c r="G42" s="236"/>
      <c r="H42" s="237">
        <f>H41*$G41</f>
        <v>31.7737993</v>
      </c>
      <c r="I42" s="687">
        <f>I41*$G41</f>
        <v>31.271462499999998</v>
      </c>
      <c r="J42" s="2244"/>
      <c r="K42" s="687">
        <f>K41*$G41</f>
        <v>32.244241699999996</v>
      </c>
      <c r="L42" s="2244"/>
      <c r="M42" s="687">
        <f>M41*$G41</f>
        <v>32.310023899999997</v>
      </c>
      <c r="N42" s="2244"/>
      <c r="O42" s="687">
        <f>O41*$G41</f>
        <v>32.283112999999993</v>
      </c>
      <c r="P42" s="2244"/>
      <c r="Q42" s="687">
        <f>Q41*$G41</f>
        <v>32.8492386</v>
      </c>
      <c r="R42" s="2244"/>
      <c r="S42" s="687">
        <f>S41*$G41</f>
        <v>33.039608299999998</v>
      </c>
      <c r="T42" s="2244"/>
      <c r="U42" s="687">
        <f>U41*$G41</f>
        <v>33.152235400000002</v>
      </c>
      <c r="V42" s="2244"/>
      <c r="W42" s="687">
        <f>W41*$G41</f>
        <v>33.283799799999997</v>
      </c>
      <c r="X42" s="2244"/>
      <c r="Y42" s="687">
        <f>Y41*$G41</f>
        <v>32.607040499999997</v>
      </c>
      <c r="Z42" s="2244"/>
      <c r="AA42" s="687"/>
      <c r="AB42" s="2244"/>
      <c r="AC42" s="687"/>
      <c r="AD42" s="2244"/>
      <c r="AE42" s="687"/>
      <c r="AF42" s="2244"/>
      <c r="AG42" s="750"/>
      <c r="AH42" s="111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row>
    <row r="43" spans="1:248" x14ac:dyDescent="0.25">
      <c r="A43" s="2232" t="s">
        <v>86</v>
      </c>
      <c r="B43" s="238"/>
      <c r="C43" s="239"/>
      <c r="D43" s="240"/>
      <c r="E43" s="255"/>
      <c r="F43" s="2235">
        <v>0.215</v>
      </c>
      <c r="G43" s="242"/>
      <c r="H43" s="243"/>
      <c r="I43" s="688"/>
      <c r="J43" s="2238">
        <f>ROUND($F43*I45/$H45,3)</f>
        <v>0.214</v>
      </c>
      <c r="K43" s="688"/>
      <c r="L43" s="2238">
        <f>ROUND($F43*K45/$H45,3)</f>
        <v>0.216</v>
      </c>
      <c r="M43" s="688"/>
      <c r="N43" s="2238">
        <f>ROUND($F43*M45/$H45,3)</f>
        <v>0.22</v>
      </c>
      <c r="O43" s="688"/>
      <c r="P43" s="2238">
        <f>ROUND($F43*O45/$H45,3)</f>
        <v>0.22</v>
      </c>
      <c r="Q43" s="688"/>
      <c r="R43" s="2238">
        <f>ROUND($F43*Q45/$H45,3)</f>
        <v>0.23100000000000001</v>
      </c>
      <c r="S43" s="750"/>
      <c r="T43" s="2238">
        <f>ROUND($F43*S45/$H45,3)</f>
        <v>0.23100000000000001</v>
      </c>
      <c r="U43" s="750"/>
      <c r="V43" s="2238">
        <f>ROUND($F43*U45/$H45,3)</f>
        <v>0.23400000000000001</v>
      </c>
      <c r="W43" s="750"/>
      <c r="X43" s="2238">
        <f>ROUND($F43*W45/$H45,3)</f>
        <v>0.23899999999999999</v>
      </c>
      <c r="Y43" s="750"/>
      <c r="Z43" s="2238">
        <f>ROUND($F43*Y45/$H45,3)</f>
        <v>0.23400000000000001</v>
      </c>
      <c r="AA43" s="688"/>
      <c r="AB43" s="2238"/>
      <c r="AC43" s="688"/>
      <c r="AD43" s="2238"/>
      <c r="AE43" s="688"/>
      <c r="AF43" s="2238"/>
      <c r="AG43" s="688"/>
      <c r="AH43" s="2238" t="e">
        <f>ROUND($F43*AG45/$H45,3)</f>
        <v>#REF!</v>
      </c>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row>
    <row r="44" spans="1:248" ht="12.75" customHeight="1" x14ac:dyDescent="0.25">
      <c r="A44" s="2233"/>
      <c r="B44" s="410" t="s">
        <v>1388</v>
      </c>
      <c r="C44" s="230"/>
      <c r="D44" s="231"/>
      <c r="E44" s="244">
        <v>49</v>
      </c>
      <c r="F44" s="2236"/>
      <c r="G44" s="411">
        <v>1</v>
      </c>
      <c r="H44" s="412">
        <f>D68</f>
        <v>392.63</v>
      </c>
      <c r="I44" s="686">
        <f>E68</f>
        <v>390.19</v>
      </c>
      <c r="J44" s="2238"/>
      <c r="K44" s="686">
        <f>F68</f>
        <v>393.72</v>
      </c>
      <c r="L44" s="2238"/>
      <c r="M44" s="686">
        <f>G68</f>
        <v>401.03</v>
      </c>
      <c r="N44" s="2238"/>
      <c r="O44" s="686">
        <f>H68</f>
        <v>402.27</v>
      </c>
      <c r="P44" s="2238"/>
      <c r="Q44" s="686">
        <f>I68</f>
        <v>422.26</v>
      </c>
      <c r="R44" s="2238"/>
      <c r="S44" s="750">
        <f>J68</f>
        <v>422.12</v>
      </c>
      <c r="T44" s="2238"/>
      <c r="U44" s="750">
        <f>K68</f>
        <v>426.54</v>
      </c>
      <c r="V44" s="2238"/>
      <c r="W44" s="750">
        <f>L68</f>
        <v>436.49</v>
      </c>
      <c r="X44" s="2238"/>
      <c r="Y44" s="750">
        <f>M68</f>
        <v>427.32</v>
      </c>
      <c r="Z44" s="2238"/>
      <c r="AA44" s="686"/>
      <c r="AB44" s="2238"/>
      <c r="AC44" s="686"/>
      <c r="AD44" s="2238"/>
      <c r="AE44" s="686"/>
      <c r="AF44" s="2238"/>
      <c r="AG44" s="686" t="e">
        <f>#REF!</f>
        <v>#REF!</v>
      </c>
      <c r="AH44" s="2238"/>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row>
    <row r="45" spans="1:248" ht="12.75" customHeight="1" x14ac:dyDescent="0.25">
      <c r="A45" s="2234"/>
      <c r="B45" s="256"/>
      <c r="C45" s="257"/>
      <c r="D45" s="258"/>
      <c r="E45" s="235"/>
      <c r="F45" s="2237"/>
      <c r="G45" s="236"/>
      <c r="H45" s="237">
        <f>H44*$G44</f>
        <v>392.63</v>
      </c>
      <c r="I45" s="687">
        <f>I44*$G44</f>
        <v>390.19</v>
      </c>
      <c r="J45" s="2238"/>
      <c r="K45" s="687">
        <f>K44*$G44</f>
        <v>393.72</v>
      </c>
      <c r="L45" s="2238"/>
      <c r="M45" s="687">
        <f>M44*$G44</f>
        <v>401.03</v>
      </c>
      <c r="N45" s="2238"/>
      <c r="O45" s="687">
        <f>O44*$G44</f>
        <v>402.27</v>
      </c>
      <c r="P45" s="2238"/>
      <c r="Q45" s="687">
        <f>Q44*$G44</f>
        <v>422.26</v>
      </c>
      <c r="R45" s="2238"/>
      <c r="S45" s="687">
        <f>S44*$G44</f>
        <v>422.12</v>
      </c>
      <c r="T45" s="2238"/>
      <c r="U45" s="687">
        <f>U44*$G44</f>
        <v>426.54</v>
      </c>
      <c r="V45" s="2238"/>
      <c r="W45" s="687">
        <f>W44*$G44</f>
        <v>436.49</v>
      </c>
      <c r="X45" s="2238"/>
      <c r="Y45" s="687">
        <f>Y44*$G44</f>
        <v>427.32</v>
      </c>
      <c r="Z45" s="2238"/>
      <c r="AA45" s="687"/>
      <c r="AB45" s="2238"/>
      <c r="AC45" s="687"/>
      <c r="AD45" s="2238"/>
      <c r="AE45" s="687"/>
      <c r="AF45" s="2238"/>
      <c r="AG45" s="687" t="e">
        <f>AG44*$G44</f>
        <v>#REF!</v>
      </c>
      <c r="AH45" s="2238"/>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row>
    <row r="46" spans="1:248" ht="12.75" customHeight="1" x14ac:dyDescent="0.25">
      <c r="A46" s="2229" t="s">
        <v>60</v>
      </c>
      <c r="B46" s="249"/>
      <c r="C46" s="250"/>
      <c r="D46" s="251"/>
      <c r="E46" s="252"/>
      <c r="F46" s="2247">
        <v>8.6999999999999994E-2</v>
      </c>
      <c r="G46" s="253"/>
      <c r="H46" s="896"/>
      <c r="I46" s="689"/>
      <c r="J46" s="2242">
        <f>ROUND($F$46*(I51+I48)/($H$51+$H$48),3)</f>
        <v>8.6999999999999994E-2</v>
      </c>
      <c r="K46" s="689"/>
      <c r="L46" s="2242">
        <f>ROUND($F$46*(K51+K48)/($H$51+$H$48),3)</f>
        <v>8.7999999999999995E-2</v>
      </c>
      <c r="M46" s="689"/>
      <c r="N46" s="2242">
        <f>ROUND($F$46*(M51+M48)/($H$51+$H$48),3)</f>
        <v>8.7999999999999995E-2</v>
      </c>
      <c r="O46" s="689"/>
      <c r="P46" s="2242">
        <f>ROUND($F$46*(O51+O48)/($H$51+$H$48),3)</f>
        <v>0.09</v>
      </c>
      <c r="Q46" s="254"/>
      <c r="R46" s="2242">
        <f>ROUND($F$46*(Q51+Q48)/($H$51+$H$48),3)</f>
        <v>9.1999999999999998E-2</v>
      </c>
      <c r="S46" s="755"/>
      <c r="T46" s="2242">
        <f>ROUND($F$46*(S51+S48)/($H$51+$H$48),3)</f>
        <v>9.1999999999999998E-2</v>
      </c>
      <c r="U46" s="1664"/>
      <c r="V46" s="2242">
        <f>ROUND($F$46*(U51+U48)/($H$51+$H$48),3)</f>
        <v>9.1999999999999998E-2</v>
      </c>
      <c r="W46" s="1664"/>
      <c r="X46" s="2242">
        <f>ROUND($F$46*(W51+W48)/($H$51+$H$48),3)</f>
        <v>9.2999999999999999E-2</v>
      </c>
      <c r="Y46" s="1664"/>
      <c r="Z46" s="2242">
        <f>ROUND($F$46*(Y51+Y48)/($H$51+$H$48),3)</f>
        <v>9.2999999999999999E-2</v>
      </c>
      <c r="AA46" s="254"/>
      <c r="AB46" s="2242"/>
      <c r="AC46" s="254"/>
      <c r="AD46" s="2242"/>
      <c r="AE46" s="254"/>
      <c r="AF46" s="2242"/>
      <c r="AG46" s="254"/>
      <c r="AH46" s="2242" t="e">
        <f>ROUND(+$F$28*(#REF!+AG51+AG48)/(#REF!+$H$29+$H$26),3)</f>
        <v>#REF!</v>
      </c>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row>
    <row r="47" spans="1:248" ht="12.75" customHeight="1" x14ac:dyDescent="0.25">
      <c r="A47" s="2230"/>
      <c r="B47" s="408" t="s">
        <v>485</v>
      </c>
      <c r="C47" s="230"/>
      <c r="D47" s="231"/>
      <c r="E47" s="244">
        <v>30</v>
      </c>
      <c r="F47" s="2248"/>
      <c r="G47" s="411">
        <v>0.39556000000000002</v>
      </c>
      <c r="H47" s="694">
        <f>D69</f>
        <v>621.59</v>
      </c>
      <c r="I47" s="686">
        <f>E69</f>
        <v>618.67999999999995</v>
      </c>
      <c r="J47" s="2243"/>
      <c r="K47" s="686">
        <f>F69</f>
        <v>627.09</v>
      </c>
      <c r="L47" s="2243"/>
      <c r="M47" s="686">
        <f>G69</f>
        <v>633.63</v>
      </c>
      <c r="N47" s="2243"/>
      <c r="O47" s="686">
        <f>H69</f>
        <v>638.91999999999996</v>
      </c>
      <c r="P47" s="2243"/>
      <c r="Q47" s="234">
        <f>I69</f>
        <v>674.44</v>
      </c>
      <c r="R47" s="2243"/>
      <c r="S47" s="750">
        <f>J69</f>
        <v>669.37</v>
      </c>
      <c r="T47" s="2243"/>
      <c r="U47" s="750">
        <f>K69</f>
        <v>673.09</v>
      </c>
      <c r="V47" s="2243"/>
      <c r="W47" s="750">
        <f>L69</f>
        <v>688.55</v>
      </c>
      <c r="X47" s="2243"/>
      <c r="Y47" s="750">
        <f>M69</f>
        <v>673.8</v>
      </c>
      <c r="Z47" s="2243"/>
      <c r="AA47" s="234"/>
      <c r="AB47" s="2243"/>
      <c r="AC47" s="234"/>
      <c r="AD47" s="2243"/>
      <c r="AE47" s="686"/>
      <c r="AF47" s="2243"/>
      <c r="AG47" s="234" t="e">
        <f>#REF!</f>
        <v>#REF!</v>
      </c>
      <c r="AH47" s="2243"/>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row>
    <row r="48" spans="1:248" ht="12.75" customHeight="1" x14ac:dyDescent="0.25">
      <c r="A48" s="2230"/>
      <c r="B48" s="245"/>
      <c r="C48" s="246"/>
      <c r="D48" s="247"/>
      <c r="E48" s="235"/>
      <c r="F48" s="2248"/>
      <c r="G48" s="236"/>
      <c r="H48" s="695">
        <f>H47*$G47</f>
        <v>245.87614040000003</v>
      </c>
      <c r="I48" s="687">
        <f>I47*$G47</f>
        <v>244.72506079999999</v>
      </c>
      <c r="J48" s="2243"/>
      <c r="K48" s="687">
        <f>K47*$G47</f>
        <v>248.05172040000002</v>
      </c>
      <c r="L48" s="2243"/>
      <c r="M48" s="687">
        <f>M47*$G47</f>
        <v>250.63868280000003</v>
      </c>
      <c r="N48" s="2243"/>
      <c r="O48" s="687">
        <f>O47*$G47</f>
        <v>252.7311952</v>
      </c>
      <c r="P48" s="2243"/>
      <c r="Q48" s="687">
        <f>Q47*$G47</f>
        <v>266.78148640000006</v>
      </c>
      <c r="R48" s="2243"/>
      <c r="S48" s="687">
        <f>S47*$G47</f>
        <v>264.77599720000001</v>
      </c>
      <c r="T48" s="2243"/>
      <c r="U48" s="687">
        <f>U47*$G47</f>
        <v>266.24748040000003</v>
      </c>
      <c r="V48" s="2243"/>
      <c r="W48" s="687">
        <f>W47*$G47</f>
        <v>272.36283800000001</v>
      </c>
      <c r="X48" s="2243"/>
      <c r="Y48" s="687">
        <f>Y47*$G47</f>
        <v>266.52832799999999</v>
      </c>
      <c r="Z48" s="2243"/>
      <c r="AA48" s="237"/>
      <c r="AB48" s="2243"/>
      <c r="AC48" s="237"/>
      <c r="AD48" s="2243"/>
      <c r="AE48" s="237"/>
      <c r="AF48" s="2243"/>
      <c r="AG48" s="237" t="e">
        <f>AG47*$G47</f>
        <v>#REF!</v>
      </c>
      <c r="AH48" s="2243"/>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row>
    <row r="49" spans="1:248" ht="15" customHeight="1" x14ac:dyDescent="0.25">
      <c r="A49" s="2230"/>
      <c r="B49" s="260"/>
      <c r="C49" s="261"/>
      <c r="D49" s="262"/>
      <c r="E49" s="252"/>
      <c r="F49" s="2248"/>
      <c r="G49" s="263"/>
      <c r="H49" s="697"/>
      <c r="I49" s="690"/>
      <c r="J49" s="2243"/>
      <c r="K49" s="690"/>
      <c r="L49" s="2243"/>
      <c r="M49" s="690"/>
      <c r="N49" s="2243"/>
      <c r="O49" s="690"/>
      <c r="P49" s="2243"/>
      <c r="Q49" s="264"/>
      <c r="R49" s="2243"/>
      <c r="S49" s="752"/>
      <c r="T49" s="2243"/>
      <c r="U49" s="1665"/>
      <c r="V49" s="2243"/>
      <c r="W49" s="1665"/>
      <c r="X49" s="2243"/>
      <c r="Y49" s="1665"/>
      <c r="Z49" s="2243"/>
      <c r="AA49" s="264"/>
      <c r="AB49" s="2243"/>
      <c r="AC49" s="264"/>
      <c r="AD49" s="2243"/>
      <c r="AE49" s="264"/>
      <c r="AF49" s="2243"/>
      <c r="AG49" s="264"/>
      <c r="AH49" s="2243"/>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row>
    <row r="50" spans="1:248" ht="12.75" customHeight="1" x14ac:dyDescent="0.25">
      <c r="A50" s="2230"/>
      <c r="B50" s="409" t="s">
        <v>1156</v>
      </c>
      <c r="C50" s="230"/>
      <c r="D50" s="231"/>
      <c r="E50" s="498">
        <v>32</v>
      </c>
      <c r="F50" s="2248"/>
      <c r="G50" s="499">
        <v>0.60443999999999998</v>
      </c>
      <c r="H50" s="694">
        <f>D70</f>
        <v>509.8</v>
      </c>
      <c r="I50" s="686">
        <f>E70</f>
        <v>513.36</v>
      </c>
      <c r="J50" s="2243"/>
      <c r="K50" s="686">
        <f>F70</f>
        <v>513.36</v>
      </c>
      <c r="L50" s="2243"/>
      <c r="M50" s="686">
        <f>G70</f>
        <v>513.36</v>
      </c>
      <c r="N50" s="2243"/>
      <c r="O50" s="686">
        <f>H70</f>
        <v>526.28</v>
      </c>
      <c r="P50" s="2243"/>
      <c r="Q50" s="234">
        <f>I70</f>
        <v>526.28</v>
      </c>
      <c r="R50" s="2243"/>
      <c r="S50" s="750">
        <f>J70</f>
        <v>526.28</v>
      </c>
      <c r="T50" s="2243"/>
      <c r="U50" s="750">
        <f>K70</f>
        <v>533.80999999999995</v>
      </c>
      <c r="V50" s="2243"/>
      <c r="W50" s="750">
        <f>L70</f>
        <v>533.80999999999995</v>
      </c>
      <c r="X50" s="2243"/>
      <c r="Y50" s="750">
        <f>M70</f>
        <v>533.80999999999995</v>
      </c>
      <c r="Z50" s="2243"/>
      <c r="AA50" s="234"/>
      <c r="AB50" s="2243"/>
      <c r="AC50" s="234"/>
      <c r="AD50" s="2243"/>
      <c r="AE50" s="234"/>
      <c r="AF50" s="2243"/>
      <c r="AG50" s="234" t="e">
        <f>#REF!</f>
        <v>#REF!</v>
      </c>
      <c r="AH50" s="2243"/>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row>
    <row r="51" spans="1:248" ht="12.75" customHeight="1" x14ac:dyDescent="0.25">
      <c r="A51" s="2231"/>
      <c r="B51" s="245"/>
      <c r="C51" s="246"/>
      <c r="D51" s="247"/>
      <c r="E51" s="235"/>
      <c r="F51" s="2249"/>
      <c r="G51" s="236"/>
      <c r="H51" s="695">
        <f>H50*$G50</f>
        <v>308.14351199999999</v>
      </c>
      <c r="I51" s="687">
        <f>I50*$G50</f>
        <v>310.29531839999999</v>
      </c>
      <c r="J51" s="2244"/>
      <c r="K51" s="687">
        <f>K50*$G50</f>
        <v>310.29531839999999</v>
      </c>
      <c r="L51" s="2244"/>
      <c r="M51" s="687">
        <f>M50*$G50</f>
        <v>310.29531839999999</v>
      </c>
      <c r="N51" s="2244"/>
      <c r="O51" s="687">
        <f>O50*$G50</f>
        <v>318.10468319999995</v>
      </c>
      <c r="P51" s="2244"/>
      <c r="Q51" s="687">
        <f>Q50*$G50</f>
        <v>318.10468319999995</v>
      </c>
      <c r="R51" s="2244"/>
      <c r="S51" s="687">
        <f>S50*$G50</f>
        <v>318.10468319999995</v>
      </c>
      <c r="T51" s="2244"/>
      <c r="U51" s="687">
        <f>U50*$G50</f>
        <v>322.65611639999997</v>
      </c>
      <c r="V51" s="2244"/>
      <c r="W51" s="687">
        <f>W50*$G50</f>
        <v>322.65611639999997</v>
      </c>
      <c r="X51" s="2244"/>
      <c r="Y51" s="687">
        <f>Y50*$G50</f>
        <v>322.65611639999997</v>
      </c>
      <c r="Z51" s="2244"/>
      <c r="AA51" s="237"/>
      <c r="AB51" s="2244"/>
      <c r="AC51" s="237"/>
      <c r="AD51" s="2244"/>
      <c r="AE51" s="237"/>
      <c r="AF51" s="2244"/>
      <c r="AG51" s="237" t="e">
        <f>AG50*$G50</f>
        <v>#REF!</v>
      </c>
      <c r="AH51" s="2244"/>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row>
    <row r="52" spans="1:248" x14ac:dyDescent="0.25">
      <c r="A52" s="2232" t="s">
        <v>238</v>
      </c>
      <c r="B52" s="229"/>
      <c r="C52" s="230"/>
      <c r="D52" s="231"/>
      <c r="E52" s="255"/>
      <c r="F52" s="2236">
        <v>0.1</v>
      </c>
      <c r="G52" s="248"/>
      <c r="H52" s="234"/>
      <c r="I52" s="686"/>
      <c r="J52" s="2238">
        <f>ROUND($F52*I54/$H54,3)</f>
        <v>0.10100000000000001</v>
      </c>
      <c r="K52" s="686"/>
      <c r="L52" s="2238">
        <f>ROUND($F52*K54/$H54,3)</f>
        <v>0.10199999999999999</v>
      </c>
      <c r="M52" s="686"/>
      <c r="N52" s="2238">
        <f>ROUND($F52*M54/$H54,3)</f>
        <v>0.10299999999999999</v>
      </c>
      <c r="O52" s="686"/>
      <c r="P52" s="2238">
        <f>ROUND($F52*O54/$H54,3)</f>
        <v>0.104</v>
      </c>
      <c r="Q52" s="686"/>
      <c r="R52" s="2238">
        <f>ROUND($F52*Q54/$H54,3)</f>
        <v>0.105</v>
      </c>
      <c r="S52" s="750"/>
      <c r="T52" s="2238">
        <f>ROUND($F52*S54/$H54,3)</f>
        <v>0.106</v>
      </c>
      <c r="U52" s="750"/>
      <c r="V52" s="2238">
        <f>ROUND($F52*U54/$H54,3)</f>
        <v>0.106</v>
      </c>
      <c r="W52" s="750"/>
      <c r="X52" s="2238">
        <f>ROUND($F52*W54/$H54,3)</f>
        <v>0.107</v>
      </c>
      <c r="Y52" s="750"/>
      <c r="Z52" s="2238">
        <f>ROUND($F52*Y54/$H54,3)</f>
        <v>0.107</v>
      </c>
      <c r="AA52" s="686"/>
      <c r="AB52" s="2238"/>
      <c r="AC52" s="686"/>
      <c r="AD52" s="2238"/>
      <c r="AE52" s="686"/>
      <c r="AF52" s="2238"/>
      <c r="AG52" s="686"/>
      <c r="AH52" s="2238"/>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row>
    <row r="53" spans="1:248" x14ac:dyDescent="0.25">
      <c r="A53" s="2233" t="s">
        <v>480</v>
      </c>
      <c r="B53" s="407" t="s">
        <v>481</v>
      </c>
      <c r="C53" s="250"/>
      <c r="D53" s="251"/>
      <c r="E53" s="259">
        <v>39</v>
      </c>
      <c r="F53" s="2236"/>
      <c r="G53" s="411">
        <v>1</v>
      </c>
      <c r="H53" s="412">
        <f>D71</f>
        <v>501.62</v>
      </c>
      <c r="I53" s="686">
        <f>E71</f>
        <v>509.06</v>
      </c>
      <c r="J53" s="2238"/>
      <c r="K53" s="686">
        <f>F71</f>
        <v>513.96</v>
      </c>
      <c r="L53" s="2238"/>
      <c r="M53" s="686">
        <f>G71</f>
        <v>515.92999999999995</v>
      </c>
      <c r="N53" s="2238"/>
      <c r="O53" s="686">
        <f>H71</f>
        <v>522.07000000000005</v>
      </c>
      <c r="P53" s="2238"/>
      <c r="Q53" s="686">
        <f>I71</f>
        <v>526.99</v>
      </c>
      <c r="R53" s="2238"/>
      <c r="S53" s="750">
        <f>J71</f>
        <v>530.5</v>
      </c>
      <c r="T53" s="2238"/>
      <c r="U53" s="750">
        <f>K71</f>
        <v>533.27</v>
      </c>
      <c r="V53" s="2238"/>
      <c r="W53" s="750">
        <f>L71</f>
        <v>535.12</v>
      </c>
      <c r="X53" s="2238"/>
      <c r="Y53" s="750">
        <f>M71</f>
        <v>537.89</v>
      </c>
      <c r="Z53" s="2238"/>
      <c r="AA53" s="686"/>
      <c r="AB53" s="2238"/>
      <c r="AC53" s="686"/>
      <c r="AD53" s="2238"/>
      <c r="AE53" s="686"/>
      <c r="AF53" s="2238"/>
      <c r="AG53" s="686" t="e">
        <f>#REF!</f>
        <v>#REF!</v>
      </c>
      <c r="AH53" s="2238"/>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row>
    <row r="54" spans="1:248" x14ac:dyDescent="0.25">
      <c r="A54" s="2234"/>
      <c r="B54" s="256"/>
      <c r="C54" s="257"/>
      <c r="D54" s="258"/>
      <c r="E54" s="235"/>
      <c r="F54" s="2237"/>
      <c r="G54" s="236"/>
      <c r="H54" s="237">
        <f>H53*$G53</f>
        <v>501.62</v>
      </c>
      <c r="I54" s="687">
        <f>I53*$G53</f>
        <v>509.06</v>
      </c>
      <c r="J54" s="2238"/>
      <c r="K54" s="687">
        <f>K53*$G53</f>
        <v>513.96</v>
      </c>
      <c r="L54" s="2238"/>
      <c r="M54" s="687">
        <f>M53*$G53</f>
        <v>515.92999999999995</v>
      </c>
      <c r="N54" s="2238"/>
      <c r="O54" s="687">
        <f>O53*$G53</f>
        <v>522.07000000000005</v>
      </c>
      <c r="P54" s="2238"/>
      <c r="Q54" s="687">
        <f>Q53*$G53</f>
        <v>526.99</v>
      </c>
      <c r="R54" s="2238"/>
      <c r="S54" s="687">
        <f>S53*$G53</f>
        <v>530.5</v>
      </c>
      <c r="T54" s="2238"/>
      <c r="U54" s="687">
        <f>U53*$G53</f>
        <v>533.27</v>
      </c>
      <c r="V54" s="2238"/>
      <c r="W54" s="687">
        <f>W53*$G53</f>
        <v>535.12</v>
      </c>
      <c r="X54" s="2238"/>
      <c r="Y54" s="687">
        <f>Y53*$G53</f>
        <v>537.89</v>
      </c>
      <c r="Z54" s="2238"/>
      <c r="AA54" s="687"/>
      <c r="AB54" s="2238"/>
      <c r="AC54" s="687"/>
      <c r="AD54" s="2238"/>
      <c r="AE54" s="687"/>
      <c r="AF54" s="2238"/>
      <c r="AG54" s="687" t="e">
        <f>AG53*$G53</f>
        <v>#REF!</v>
      </c>
      <c r="AH54" s="2238"/>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row>
    <row r="55" spans="1:248" s="272" customFormat="1" ht="15.6" x14ac:dyDescent="0.3">
      <c r="A55" s="265"/>
      <c r="B55" s="266"/>
      <c r="C55" s="266"/>
      <c r="D55" s="266"/>
      <c r="E55" s="267"/>
      <c r="F55" s="268"/>
      <c r="G55" s="269"/>
      <c r="H55" s="270"/>
      <c r="I55" s="743"/>
      <c r="J55" s="691"/>
      <c r="K55" s="743"/>
      <c r="L55" s="691"/>
      <c r="M55" s="743"/>
      <c r="N55" s="691"/>
      <c r="O55" s="743"/>
      <c r="P55" s="691"/>
      <c r="Q55" s="743"/>
      <c r="R55" s="691"/>
      <c r="S55" s="761"/>
      <c r="T55" s="691"/>
      <c r="U55" s="743"/>
      <c r="V55" s="691"/>
      <c r="W55" s="743"/>
      <c r="X55" s="691"/>
      <c r="Y55" s="743"/>
      <c r="Z55" s="691"/>
      <c r="AA55" s="743"/>
      <c r="AB55" s="691"/>
      <c r="AC55" s="743"/>
      <c r="AD55" s="691"/>
      <c r="AE55" s="743"/>
      <c r="AF55" s="691"/>
      <c r="AG55" s="743"/>
      <c r="AH55" s="691"/>
    </row>
    <row r="56" spans="1:248" s="272" customFormat="1" ht="14.4" thickBot="1" x14ac:dyDescent="0.3">
      <c r="A56" s="1021" t="s">
        <v>37</v>
      </c>
      <c r="B56" s="1022"/>
      <c r="C56" s="1022"/>
      <c r="D56" s="1022"/>
      <c r="E56" s="1023"/>
      <c r="F56" s="1501">
        <f>SUM(F22:F54)</f>
        <v>0.99999999999999989</v>
      </c>
      <c r="G56" s="1025"/>
      <c r="H56" s="1024"/>
      <c r="I56" s="1026"/>
      <c r="J56" s="1502">
        <f>SUM(J22:J54)</f>
        <v>0.99499999999999988</v>
      </c>
      <c r="K56" s="1026"/>
      <c r="L56" s="1502">
        <f>SUM(L22:L54)</f>
        <v>1.0469999999999999</v>
      </c>
      <c r="M56" s="1026"/>
      <c r="N56" s="1502">
        <f>SUM(N22:N54)</f>
        <v>1.07</v>
      </c>
      <c r="O56" s="1026"/>
      <c r="P56" s="1502">
        <f>SUM(P22:P54)</f>
        <v>1.0720000000000001</v>
      </c>
      <c r="Q56" s="1026"/>
      <c r="R56" s="1502">
        <f>SUM(R22:R54)</f>
        <v>1.1040000000000001</v>
      </c>
      <c r="S56" s="1028"/>
      <c r="T56" s="1502">
        <f>SUM(T22:T54)</f>
        <v>1.0680000000000001</v>
      </c>
      <c r="U56" s="1026"/>
      <c r="V56" s="1502">
        <f>SUM(V22:V54)</f>
        <v>1.081</v>
      </c>
      <c r="W56" s="1026"/>
      <c r="X56" s="1502">
        <f>SUM(X22:X54)</f>
        <v>1.097</v>
      </c>
      <c r="Y56" s="1026"/>
      <c r="Z56" s="1502">
        <f>SUM(Z22:Z54)</f>
        <v>1.081</v>
      </c>
      <c r="AA56" s="1026"/>
      <c r="AB56" s="1027">
        <f>SUM(AB22:AB54)</f>
        <v>0</v>
      </c>
      <c r="AC56" s="1026"/>
      <c r="AD56" s="1027">
        <f>SUM(AD22:AD54)</f>
        <v>0</v>
      </c>
      <c r="AE56" s="1026"/>
      <c r="AF56" s="1027">
        <f>SUM(AF22:AF54)</f>
        <v>0</v>
      </c>
      <c r="AG56" s="1026"/>
      <c r="AH56" s="1027">
        <f>SUM(AH52:AH54)</f>
        <v>0</v>
      </c>
    </row>
    <row r="59" spans="1:248" x14ac:dyDescent="0.25">
      <c r="B59" s="497" t="s">
        <v>295</v>
      </c>
      <c r="D59" s="413"/>
      <c r="E59" s="671">
        <v>44681</v>
      </c>
      <c r="F59" s="671">
        <v>44712</v>
      </c>
      <c r="G59" s="671">
        <v>44742</v>
      </c>
      <c r="H59" s="671">
        <v>44773</v>
      </c>
      <c r="I59" s="671">
        <v>44804</v>
      </c>
      <c r="J59" s="671">
        <v>44834</v>
      </c>
      <c r="K59" s="671">
        <v>44865</v>
      </c>
      <c r="L59" s="671">
        <v>44895</v>
      </c>
      <c r="M59" s="671">
        <v>44926</v>
      </c>
      <c r="N59" s="671">
        <v>44957</v>
      </c>
      <c r="O59" s="671">
        <v>44985</v>
      </c>
      <c r="P59" s="671">
        <v>45016</v>
      </c>
      <c r="Q59" s="671">
        <v>45046</v>
      </c>
      <c r="R59" s="671"/>
      <c r="S59" s="671"/>
      <c r="T59" s="671"/>
      <c r="U59" s="671"/>
      <c r="V59" s="671"/>
      <c r="W59" s="671"/>
      <c r="X59" s="671"/>
    </row>
    <row r="60" spans="1:248" x14ac:dyDescent="0.25">
      <c r="B60" s="1285" t="s">
        <v>294</v>
      </c>
      <c r="C60" s="279" t="s">
        <v>175</v>
      </c>
      <c r="D60" s="478" t="s">
        <v>1389</v>
      </c>
      <c r="E60" s="1415">
        <v>44651</v>
      </c>
      <c r="F60" s="1415">
        <v>44681</v>
      </c>
      <c r="G60" s="1415">
        <v>44712</v>
      </c>
      <c r="H60" s="1415">
        <v>44742</v>
      </c>
      <c r="I60" s="1415">
        <v>44773</v>
      </c>
      <c r="J60" s="1415">
        <v>44804</v>
      </c>
      <c r="K60" s="1415">
        <v>44834</v>
      </c>
      <c r="L60" s="1415">
        <v>44865</v>
      </c>
      <c r="M60" s="1415">
        <v>44895</v>
      </c>
      <c r="N60" s="1415">
        <v>44926</v>
      </c>
      <c r="O60" s="1415">
        <v>44957</v>
      </c>
      <c r="P60" s="1415">
        <v>44985</v>
      </c>
      <c r="Q60" s="1415">
        <v>45016</v>
      </c>
      <c r="R60" s="1199"/>
      <c r="S60" s="1199"/>
      <c r="T60" s="1199"/>
      <c r="U60" s="1199"/>
      <c r="V60" s="1199"/>
      <c r="W60" s="1199"/>
      <c r="X60" s="1199"/>
    </row>
    <row r="61" spans="1:248" x14ac:dyDescent="0.25">
      <c r="C61" s="280">
        <v>47</v>
      </c>
      <c r="D61" s="947">
        <v>650.44000000000005</v>
      </c>
      <c r="E61" s="949">
        <v>650.44000000000005</v>
      </c>
      <c r="F61" s="949">
        <v>650.44000000000005</v>
      </c>
      <c r="G61" s="949">
        <v>650.44000000000005</v>
      </c>
      <c r="H61" s="949">
        <v>650.44000000000005</v>
      </c>
      <c r="I61" s="949">
        <v>650.44000000000005</v>
      </c>
      <c r="J61" s="949">
        <v>650.44000000000005</v>
      </c>
      <c r="K61" s="1019">
        <v>702.1</v>
      </c>
      <c r="L61" s="949">
        <v>702.1</v>
      </c>
      <c r="M61" s="949">
        <v>702.1</v>
      </c>
      <c r="N61" s="949"/>
      <c r="O61" s="949"/>
      <c r="P61" s="1020"/>
      <c r="Q61" s="949"/>
      <c r="R61" s="1200"/>
      <c r="S61" s="1200"/>
      <c r="T61" s="1200"/>
      <c r="U61" s="1200"/>
      <c r="V61" s="1200"/>
      <c r="W61" s="1200"/>
      <c r="X61" s="1200"/>
    </row>
    <row r="62" spans="1:248" x14ac:dyDescent="0.25">
      <c r="C62" s="279">
        <v>3</v>
      </c>
      <c r="D62" s="948">
        <v>811.32</v>
      </c>
      <c r="E62" s="950">
        <v>800.14</v>
      </c>
      <c r="F62" s="950">
        <v>908.09</v>
      </c>
      <c r="G62" s="950">
        <v>948.77</v>
      </c>
      <c r="H62" s="950">
        <v>946.24</v>
      </c>
      <c r="I62" s="950">
        <v>985.34</v>
      </c>
      <c r="J62" s="950">
        <v>898.31</v>
      </c>
      <c r="K62" s="950">
        <v>894.62</v>
      </c>
      <c r="L62" s="950">
        <v>913.2</v>
      </c>
      <c r="M62" s="950">
        <v>890.03</v>
      </c>
      <c r="N62" s="950"/>
      <c r="O62" s="950"/>
      <c r="P62" s="1019"/>
      <c r="Q62" s="950"/>
      <c r="R62" s="1201"/>
      <c r="S62" s="1201"/>
      <c r="T62" s="1201"/>
      <c r="U62" s="1201"/>
      <c r="V62" s="1201"/>
      <c r="W62" s="1201"/>
      <c r="X62" s="1201"/>
    </row>
    <row r="63" spans="1:248" x14ac:dyDescent="0.25">
      <c r="C63" s="280">
        <v>5</v>
      </c>
      <c r="D63" s="947">
        <v>458.51</v>
      </c>
      <c r="E63" s="949">
        <v>460.81</v>
      </c>
      <c r="F63" s="949">
        <v>463.12</v>
      </c>
      <c r="G63" s="949">
        <v>465.65</v>
      </c>
      <c r="H63" s="949">
        <v>465.93</v>
      </c>
      <c r="I63" s="949">
        <v>466.45</v>
      </c>
      <c r="J63" s="949">
        <v>469.2</v>
      </c>
      <c r="K63" s="1019">
        <v>468.65</v>
      </c>
      <c r="L63" s="949">
        <v>468.11</v>
      </c>
      <c r="M63" s="949">
        <v>468.85</v>
      </c>
      <c r="N63" s="949"/>
      <c r="O63" s="949"/>
      <c r="P63" s="1020"/>
      <c r="Q63" s="949"/>
      <c r="R63" s="1200"/>
      <c r="S63" s="1200"/>
      <c r="T63" s="1200"/>
      <c r="U63" s="1200"/>
      <c r="V63" s="1200"/>
      <c r="W63" s="1200"/>
      <c r="X63" s="1200"/>
    </row>
    <row r="64" spans="1:248" x14ac:dyDescent="0.25">
      <c r="C64" s="279">
        <v>21</v>
      </c>
      <c r="D64" s="947">
        <v>503.23</v>
      </c>
      <c r="E64" s="949">
        <v>503.23</v>
      </c>
      <c r="F64" s="949">
        <v>503.23</v>
      </c>
      <c r="G64" s="949">
        <v>503.23</v>
      </c>
      <c r="H64" s="949">
        <v>503.23</v>
      </c>
      <c r="I64" s="949">
        <v>527.79999999999995</v>
      </c>
      <c r="J64" s="949">
        <v>527.79999999999995</v>
      </c>
      <c r="K64" s="1019">
        <v>527.79999999999995</v>
      </c>
      <c r="L64" s="949">
        <v>527.79999999999995</v>
      </c>
      <c r="M64" s="949">
        <v>527.79999999999995</v>
      </c>
      <c r="N64" s="949"/>
      <c r="O64" s="949"/>
      <c r="P64" s="1020"/>
      <c r="Q64" s="949"/>
      <c r="R64" s="1200"/>
      <c r="S64" s="1200"/>
      <c r="T64" s="1200"/>
      <c r="U64" s="1200"/>
      <c r="V64" s="1200"/>
      <c r="W64" s="1200"/>
      <c r="X64" s="1200"/>
    </row>
    <row r="65" spans="3:24" x14ac:dyDescent="0.25">
      <c r="C65" s="280">
        <v>45</v>
      </c>
      <c r="D65" s="948">
        <v>417.6</v>
      </c>
      <c r="E65" s="950">
        <v>420.88</v>
      </c>
      <c r="F65" s="950">
        <v>424.01</v>
      </c>
      <c r="G65" s="950">
        <v>425.71</v>
      </c>
      <c r="H65" s="950">
        <v>425.71</v>
      </c>
      <c r="I65" s="950">
        <v>427.98</v>
      </c>
      <c r="J65" s="950">
        <v>432.15</v>
      </c>
      <c r="K65" s="950">
        <v>436.39</v>
      </c>
      <c r="L65" s="950">
        <v>435.74</v>
      </c>
      <c r="M65" s="950">
        <v>434.43</v>
      </c>
      <c r="N65" s="950"/>
      <c r="O65" s="950"/>
      <c r="P65" s="1020"/>
      <c r="Q65" s="950"/>
      <c r="R65" s="1201"/>
      <c r="S65" s="1201"/>
      <c r="T65" s="1201"/>
      <c r="U65" s="1201"/>
      <c r="V65" s="1201"/>
      <c r="W65" s="1201"/>
      <c r="X65" s="1201"/>
    </row>
    <row r="66" spans="3:24" x14ac:dyDescent="0.25">
      <c r="C66" s="279">
        <v>51</v>
      </c>
      <c r="D66" s="947">
        <v>464.74</v>
      </c>
      <c r="E66" s="949">
        <v>460.78</v>
      </c>
      <c r="F66" s="949">
        <v>505.32</v>
      </c>
      <c r="G66" s="949">
        <v>510.21</v>
      </c>
      <c r="H66" s="949">
        <v>508.91</v>
      </c>
      <c r="I66" s="949">
        <v>513.99</v>
      </c>
      <c r="J66" s="981">
        <v>499.94</v>
      </c>
      <c r="K66" s="1019">
        <v>495.25</v>
      </c>
      <c r="L66" s="949">
        <v>510.58</v>
      </c>
      <c r="M66" s="949">
        <v>501.8</v>
      </c>
      <c r="N66" s="949"/>
      <c r="O66" s="949"/>
      <c r="P66" s="1020"/>
      <c r="Q66" s="949"/>
      <c r="R66" s="1200"/>
      <c r="S66" s="1200"/>
      <c r="T66" s="1200"/>
      <c r="U66" s="1200"/>
      <c r="V66" s="1200"/>
      <c r="W66" s="1200"/>
      <c r="X66" s="1200"/>
    </row>
    <row r="67" spans="3:24" x14ac:dyDescent="0.25">
      <c r="C67" s="280">
        <v>65</v>
      </c>
      <c r="D67" s="947">
        <v>318.79000000000002</v>
      </c>
      <c r="E67" s="949">
        <v>313.75</v>
      </c>
      <c r="F67" s="949">
        <v>323.51</v>
      </c>
      <c r="G67" s="949">
        <v>324.17</v>
      </c>
      <c r="H67" s="949">
        <v>323.89999999999998</v>
      </c>
      <c r="I67" s="949">
        <v>329.58</v>
      </c>
      <c r="J67" s="949">
        <v>331.49</v>
      </c>
      <c r="K67" s="1019">
        <v>332.62</v>
      </c>
      <c r="L67" s="949">
        <v>333.94</v>
      </c>
      <c r="M67" s="949">
        <v>327.14999999999998</v>
      </c>
      <c r="N67" s="949"/>
      <c r="O67" s="949"/>
      <c r="P67" s="1020"/>
      <c r="Q67" s="949"/>
      <c r="R67" s="1200"/>
      <c r="S67" s="1200"/>
      <c r="T67" s="1200"/>
      <c r="U67" s="1200"/>
      <c r="V67" s="1200"/>
      <c r="W67" s="1200"/>
      <c r="X67" s="1200"/>
    </row>
    <row r="68" spans="3:24" x14ac:dyDescent="0.25">
      <c r="C68" s="279">
        <v>49</v>
      </c>
      <c r="D68" s="947">
        <v>392.63</v>
      </c>
      <c r="E68" s="949">
        <v>390.19</v>
      </c>
      <c r="F68" s="949">
        <v>393.72</v>
      </c>
      <c r="G68" s="949">
        <v>401.03</v>
      </c>
      <c r="H68" s="949">
        <v>402.27</v>
      </c>
      <c r="I68" s="949">
        <v>422.26</v>
      </c>
      <c r="J68" s="949">
        <v>422.12</v>
      </c>
      <c r="K68" s="1019">
        <v>426.54</v>
      </c>
      <c r="L68" s="949">
        <v>436.49</v>
      </c>
      <c r="M68" s="949">
        <v>427.32</v>
      </c>
      <c r="N68" s="949"/>
      <c r="O68" s="949"/>
      <c r="P68" s="1020"/>
      <c r="Q68" s="949"/>
      <c r="R68" s="1200"/>
      <c r="S68" s="1200"/>
      <c r="T68" s="1200"/>
      <c r="U68" s="1200"/>
      <c r="V68" s="1200"/>
      <c r="W68" s="1200"/>
      <c r="X68" s="1200"/>
    </row>
    <row r="69" spans="3:24" x14ac:dyDescent="0.25">
      <c r="C69" s="280">
        <v>30</v>
      </c>
      <c r="D69" s="948">
        <v>621.59</v>
      </c>
      <c r="E69" s="950">
        <v>618.67999999999995</v>
      </c>
      <c r="F69" s="950">
        <v>627.09</v>
      </c>
      <c r="G69" s="950">
        <v>633.63</v>
      </c>
      <c r="H69" s="950">
        <v>638.91999999999996</v>
      </c>
      <c r="I69" s="950">
        <v>674.44</v>
      </c>
      <c r="J69" s="950">
        <v>669.37</v>
      </c>
      <c r="K69" s="950">
        <v>673.09</v>
      </c>
      <c r="L69" s="950">
        <v>688.55</v>
      </c>
      <c r="M69" s="1799">
        <v>673.8</v>
      </c>
      <c r="N69" s="950"/>
      <c r="O69" s="950"/>
      <c r="P69" s="1020"/>
      <c r="Q69" s="950"/>
      <c r="R69" s="1201"/>
      <c r="S69" s="1201"/>
      <c r="T69" s="1201"/>
      <c r="U69" s="1201"/>
      <c r="V69" s="1201"/>
      <c r="W69" s="1201"/>
      <c r="X69" s="1201"/>
    </row>
    <row r="70" spans="3:24" x14ac:dyDescent="0.25">
      <c r="C70" s="279">
        <v>32</v>
      </c>
      <c r="D70" s="947">
        <v>509.8</v>
      </c>
      <c r="E70" s="949">
        <v>513.36</v>
      </c>
      <c r="F70" s="949">
        <v>513.36</v>
      </c>
      <c r="G70" s="949">
        <v>513.36</v>
      </c>
      <c r="H70" s="949">
        <v>526.28</v>
      </c>
      <c r="I70" s="949">
        <v>526.28</v>
      </c>
      <c r="J70" s="981">
        <v>526.28</v>
      </c>
      <c r="K70" s="1019">
        <v>533.80999999999995</v>
      </c>
      <c r="L70" s="949">
        <v>533.80999999999995</v>
      </c>
      <c r="M70" s="949">
        <v>533.80999999999995</v>
      </c>
      <c r="N70" s="949"/>
      <c r="O70" s="949"/>
      <c r="P70" s="1020"/>
      <c r="Q70" s="949"/>
      <c r="R70" s="1200"/>
      <c r="S70" s="1200"/>
      <c r="T70" s="1200"/>
      <c r="U70" s="1200"/>
      <c r="V70" s="1200"/>
      <c r="W70" s="1200"/>
      <c r="X70" s="1200"/>
    </row>
    <row r="71" spans="3:24" x14ac:dyDescent="0.25">
      <c r="C71" s="280">
        <v>39</v>
      </c>
      <c r="D71" s="947">
        <v>501.62</v>
      </c>
      <c r="E71" s="949">
        <v>509.06</v>
      </c>
      <c r="F71" s="949">
        <v>513.96</v>
      </c>
      <c r="G71" s="949">
        <v>515.92999999999995</v>
      </c>
      <c r="H71" s="949">
        <v>522.07000000000005</v>
      </c>
      <c r="I71" s="949">
        <v>526.99</v>
      </c>
      <c r="J71" s="949">
        <v>530.5</v>
      </c>
      <c r="K71" s="1019">
        <v>533.27</v>
      </c>
      <c r="L71" s="949">
        <v>535.12</v>
      </c>
      <c r="M71" s="949">
        <v>537.89</v>
      </c>
      <c r="N71" s="949"/>
      <c r="O71" s="949"/>
      <c r="P71" s="1020"/>
      <c r="Q71" s="949"/>
      <c r="R71" s="1200"/>
      <c r="S71" s="1200"/>
      <c r="T71" s="1200"/>
      <c r="U71" s="1200"/>
      <c r="V71" s="1200"/>
      <c r="W71" s="1200"/>
      <c r="X71" s="1200"/>
    </row>
  </sheetData>
  <mergeCells count="122">
    <mergeCell ref="A6:AF6"/>
    <mergeCell ref="D9:W10"/>
    <mergeCell ref="S18:T18"/>
    <mergeCell ref="AD52:AD54"/>
    <mergeCell ref="AF52:AF54"/>
    <mergeCell ref="AH46:AH51"/>
    <mergeCell ref="AH52:AH54"/>
    <mergeCell ref="AG19:AH19"/>
    <mergeCell ref="AG20:AH20"/>
    <mergeCell ref="AH22:AH24"/>
    <mergeCell ref="AH25:AH30"/>
    <mergeCell ref="AH31:AH33"/>
    <mergeCell ref="AD46:AD51"/>
    <mergeCell ref="AF46:AF51"/>
    <mergeCell ref="AE19:AF19"/>
    <mergeCell ref="AH43:AH45"/>
    <mergeCell ref="Z46:Z51"/>
    <mergeCell ref="AB46:AB51"/>
    <mergeCell ref="AA20:AB20"/>
    <mergeCell ref="AC20:AD20"/>
    <mergeCell ref="T52:T54"/>
    <mergeCell ref="T43:T45"/>
    <mergeCell ref="U18:V18"/>
    <mergeCell ref="U20:V20"/>
    <mergeCell ref="AF22:AF24"/>
    <mergeCell ref="AD22:AD24"/>
    <mergeCell ref="R25:R42"/>
    <mergeCell ref="Z25:Z42"/>
    <mergeCell ref="Y20:Z20"/>
    <mergeCell ref="A2:D2"/>
    <mergeCell ref="A3:D3"/>
    <mergeCell ref="A4:D4"/>
    <mergeCell ref="AC19:AD19"/>
    <mergeCell ref="AA19:AB19"/>
    <mergeCell ref="U19:V19"/>
    <mergeCell ref="W19:X19"/>
    <mergeCell ref="Y19:Z19"/>
    <mergeCell ref="I19:J19"/>
    <mergeCell ref="K19:L19"/>
    <mergeCell ref="A16:N16"/>
    <mergeCell ref="D11:K11"/>
    <mergeCell ref="M19:N19"/>
    <mergeCell ref="O19:P19"/>
    <mergeCell ref="Q19:R19"/>
    <mergeCell ref="S19:T19"/>
    <mergeCell ref="R16:S16"/>
    <mergeCell ref="M18:N18"/>
    <mergeCell ref="K18:L18"/>
    <mergeCell ref="R52:R54"/>
    <mergeCell ref="P22:P24"/>
    <mergeCell ref="P52:P54"/>
    <mergeCell ref="AB22:AB24"/>
    <mergeCell ref="AB52:AB54"/>
    <mergeCell ref="X22:X24"/>
    <mergeCell ref="X52:X54"/>
    <mergeCell ref="Z22:Z24"/>
    <mergeCell ref="Z52:Z54"/>
    <mergeCell ref="P46:P51"/>
    <mergeCell ref="R46:R51"/>
    <mergeCell ref="T46:T51"/>
    <mergeCell ref="V46:V51"/>
    <mergeCell ref="X46:X51"/>
    <mergeCell ref="R22:R24"/>
    <mergeCell ref="V52:V54"/>
    <mergeCell ref="AE20:AF20"/>
    <mergeCell ref="A46:A51"/>
    <mergeCell ref="M20:N20"/>
    <mergeCell ref="W20:X20"/>
    <mergeCell ref="S20:T20"/>
    <mergeCell ref="T22:T24"/>
    <mergeCell ref="X25:X42"/>
    <mergeCell ref="V43:V45"/>
    <mergeCell ref="X43:X45"/>
    <mergeCell ref="Z43:Z45"/>
    <mergeCell ref="AB43:AB45"/>
    <mergeCell ref="AD43:AD45"/>
    <mergeCell ref="AF43:AF45"/>
    <mergeCell ref="AB34:AB42"/>
    <mergeCell ref="AD34:AD42"/>
    <mergeCell ref="AF34:AF42"/>
    <mergeCell ref="AB25:AB33"/>
    <mergeCell ref="T25:T42"/>
    <mergeCell ref="V25:V42"/>
    <mergeCell ref="V22:V24"/>
    <mergeCell ref="R43:R45"/>
    <mergeCell ref="Q20:R20"/>
    <mergeCell ref="AD25:AD33"/>
    <mergeCell ref="AF25:AF33"/>
    <mergeCell ref="A52:A54"/>
    <mergeCell ref="N22:N24"/>
    <mergeCell ref="A22:A24"/>
    <mergeCell ref="F22:F24"/>
    <mergeCell ref="J22:J24"/>
    <mergeCell ref="L22:L24"/>
    <mergeCell ref="F52:F54"/>
    <mergeCell ref="J52:J54"/>
    <mergeCell ref="N52:N54"/>
    <mergeCell ref="L52:L54"/>
    <mergeCell ref="N46:N51"/>
    <mergeCell ref="F46:F51"/>
    <mergeCell ref="J46:J51"/>
    <mergeCell ref="L46:L51"/>
    <mergeCell ref="W18:X18"/>
    <mergeCell ref="B20:D20"/>
    <mergeCell ref="A25:A42"/>
    <mergeCell ref="A43:A45"/>
    <mergeCell ref="F43:F45"/>
    <mergeCell ref="J43:J45"/>
    <mergeCell ref="L43:L45"/>
    <mergeCell ref="N43:N45"/>
    <mergeCell ref="P43:P45"/>
    <mergeCell ref="F25:F42"/>
    <mergeCell ref="J25:J42"/>
    <mergeCell ref="N25:N42"/>
    <mergeCell ref="P25:P42"/>
    <mergeCell ref="L25:L42"/>
    <mergeCell ref="I20:J20"/>
    <mergeCell ref="K20:L20"/>
    <mergeCell ref="O18:P18"/>
    <mergeCell ref="Q18:R18"/>
    <mergeCell ref="I18:J18"/>
    <mergeCell ref="O20:P20"/>
  </mergeCells>
  <hyperlinks>
    <hyperlink ref="A8" r:id="rId1" display=" L.P.I.N  °"/>
  </hyperlinks>
  <printOptions horizontalCentered="1"/>
  <pageMargins left="0.15748031496062992" right="0.19685039370078741" top="1.1811023622047245" bottom="0.19685039370078741" header="0.51181102362204722" footer="0.51181102362204722"/>
  <pageSetup paperSize="9" scale="45" firstPageNumber="0" orientation="landscape" r:id="rId2"/>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JD38"/>
  <sheetViews>
    <sheetView view="pageBreakPreview" zoomScale="70" zoomScaleNormal="75" zoomScaleSheetLayoutView="70" workbookViewId="0">
      <selection activeCell="A6" sqref="A6:N6"/>
    </sheetView>
  </sheetViews>
  <sheetFormatPr baseColWidth="10" defaultColWidth="10.5546875" defaultRowHeight="13.2" x14ac:dyDescent="0.25"/>
  <cols>
    <col min="1" max="1" width="11.5546875" customWidth="1"/>
    <col min="2" max="2" width="18.5546875" customWidth="1"/>
    <col min="3" max="3" width="3.88671875" customWidth="1"/>
    <col min="4" max="4" width="18.5546875" customWidth="1"/>
    <col min="5" max="5" width="9" style="278" customWidth="1"/>
    <col min="6" max="6" width="12.33203125" style="278" customWidth="1"/>
    <col min="7" max="7" width="10.6640625" style="278" customWidth="1"/>
    <col min="8" max="8" width="13.44140625" style="278" customWidth="1"/>
    <col min="9" max="10" width="10.44140625" style="278" customWidth="1"/>
    <col min="11" max="12" width="10.109375" customWidth="1"/>
    <col min="13" max="14" width="9.5546875" customWidth="1"/>
    <col min="15" max="16" width="9.5546875" hidden="1" customWidth="1"/>
    <col min="17" max="17" width="9.33203125" hidden="1" customWidth="1"/>
    <col min="18" max="18" width="10.33203125" hidden="1" customWidth="1"/>
    <col min="19" max="46" width="10.5546875" hidden="1" customWidth="1"/>
    <col min="47" max="52" width="10.5546875" customWidth="1"/>
  </cols>
  <sheetData>
    <row r="1" spans="1:264" x14ac:dyDescent="0.25">
      <c r="A1" s="2250" t="str">
        <f>RESUM_VAL_!A1</f>
        <v>GOBIERNO REGIONAL AYACUCHO</v>
      </c>
      <c r="B1" s="2250"/>
      <c r="C1" s="2250"/>
      <c r="D1" s="2250"/>
      <c r="E1" s="351"/>
      <c r="F1" s="351"/>
      <c r="G1" s="351"/>
      <c r="H1" s="351"/>
      <c r="I1" s="351"/>
      <c r="J1" s="351"/>
      <c r="K1" s="1"/>
      <c r="L1" s="1"/>
      <c r="M1" s="1"/>
      <c r="N1" s="1"/>
      <c r="O1" s="349"/>
      <c r="P1" s="349"/>
      <c r="Q1" s="349"/>
      <c r="R1" s="349"/>
      <c r="S1" s="349"/>
      <c r="T1" s="349"/>
      <c r="U1" s="349"/>
      <c r="V1" s="349"/>
      <c r="W1" s="349"/>
      <c r="X1" s="349"/>
      <c r="Y1" s="349"/>
      <c r="Z1" s="349"/>
      <c r="AA1" s="349"/>
      <c r="AB1" s="349"/>
      <c r="AC1" s="349"/>
      <c r="AD1" s="349"/>
      <c r="AE1" s="349"/>
      <c r="AF1" s="349"/>
      <c r="AG1" s="349"/>
      <c r="AH1" s="349"/>
      <c r="AI1" s="349"/>
      <c r="AJ1" s="349"/>
      <c r="AK1" s="349"/>
      <c r="AL1" s="349"/>
      <c r="AM1" s="349"/>
      <c r="AN1" s="349"/>
      <c r="AO1" s="349"/>
      <c r="AP1" s="349"/>
      <c r="AQ1" s="349"/>
      <c r="AR1" s="349"/>
      <c r="AS1" s="349"/>
      <c r="AT1" s="350"/>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row>
    <row r="2" spans="1:264" x14ac:dyDescent="0.25">
      <c r="A2" s="2250" t="str">
        <f>RESUM_VAL_!A2</f>
        <v>SUBGERENCIA DE SUPERVISION Y LIQUIDACION</v>
      </c>
      <c r="B2" s="2250"/>
      <c r="C2" s="2250"/>
      <c r="D2" s="2250"/>
      <c r="E2" s="351"/>
      <c r="F2" s="351"/>
      <c r="G2" s="351"/>
      <c r="H2" s="351"/>
      <c r="I2" s="351"/>
      <c r="J2" s="35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352"/>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c r="GP2" s="1"/>
      <c r="GQ2" s="1"/>
      <c r="GR2" s="1"/>
      <c r="GS2" s="1"/>
      <c r="GT2" s="1"/>
      <c r="GU2" s="1"/>
      <c r="GV2" s="1"/>
      <c r="GW2" s="1"/>
      <c r="GX2" s="1"/>
      <c r="GY2" s="1"/>
      <c r="GZ2" s="1"/>
      <c r="HA2" s="1"/>
      <c r="HB2" s="1"/>
      <c r="HC2" s="1"/>
      <c r="HD2" s="1"/>
      <c r="HE2" s="1"/>
      <c r="HF2" s="1"/>
      <c r="HG2" s="1"/>
      <c r="HH2" s="1"/>
      <c r="HI2" s="1"/>
      <c r="HJ2" s="1"/>
      <c r="HK2" s="1"/>
      <c r="HL2" s="1"/>
      <c r="HM2" s="1"/>
      <c r="HN2" s="1"/>
      <c r="HO2" s="1"/>
      <c r="HP2" s="1"/>
      <c r="HQ2" s="1"/>
      <c r="HR2" s="1"/>
      <c r="HS2" s="1"/>
      <c r="HT2" s="1"/>
      <c r="HU2" s="1"/>
      <c r="HV2" s="1"/>
      <c r="HW2" s="1"/>
      <c r="HX2" s="1"/>
      <c r="HY2" s="1"/>
      <c r="HZ2" s="1"/>
      <c r="IA2" s="1"/>
      <c r="IB2" s="1"/>
      <c r="IC2" s="1"/>
      <c r="ID2" s="1"/>
      <c r="IE2" s="1"/>
      <c r="IF2" s="1"/>
      <c r="IG2" s="1"/>
      <c r="IH2" s="1"/>
      <c r="II2" s="1"/>
      <c r="IJ2" s="1"/>
      <c r="IK2" s="1"/>
      <c r="IL2" s="1"/>
      <c r="IM2" s="1"/>
      <c r="IN2" s="1"/>
      <c r="IO2" s="1"/>
      <c r="IP2" s="1"/>
      <c r="IQ2" s="1"/>
      <c r="IR2" s="1"/>
      <c r="IS2" s="1"/>
      <c r="IT2" s="1"/>
      <c r="IU2" s="1"/>
      <c r="IV2" s="1"/>
      <c r="IW2" s="1"/>
      <c r="IX2" s="1"/>
      <c r="IY2" s="1"/>
      <c r="IZ2" s="1"/>
      <c r="JA2" s="1"/>
      <c r="JB2" s="1"/>
      <c r="JC2" s="1"/>
      <c r="JD2" s="1"/>
    </row>
    <row r="3" spans="1:264" x14ac:dyDescent="0.25">
      <c r="A3" s="2250"/>
      <c r="B3" s="2250"/>
      <c r="C3" s="2250"/>
      <c r="D3" s="2250"/>
      <c r="E3" s="351"/>
      <c r="F3" s="351"/>
      <c r="G3" s="351"/>
      <c r="H3" s="351"/>
      <c r="I3" s="351"/>
      <c r="J3" s="35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352"/>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c r="IT3" s="1"/>
      <c r="IU3" s="1"/>
      <c r="IV3" s="1"/>
      <c r="IW3" s="1"/>
      <c r="IX3" s="1"/>
      <c r="IY3" s="1"/>
      <c r="IZ3" s="1"/>
      <c r="JA3" s="1"/>
      <c r="JB3" s="1"/>
      <c r="JC3" s="1"/>
      <c r="JD3" s="1"/>
    </row>
    <row r="4" spans="1:264" x14ac:dyDescent="0.25">
      <c r="A4" s="913"/>
      <c r="B4" s="913"/>
      <c r="C4" s="913"/>
      <c r="D4" s="913"/>
      <c r="E4" s="351"/>
      <c r="F4" s="351"/>
      <c r="G4" s="351"/>
      <c r="H4" s="351"/>
      <c r="I4" s="351"/>
      <c r="J4" s="35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352"/>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c r="IW4" s="1"/>
      <c r="IX4" s="1"/>
      <c r="IY4" s="1"/>
      <c r="IZ4" s="1"/>
      <c r="JA4" s="1"/>
      <c r="JB4" s="1"/>
      <c r="JC4" s="1"/>
      <c r="JD4" s="1"/>
    </row>
    <row r="5" spans="1:264" x14ac:dyDescent="0.25">
      <c r="A5" s="353"/>
      <c r="B5" s="353"/>
      <c r="C5" s="353"/>
      <c r="D5" s="1"/>
      <c r="E5" s="351"/>
      <c r="F5" s="351"/>
      <c r="G5" s="351"/>
      <c r="H5" s="351"/>
      <c r="I5" s="351"/>
      <c r="J5" s="35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352"/>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c r="IT5" s="1"/>
      <c r="IU5" s="1"/>
      <c r="IV5" s="1"/>
      <c r="IW5" s="1"/>
      <c r="IX5" s="1"/>
      <c r="IY5" s="1"/>
      <c r="IZ5" s="1"/>
      <c r="JA5" s="1"/>
      <c r="JB5" s="1"/>
      <c r="JC5" s="1"/>
      <c r="JD5" s="1"/>
    </row>
    <row r="6" spans="1:264" ht="16.5" customHeight="1" x14ac:dyDescent="0.25">
      <c r="A6" s="2261" t="s">
        <v>1160</v>
      </c>
      <c r="B6" s="2261"/>
      <c r="C6" s="2261"/>
      <c r="D6" s="2261"/>
      <c r="E6" s="2261"/>
      <c r="F6" s="2261"/>
      <c r="G6" s="2261"/>
      <c r="H6" s="2261"/>
      <c r="I6" s="2261"/>
      <c r="J6" s="2261"/>
      <c r="K6" s="2261"/>
      <c r="L6" s="2261"/>
      <c r="M6" s="2261"/>
      <c r="N6" s="2261"/>
      <c r="O6" s="874"/>
      <c r="P6" s="874"/>
      <c r="Q6" s="874"/>
      <c r="R6" s="874"/>
      <c r="S6" s="874"/>
      <c r="T6" s="874"/>
      <c r="U6" s="874"/>
      <c r="V6" s="874"/>
      <c r="W6" s="874"/>
      <c r="X6" s="874"/>
      <c r="Y6" s="874"/>
      <c r="Z6" s="874"/>
      <c r="AA6" s="874"/>
      <c r="AB6" s="874"/>
      <c r="AC6" s="874"/>
      <c r="AD6" s="874"/>
      <c r="AE6" s="874"/>
      <c r="AF6" s="874"/>
      <c r="AG6" s="874"/>
      <c r="AH6" s="874"/>
      <c r="AI6" s="874"/>
      <c r="AJ6" s="874"/>
      <c r="AK6" s="874"/>
      <c r="AL6" s="874"/>
      <c r="AM6" s="874"/>
      <c r="AN6" s="874"/>
      <c r="AO6" s="874"/>
      <c r="AP6" s="874"/>
      <c r="AQ6" s="874"/>
      <c r="AR6" s="874"/>
      <c r="AS6" s="874"/>
      <c r="AT6" s="875"/>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c r="IT6" s="1"/>
      <c r="IU6" s="1"/>
      <c r="IV6" s="1"/>
      <c r="IW6" s="1"/>
      <c r="IX6" s="1"/>
      <c r="IY6" s="1"/>
      <c r="IZ6" s="1"/>
      <c r="JA6" s="1"/>
      <c r="JB6" s="1"/>
      <c r="JC6" s="1"/>
      <c r="JD6" s="1"/>
    </row>
    <row r="7" spans="1:264" ht="16.5" customHeight="1" x14ac:dyDescent="0.3">
      <c r="A7" s="742"/>
      <c r="B7" s="742"/>
      <c r="C7" s="742"/>
      <c r="D7" s="742"/>
      <c r="E7" s="742"/>
      <c r="F7" s="742"/>
      <c r="G7" s="742"/>
      <c r="H7" s="742"/>
      <c r="I7" s="742"/>
      <c r="J7" s="742"/>
      <c r="K7" s="351"/>
      <c r="L7" s="351"/>
      <c r="M7" s="351"/>
      <c r="N7" s="351"/>
      <c r="O7" s="351"/>
      <c r="P7" s="351"/>
      <c r="Q7" s="35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352"/>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c r="IT7" s="1"/>
      <c r="IU7" s="1"/>
      <c r="IV7" s="1"/>
      <c r="IW7" s="1"/>
      <c r="IX7" s="1"/>
      <c r="IY7" s="1"/>
      <c r="IZ7" s="1"/>
      <c r="JA7" s="1"/>
      <c r="JB7" s="1"/>
      <c r="JC7" s="1"/>
      <c r="JD7" s="1"/>
    </row>
    <row r="8" spans="1:264" x14ac:dyDescent="0.25">
      <c r="A8" s="894" t="s">
        <v>142</v>
      </c>
      <c r="B8" s="266"/>
      <c r="C8" s="266" t="s">
        <v>7</v>
      </c>
      <c r="D8" s="354" t="str">
        <f>CARAT_!$F$47</f>
        <v>ESPECIFICO Nº SP-2022-012</v>
      </c>
      <c r="E8" s="227"/>
      <c r="F8" s="227"/>
      <c r="G8" s="227"/>
      <c r="H8" s="227"/>
      <c r="I8" s="227"/>
      <c r="J8" s="227"/>
      <c r="K8" s="228"/>
      <c r="L8" s="228"/>
      <c r="M8" s="228"/>
      <c r="N8" s="228"/>
      <c r="O8" s="228"/>
      <c r="P8" s="228"/>
      <c r="Q8" s="228"/>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352"/>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c r="IW8" s="1"/>
      <c r="IX8" s="1"/>
      <c r="IY8" s="1"/>
      <c r="IZ8" s="1"/>
      <c r="JA8" s="1"/>
      <c r="JB8" s="1"/>
      <c r="JC8" s="1"/>
      <c r="JD8" s="1"/>
    </row>
    <row r="9" spans="1:264" x14ac:dyDescent="0.25">
      <c r="A9" s="225" t="s">
        <v>18</v>
      </c>
      <c r="B9" s="266"/>
      <c r="C9" s="266" t="s">
        <v>7</v>
      </c>
      <c r="D9" s="2268" t="e">
        <f>CARAT_!#REF!</f>
        <v>#REF!</v>
      </c>
      <c r="E9" s="2268"/>
      <c r="F9" s="2268"/>
      <c r="G9" s="2268"/>
      <c r="H9" s="2268"/>
      <c r="I9" s="2268"/>
      <c r="J9" s="2268"/>
      <c r="K9" s="228"/>
      <c r="L9" s="228"/>
      <c r="M9" s="228"/>
      <c r="N9" s="228"/>
      <c r="O9" s="228"/>
      <c r="P9" s="228"/>
      <c r="Q9" s="228"/>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352"/>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c r="IW9" s="1"/>
      <c r="IX9" s="1"/>
      <c r="IY9" s="1"/>
      <c r="IZ9" s="1"/>
      <c r="JA9" s="1"/>
      <c r="JB9" s="1"/>
      <c r="JC9" s="1"/>
      <c r="JD9" s="1"/>
    </row>
    <row r="10" spans="1:264" x14ac:dyDescent="0.25">
      <c r="A10" s="895"/>
      <c r="B10" s="266"/>
      <c r="C10" s="266"/>
      <c r="D10" s="2268"/>
      <c r="E10" s="2268"/>
      <c r="F10" s="2268"/>
      <c r="G10" s="2268"/>
      <c r="H10" s="2268"/>
      <c r="I10" s="2268"/>
      <c r="J10" s="2268"/>
      <c r="K10" s="228"/>
      <c r="L10" s="228"/>
      <c r="M10" s="228"/>
      <c r="N10" s="228"/>
      <c r="O10" s="228"/>
      <c r="P10" s="228"/>
      <c r="Q10" s="228"/>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352"/>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c r="IT10" s="1"/>
      <c r="IU10" s="1"/>
      <c r="IV10" s="1"/>
      <c r="IW10" s="1"/>
      <c r="IX10" s="1"/>
      <c r="IY10" s="1"/>
      <c r="IZ10" s="1"/>
      <c r="JA10" s="1"/>
      <c r="JB10" s="1"/>
      <c r="JC10" s="1"/>
      <c r="JD10" s="1"/>
    </row>
    <row r="11" spans="1:264" x14ac:dyDescent="0.25">
      <c r="A11" s="266" t="s">
        <v>1</v>
      </c>
      <c r="B11" s="266"/>
      <c r="C11" s="266" t="s">
        <v>7</v>
      </c>
      <c r="D11" s="354" t="str">
        <f>CARAT_!$F$52</f>
        <v>SIMA PERU S.A.</v>
      </c>
      <c r="E11" s="227"/>
      <c r="F11" s="227"/>
      <c r="G11" s="227"/>
      <c r="H11" s="227"/>
      <c r="I11" s="227"/>
      <c r="J11" s="227"/>
      <c r="K11" s="228"/>
      <c r="L11" s="228"/>
      <c r="M11" s="228"/>
      <c r="N11" s="228"/>
      <c r="O11" s="228"/>
      <c r="P11" s="228"/>
      <c r="Q11" s="228"/>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352"/>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c r="IU11" s="1"/>
      <c r="IV11" s="1"/>
      <c r="IW11" s="1"/>
      <c r="IX11" s="1"/>
      <c r="IY11" s="1"/>
      <c r="IZ11" s="1"/>
      <c r="JA11" s="1"/>
      <c r="JB11" s="1"/>
      <c r="JC11" s="1"/>
      <c r="JD11" s="1"/>
    </row>
    <row r="12" spans="1:264" x14ac:dyDescent="0.25">
      <c r="A12" s="266" t="s">
        <v>25</v>
      </c>
      <c r="B12" s="266"/>
      <c r="C12" s="266" t="s">
        <v>7</v>
      </c>
      <c r="D12" s="354" t="str">
        <f>CARAT_!$F$53</f>
        <v>SUB GERENCIA DE SUPERVISION Y LIQUIDACION</v>
      </c>
      <c r="E12" s="227"/>
      <c r="F12" s="227"/>
      <c r="G12" s="227"/>
      <c r="H12" s="227"/>
      <c r="I12" s="227"/>
      <c r="J12" s="227"/>
      <c r="K12" s="228"/>
      <c r="L12" s="228"/>
      <c r="M12" s="228"/>
      <c r="N12" s="228"/>
      <c r="O12" s="228"/>
      <c r="P12" s="228"/>
      <c r="Q12" s="228"/>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352"/>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c r="IT12" s="1"/>
      <c r="IU12" s="1"/>
      <c r="IV12" s="1"/>
      <c r="IW12" s="1"/>
      <c r="IX12" s="1"/>
      <c r="IY12" s="1"/>
      <c r="IZ12" s="1"/>
      <c r="JA12" s="1"/>
      <c r="JB12" s="1"/>
      <c r="JC12" s="1"/>
      <c r="JD12" s="1"/>
    </row>
    <row r="13" spans="1:264" x14ac:dyDescent="0.25">
      <c r="A13" s="266" t="s">
        <v>3</v>
      </c>
      <c r="B13" s="266"/>
      <c r="C13" s="266" t="s">
        <v>7</v>
      </c>
      <c r="D13" s="354" t="str">
        <f>CARAT_!$F$54</f>
        <v>MES DE DICIEMBRE DE 2022</v>
      </c>
      <c r="E13" s="227"/>
      <c r="F13" s="227"/>
      <c r="G13" s="227"/>
      <c r="H13" s="227"/>
      <c r="I13" s="227"/>
      <c r="J13" s="227"/>
      <c r="K13" s="228"/>
      <c r="L13" s="228"/>
      <c r="M13" s="228"/>
      <c r="N13" s="228"/>
      <c r="O13" s="228"/>
      <c r="P13" s="228"/>
      <c r="Q13" s="228"/>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352"/>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c r="IT13" s="1"/>
      <c r="IU13" s="1"/>
      <c r="IV13" s="1"/>
      <c r="IW13" s="1"/>
      <c r="IX13" s="1"/>
      <c r="IY13" s="1"/>
      <c r="IZ13" s="1"/>
      <c r="JA13" s="1"/>
      <c r="JB13" s="1"/>
      <c r="JC13" s="1"/>
      <c r="JD13" s="1"/>
    </row>
    <row r="14" spans="1:264" x14ac:dyDescent="0.25">
      <c r="A14" s="225" t="s">
        <v>26</v>
      </c>
      <c r="B14" s="226"/>
      <c r="C14" s="226" t="s">
        <v>7</v>
      </c>
      <c r="D14" s="226" t="s">
        <v>1161</v>
      </c>
      <c r="E14" s="227"/>
      <c r="F14" s="227"/>
      <c r="G14" s="227"/>
      <c r="H14" s="227"/>
      <c r="I14" s="227"/>
      <c r="J14" s="227"/>
      <c r="K14" s="228"/>
      <c r="L14" s="228"/>
      <c r="M14" s="228"/>
      <c r="N14" s="226"/>
      <c r="O14" s="226"/>
      <c r="P14" s="226"/>
      <c r="Q14" s="225"/>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352"/>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c r="IU14" s="1"/>
      <c r="IV14" s="1"/>
      <c r="IW14" s="1"/>
      <c r="IX14" s="1"/>
      <c r="IY14" s="1"/>
      <c r="IZ14" s="1"/>
      <c r="JA14" s="1"/>
      <c r="JB14" s="1"/>
      <c r="JC14" s="1"/>
      <c r="JD14" s="1"/>
    </row>
    <row r="15" spans="1:264" x14ac:dyDescent="0.25">
      <c r="A15" s="225"/>
      <c r="B15" s="226"/>
      <c r="C15" s="226"/>
      <c r="D15" s="226"/>
      <c r="E15" s="227"/>
      <c r="F15" s="227"/>
      <c r="G15" s="227"/>
      <c r="H15" s="227"/>
      <c r="I15" s="227"/>
      <c r="J15" s="227"/>
      <c r="K15" s="228"/>
      <c r="L15" s="228"/>
      <c r="M15" s="228"/>
      <c r="N15" s="226"/>
      <c r="O15" s="226"/>
      <c r="P15" s="226"/>
      <c r="Q15" s="225"/>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352"/>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c r="IU15" s="1"/>
      <c r="IV15" s="1"/>
      <c r="IW15" s="1"/>
      <c r="IX15" s="1"/>
      <c r="IY15" s="1"/>
      <c r="IZ15" s="1"/>
      <c r="JA15" s="1"/>
      <c r="JB15" s="1"/>
      <c r="JC15" s="1"/>
      <c r="JD15" s="1"/>
    </row>
    <row r="16" spans="1:264" ht="19.5" customHeight="1" x14ac:dyDescent="0.25">
      <c r="A16" s="2272" t="s">
        <v>1157</v>
      </c>
      <c r="B16" s="2273"/>
      <c r="C16" s="2273"/>
      <c r="D16" s="2273"/>
      <c r="E16" s="2273"/>
      <c r="F16" s="2273"/>
      <c r="G16" s="2273"/>
      <c r="H16" s="2273"/>
      <c r="I16" s="2273"/>
      <c r="J16" s="2273"/>
      <c r="K16" s="2273"/>
      <c r="L16" s="2273"/>
      <c r="M16" s="2273"/>
      <c r="N16" s="2274"/>
      <c r="O16" s="228"/>
      <c r="P16" s="228"/>
      <c r="Q16" s="228"/>
      <c r="R16" s="1"/>
      <c r="S16" s="1"/>
      <c r="T16" s="1"/>
      <c r="U16" s="1"/>
      <c r="V16" s="1"/>
      <c r="W16" s="1"/>
      <c r="X16" s="1"/>
      <c r="Y16" s="1"/>
      <c r="Z16" s="1"/>
      <c r="AA16" s="1"/>
      <c r="AB16" s="1"/>
      <c r="AC16" s="1"/>
      <c r="AD16" s="1"/>
      <c r="AE16" s="1"/>
      <c r="AF16" s="1"/>
      <c r="AG16" s="230"/>
      <c r="AH16" s="230"/>
      <c r="AI16" s="1"/>
      <c r="AJ16" s="1"/>
      <c r="AK16" s="1"/>
      <c r="AL16" s="1"/>
      <c r="AM16" s="1"/>
      <c r="AN16" s="1"/>
      <c r="AO16" s="1"/>
      <c r="AP16" s="1"/>
      <c r="AQ16" s="1"/>
      <c r="AR16" s="1"/>
      <c r="AS16" s="1"/>
      <c r="AT16" s="352"/>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c r="IT16" s="1"/>
      <c r="IU16" s="1"/>
      <c r="IV16" s="1"/>
      <c r="IW16" s="1"/>
      <c r="IX16" s="1"/>
      <c r="IY16" s="1"/>
      <c r="IZ16" s="1"/>
      <c r="JA16" s="1"/>
      <c r="JB16" s="1"/>
      <c r="JC16" s="1"/>
      <c r="JD16" s="1"/>
    </row>
    <row r="17" spans="1:264" x14ac:dyDescent="0.25">
      <c r="A17" s="228" t="s">
        <v>217</v>
      </c>
      <c r="B17" s="1"/>
      <c r="C17" s="228"/>
      <c r="D17" s="228"/>
      <c r="E17" s="227"/>
      <c r="F17" s="227"/>
      <c r="G17" s="227"/>
      <c r="H17" s="227"/>
      <c r="I17" s="227"/>
      <c r="J17" s="227"/>
      <c r="K17" s="228"/>
      <c r="L17" s="228"/>
      <c r="M17" s="228"/>
      <c r="N17" s="228"/>
      <c r="O17" s="228"/>
      <c r="P17" s="228"/>
      <c r="Q17" s="228"/>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352"/>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c r="IT17" s="1"/>
      <c r="IU17" s="1"/>
      <c r="IV17" s="1"/>
      <c r="IW17" s="1"/>
      <c r="IX17" s="1"/>
      <c r="IY17" s="1"/>
      <c r="IZ17" s="1"/>
      <c r="JA17" s="1"/>
      <c r="JB17" s="1"/>
      <c r="JC17" s="1"/>
      <c r="JD17" s="1"/>
    </row>
    <row r="18" spans="1:264" ht="13.8" thickBot="1" x14ac:dyDescent="0.3">
      <c r="A18" s="228"/>
      <c r="B18" s="1"/>
      <c r="C18" s="228"/>
      <c r="D18" s="228"/>
      <c r="E18" s="227"/>
      <c r="F18" s="227"/>
      <c r="G18" s="227"/>
      <c r="H18" s="227"/>
      <c r="I18" s="227"/>
      <c r="J18" s="227"/>
      <c r="K18" s="228"/>
      <c r="L18" s="228"/>
      <c r="M18" s="228"/>
      <c r="N18" s="228"/>
      <c r="O18" s="228"/>
      <c r="P18" s="228"/>
      <c r="Q18" s="228"/>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352"/>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c r="IT18" s="1"/>
      <c r="IU18" s="1"/>
      <c r="IV18" s="1"/>
      <c r="IW18" s="1"/>
      <c r="IX18" s="1"/>
      <c r="IY18" s="1"/>
      <c r="IZ18" s="1"/>
      <c r="JA18" s="1"/>
      <c r="JB18" s="1"/>
      <c r="JC18" s="1"/>
      <c r="JD18" s="1"/>
    </row>
    <row r="19" spans="1:264" x14ac:dyDescent="0.25">
      <c r="A19" s="953"/>
      <c r="B19" s="282"/>
      <c r="C19" s="283"/>
      <c r="D19" s="284"/>
      <c r="E19" s="954"/>
      <c r="F19" s="747" t="s">
        <v>27</v>
      </c>
      <c r="G19" s="954" t="s">
        <v>17</v>
      </c>
      <c r="H19" s="955" t="s">
        <v>28</v>
      </c>
      <c r="I19" s="2265" t="s">
        <v>176</v>
      </c>
      <c r="J19" s="2266"/>
      <c r="K19" s="2267" t="s">
        <v>177</v>
      </c>
      <c r="L19" s="2266"/>
      <c r="M19" s="2265" t="s">
        <v>179</v>
      </c>
      <c r="N19" s="2266"/>
      <c r="O19" s="2265" t="s">
        <v>180</v>
      </c>
      <c r="P19" s="2266"/>
      <c r="Q19" s="2265" t="s">
        <v>181</v>
      </c>
      <c r="R19" s="2266"/>
      <c r="S19" s="2265" t="s">
        <v>182</v>
      </c>
      <c r="T19" s="2266"/>
      <c r="U19" s="2265" t="s">
        <v>248</v>
      </c>
      <c r="V19" s="2266"/>
      <c r="W19" s="2265" t="s">
        <v>251</v>
      </c>
      <c r="X19" s="2266"/>
      <c r="Y19" s="2265" t="s">
        <v>253</v>
      </c>
      <c r="Z19" s="2266"/>
      <c r="AA19" s="2265" t="s">
        <v>255</v>
      </c>
      <c r="AB19" s="2266"/>
      <c r="AC19" s="2265" t="s">
        <v>261</v>
      </c>
      <c r="AD19" s="2266"/>
      <c r="AE19" s="2265" t="s">
        <v>306</v>
      </c>
      <c r="AF19" s="2266"/>
      <c r="AG19" s="2265" t="s">
        <v>307</v>
      </c>
      <c r="AH19" s="2266"/>
      <c r="AI19" s="2265" t="s">
        <v>474</v>
      </c>
      <c r="AJ19" s="2266"/>
      <c r="AK19" s="2265" t="s">
        <v>475</v>
      </c>
      <c r="AL19" s="2266"/>
      <c r="AM19" s="2265" t="s">
        <v>476</v>
      </c>
      <c r="AN19" s="2266"/>
      <c r="AO19" s="2265" t="s">
        <v>477</v>
      </c>
      <c r="AP19" s="2266"/>
      <c r="AQ19" s="2265" t="s">
        <v>478</v>
      </c>
      <c r="AR19" s="2266"/>
      <c r="AS19" s="2265" t="s">
        <v>479</v>
      </c>
      <c r="AT19" s="2266"/>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c r="IT19" s="1"/>
      <c r="IU19" s="1"/>
      <c r="IV19" s="1"/>
      <c r="IW19" s="1"/>
      <c r="IX19" s="1"/>
      <c r="IY19" s="1"/>
      <c r="IZ19" s="1"/>
      <c r="JA19" s="1"/>
      <c r="JB19" s="1"/>
      <c r="JC19" s="1"/>
      <c r="JD19" s="1"/>
    </row>
    <row r="20" spans="1:264" x14ac:dyDescent="0.25">
      <c r="A20" s="286" t="s">
        <v>29</v>
      </c>
      <c r="B20" s="2226" t="s">
        <v>30</v>
      </c>
      <c r="C20" s="2227"/>
      <c r="D20" s="2228"/>
      <c r="E20" s="484" t="s">
        <v>31</v>
      </c>
      <c r="F20" s="748"/>
      <c r="G20" s="484"/>
      <c r="H20" s="485" t="s">
        <v>32</v>
      </c>
      <c r="I20" s="2245">
        <v>43404</v>
      </c>
      <c r="J20" s="2246"/>
      <c r="K20" s="2263">
        <v>43434</v>
      </c>
      <c r="L20" s="2246"/>
      <c r="M20" s="2245">
        <v>43465</v>
      </c>
      <c r="N20" s="2246"/>
      <c r="O20" s="2245">
        <v>43496</v>
      </c>
      <c r="P20" s="2246"/>
      <c r="Q20" s="2245">
        <v>43524</v>
      </c>
      <c r="R20" s="2246"/>
      <c r="S20" s="2245">
        <v>43554</v>
      </c>
      <c r="T20" s="2246"/>
      <c r="U20" s="2245">
        <v>43585</v>
      </c>
      <c r="V20" s="2246"/>
      <c r="W20" s="2245">
        <v>43616</v>
      </c>
      <c r="X20" s="2246"/>
      <c r="Y20" s="2245">
        <v>43646</v>
      </c>
      <c r="Z20" s="2246"/>
      <c r="AA20" s="2245">
        <v>43677</v>
      </c>
      <c r="AB20" s="2246"/>
      <c r="AC20" s="2245">
        <v>43708</v>
      </c>
      <c r="AD20" s="2246"/>
      <c r="AE20" s="2245">
        <v>43738</v>
      </c>
      <c r="AF20" s="2246"/>
      <c r="AG20" s="2245">
        <v>43746</v>
      </c>
      <c r="AH20" s="2246"/>
      <c r="AI20" s="2264">
        <v>43799</v>
      </c>
      <c r="AJ20" s="2246"/>
      <c r="AK20" s="2245">
        <v>43830</v>
      </c>
      <c r="AL20" s="2246"/>
      <c r="AM20" s="2245">
        <v>43312</v>
      </c>
      <c r="AN20" s="2246"/>
      <c r="AO20" s="2245">
        <v>43343</v>
      </c>
      <c r="AP20" s="2246"/>
      <c r="AQ20" s="2245">
        <v>43373</v>
      </c>
      <c r="AR20" s="2246"/>
      <c r="AS20" s="2245">
        <v>43381</v>
      </c>
      <c r="AT20" s="2246"/>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c r="IT20" s="1"/>
      <c r="IU20" s="1"/>
      <c r="IV20" s="1"/>
      <c r="IW20" s="1"/>
      <c r="IX20" s="1"/>
      <c r="IY20" s="1"/>
      <c r="IZ20" s="1"/>
      <c r="JA20" s="1"/>
      <c r="JB20" s="1"/>
      <c r="JC20" s="1"/>
      <c r="JD20" s="1"/>
    </row>
    <row r="21" spans="1:264" ht="13.8" thickBot="1" x14ac:dyDescent="0.3">
      <c r="A21" s="287"/>
      <c r="B21" s="288"/>
      <c r="C21" s="289"/>
      <c r="D21" s="290"/>
      <c r="E21" s="291"/>
      <c r="F21" s="749" t="s">
        <v>33</v>
      </c>
      <c r="G21" s="291" t="s">
        <v>33</v>
      </c>
      <c r="H21" s="489">
        <v>43235</v>
      </c>
      <c r="I21" s="668" t="s">
        <v>34</v>
      </c>
      <c r="J21" s="669" t="s">
        <v>35</v>
      </c>
      <c r="K21" s="754" t="s">
        <v>34</v>
      </c>
      <c r="L21" s="669" t="s">
        <v>35</v>
      </c>
      <c r="M21" s="668" t="s">
        <v>34</v>
      </c>
      <c r="N21" s="669" t="s">
        <v>35</v>
      </c>
      <c r="O21" s="668" t="s">
        <v>34</v>
      </c>
      <c r="P21" s="669" t="s">
        <v>35</v>
      </c>
      <c r="Q21" s="668" t="s">
        <v>34</v>
      </c>
      <c r="R21" s="669" t="s">
        <v>35</v>
      </c>
      <c r="S21" s="668" t="s">
        <v>34</v>
      </c>
      <c r="T21" s="669" t="s">
        <v>35</v>
      </c>
      <c r="U21" s="668" t="s">
        <v>34</v>
      </c>
      <c r="V21" s="669" t="s">
        <v>35</v>
      </c>
      <c r="W21" s="668" t="s">
        <v>34</v>
      </c>
      <c r="X21" s="669" t="s">
        <v>35</v>
      </c>
      <c r="Y21" s="668" t="s">
        <v>34</v>
      </c>
      <c r="Z21" s="669" t="s">
        <v>35</v>
      </c>
      <c r="AA21" s="668" t="s">
        <v>34</v>
      </c>
      <c r="AB21" s="669" t="s">
        <v>35</v>
      </c>
      <c r="AC21" s="668" t="s">
        <v>34</v>
      </c>
      <c r="AD21" s="669" t="s">
        <v>35</v>
      </c>
      <c r="AE21" s="668" t="s">
        <v>34</v>
      </c>
      <c r="AF21" s="669" t="s">
        <v>35</v>
      </c>
      <c r="AG21" s="668" t="s">
        <v>34</v>
      </c>
      <c r="AH21" s="669" t="s">
        <v>35</v>
      </c>
      <c r="AI21" s="668" t="s">
        <v>34</v>
      </c>
      <c r="AJ21" s="669" t="s">
        <v>35</v>
      </c>
      <c r="AK21" s="668" t="s">
        <v>34</v>
      </c>
      <c r="AL21" s="669" t="s">
        <v>35</v>
      </c>
      <c r="AM21" s="668" t="s">
        <v>34</v>
      </c>
      <c r="AN21" s="669" t="s">
        <v>35</v>
      </c>
      <c r="AO21" s="668" t="s">
        <v>34</v>
      </c>
      <c r="AP21" s="669" t="s">
        <v>35</v>
      </c>
      <c r="AQ21" s="668" t="s">
        <v>34</v>
      </c>
      <c r="AR21" s="669" t="s">
        <v>35</v>
      </c>
      <c r="AS21" s="668" t="s">
        <v>34</v>
      </c>
      <c r="AT21" s="669" t="s">
        <v>35</v>
      </c>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c r="IT21" s="1"/>
      <c r="IU21" s="1"/>
      <c r="IV21" s="1"/>
      <c r="IW21" s="1"/>
      <c r="IX21" s="1"/>
      <c r="IY21" s="1"/>
      <c r="IZ21" s="1"/>
      <c r="JA21" s="1"/>
      <c r="JB21" s="1"/>
      <c r="JC21" s="1"/>
      <c r="JD21" s="1"/>
    </row>
    <row r="22" spans="1:264" ht="12.75" customHeight="1" x14ac:dyDescent="0.25">
      <c r="A22" s="2232" t="s">
        <v>480</v>
      </c>
      <c r="B22" s="238"/>
      <c r="C22" s="239"/>
      <c r="D22" s="240"/>
      <c r="E22" s="255"/>
      <c r="F22" s="753"/>
      <c r="G22" s="500"/>
      <c r="H22" s="696"/>
      <c r="I22" s="686"/>
      <c r="J22" s="2243">
        <f>ROUND($F23*I24/$H24,3)</f>
        <v>3.4000000000000002E-2</v>
      </c>
      <c r="K22" s="686"/>
      <c r="L22" s="2243">
        <f>ROUND($F23*K24/$H24,3)</f>
        <v>3.4000000000000002E-2</v>
      </c>
      <c r="M22" s="686"/>
      <c r="N22" s="2243">
        <f>ROUND($F23*M24/$H24,3)</f>
        <v>3.4000000000000002E-2</v>
      </c>
      <c r="O22" s="688"/>
      <c r="P22" s="2242" t="e">
        <f>ROUND($F23*O24/$H24,3)</f>
        <v>#REF!</v>
      </c>
      <c r="Q22" s="688"/>
      <c r="R22" s="2242" t="e">
        <f>ROUND($F23*Q24/$H24,3)</f>
        <v>#REF!</v>
      </c>
      <c r="S22" s="688"/>
      <c r="T22" s="2242" t="e">
        <f>ROUND($F23*S24/$H24,3)</f>
        <v>#REF!</v>
      </c>
      <c r="U22" s="688"/>
      <c r="V22" s="2242" t="e">
        <f>ROUND($F23*U24/$H24,3)</f>
        <v>#REF!</v>
      </c>
      <c r="W22" s="688"/>
      <c r="X22" s="2242" t="e">
        <f>ROUND($F23*W24/$H24,3)</f>
        <v>#REF!</v>
      </c>
      <c r="Y22" s="688"/>
      <c r="Z22" s="2242" t="e">
        <f>ROUND($F23*Y24/$H24,3)</f>
        <v>#REF!</v>
      </c>
      <c r="AA22" s="688"/>
      <c r="AB22" s="2242" t="e">
        <f>ROUND($F23*AA24/$H24,3)</f>
        <v>#REF!</v>
      </c>
      <c r="AC22" s="688"/>
      <c r="AD22" s="2242" t="e">
        <f>ROUND($F23*AC24/$H24,3)</f>
        <v>#REF!</v>
      </c>
      <c r="AE22" s="688"/>
      <c r="AF22" s="2242" t="e">
        <f>ROUND($F23*AE24/$H24,3)</f>
        <v>#REF!</v>
      </c>
      <c r="AG22" s="688"/>
      <c r="AH22" s="2242" t="e">
        <f>ROUND($F23*AG24/$H24,3)</f>
        <v>#REF!</v>
      </c>
      <c r="AI22" s="688"/>
      <c r="AJ22" s="2242" t="e">
        <f>ROUND($F23*AI24/$H24,3)</f>
        <v>#REF!</v>
      </c>
      <c r="AK22" s="688"/>
      <c r="AL22" s="2242" t="e">
        <f>ROUND($F23*AK24/$H24,3)</f>
        <v>#REF!</v>
      </c>
      <c r="AM22" s="688"/>
      <c r="AN22" s="2242" t="e">
        <f>ROUND($F23*AM24/$H24,3)</f>
        <v>#REF!</v>
      </c>
      <c r="AO22" s="688"/>
      <c r="AP22" s="2242" t="e">
        <f>ROUND($F23*AO24/$H24,3)</f>
        <v>#REF!</v>
      </c>
      <c r="AQ22" s="688"/>
      <c r="AR22" s="2242" t="e">
        <f>ROUND($F23*AQ24/$H24,3)</f>
        <v>#REF!</v>
      </c>
      <c r="AS22" s="688"/>
      <c r="AT22" s="2242" t="e">
        <f>ROUND($F23*AS24/$H24,3)</f>
        <v>#REF!</v>
      </c>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c r="IT22" s="1"/>
      <c r="IU22" s="1"/>
      <c r="IV22" s="1"/>
      <c r="IW22" s="1"/>
      <c r="IX22" s="1"/>
      <c r="IY22" s="1"/>
      <c r="IZ22" s="1"/>
      <c r="JA22" s="1"/>
      <c r="JB22" s="1"/>
      <c r="JC22" s="1"/>
      <c r="JD22" s="1"/>
    </row>
    <row r="23" spans="1:264" ht="12.75" customHeight="1" x14ac:dyDescent="0.25">
      <c r="A23" s="2233"/>
      <c r="B23" s="408" t="s">
        <v>484</v>
      </c>
      <c r="C23" s="230"/>
      <c r="D23" s="231"/>
      <c r="E23" s="498">
        <v>39</v>
      </c>
      <c r="F23" s="757">
        <v>3.4000000000000002E-2</v>
      </c>
      <c r="G23" s="499">
        <v>1</v>
      </c>
      <c r="H23" s="694">
        <f>D36</f>
        <v>445.61</v>
      </c>
      <c r="I23" s="686">
        <f>E36</f>
        <v>450.26</v>
      </c>
      <c r="J23" s="2243"/>
      <c r="K23" s="686">
        <f>F36</f>
        <v>450.63</v>
      </c>
      <c r="L23" s="2243"/>
      <c r="M23" s="686">
        <f>G36</f>
        <v>450.63</v>
      </c>
      <c r="N23" s="2243"/>
      <c r="O23" s="686" t="e">
        <f>#REF!</f>
        <v>#REF!</v>
      </c>
      <c r="P23" s="2243"/>
      <c r="Q23" s="686" t="e">
        <f>#REF!</f>
        <v>#REF!</v>
      </c>
      <c r="R23" s="2243"/>
      <c r="S23" s="686" t="e">
        <f>#REF!</f>
        <v>#REF!</v>
      </c>
      <c r="T23" s="2243"/>
      <c r="U23" s="686" t="e">
        <f>#REF!</f>
        <v>#REF!</v>
      </c>
      <c r="V23" s="2243"/>
      <c r="W23" s="686" t="e">
        <f>#REF!</f>
        <v>#REF!</v>
      </c>
      <c r="X23" s="2243"/>
      <c r="Y23" s="686" t="e">
        <f>#REF!</f>
        <v>#REF!</v>
      </c>
      <c r="Z23" s="2243"/>
      <c r="AA23" s="686" t="e">
        <f>#REF!</f>
        <v>#REF!</v>
      </c>
      <c r="AB23" s="2243"/>
      <c r="AC23" s="686" t="e">
        <f>#REF!</f>
        <v>#REF!</v>
      </c>
      <c r="AD23" s="2243"/>
      <c r="AE23" s="686" t="e">
        <f>#REF!</f>
        <v>#REF!</v>
      </c>
      <c r="AF23" s="2243"/>
      <c r="AG23" s="686" t="e">
        <f>#REF!</f>
        <v>#REF!</v>
      </c>
      <c r="AH23" s="2243"/>
      <c r="AI23" s="686" t="e">
        <f>#REF!</f>
        <v>#REF!</v>
      </c>
      <c r="AJ23" s="2243"/>
      <c r="AK23" s="686" t="e">
        <f>#REF!</f>
        <v>#REF!</v>
      </c>
      <c r="AL23" s="2243"/>
      <c r="AM23" s="686" t="e">
        <f>#REF!</f>
        <v>#REF!</v>
      </c>
      <c r="AN23" s="2243"/>
      <c r="AO23" s="686" t="e">
        <f>#REF!</f>
        <v>#REF!</v>
      </c>
      <c r="AP23" s="2243"/>
      <c r="AQ23" s="686" t="e">
        <f>#REF!</f>
        <v>#REF!</v>
      </c>
      <c r="AR23" s="2243"/>
      <c r="AS23" s="686" t="e">
        <f>#REF!</f>
        <v>#REF!</v>
      </c>
      <c r="AT23" s="2243"/>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c r="IT23" s="1"/>
      <c r="IU23" s="1"/>
      <c r="IV23" s="1"/>
      <c r="IW23" s="1"/>
      <c r="IX23" s="1"/>
      <c r="IY23" s="1"/>
      <c r="IZ23" s="1"/>
      <c r="JA23" s="1"/>
      <c r="JB23" s="1"/>
      <c r="JC23" s="1"/>
      <c r="JD23" s="1"/>
    </row>
    <row r="24" spans="1:264" ht="12.75" customHeight="1" x14ac:dyDescent="0.25">
      <c r="A24" s="2234"/>
      <c r="B24" s="256"/>
      <c r="C24" s="257"/>
      <c r="D24" s="258"/>
      <c r="E24" s="235"/>
      <c r="F24" s="494"/>
      <c r="G24" s="756"/>
      <c r="H24" s="695">
        <f>H23*$G23</f>
        <v>445.61</v>
      </c>
      <c r="I24" s="687">
        <f>I23*$G23</f>
        <v>450.26</v>
      </c>
      <c r="J24" s="2244"/>
      <c r="K24" s="687">
        <f>K23*$G23</f>
        <v>450.63</v>
      </c>
      <c r="L24" s="2244"/>
      <c r="M24" s="687">
        <f>M23*$G23</f>
        <v>450.63</v>
      </c>
      <c r="N24" s="2244"/>
      <c r="O24" s="687" t="e">
        <f>O23*$G23</f>
        <v>#REF!</v>
      </c>
      <c r="P24" s="2243"/>
      <c r="Q24" s="687" t="e">
        <f>Q23*$G23</f>
        <v>#REF!</v>
      </c>
      <c r="R24" s="2243"/>
      <c r="S24" s="687" t="e">
        <f>S23*$G23</f>
        <v>#REF!</v>
      </c>
      <c r="T24" s="2243"/>
      <c r="U24" s="687" t="e">
        <f>U23*$G23</f>
        <v>#REF!</v>
      </c>
      <c r="V24" s="2243"/>
      <c r="W24" s="687" t="e">
        <f>W23*$G23</f>
        <v>#REF!</v>
      </c>
      <c r="X24" s="2243"/>
      <c r="Y24" s="687" t="e">
        <f>Y23*$G23</f>
        <v>#REF!</v>
      </c>
      <c r="Z24" s="2243"/>
      <c r="AA24" s="687" t="e">
        <f>AA23*$G23</f>
        <v>#REF!</v>
      </c>
      <c r="AB24" s="2243"/>
      <c r="AC24" s="687" t="e">
        <f>AC23*$G23</f>
        <v>#REF!</v>
      </c>
      <c r="AD24" s="2243"/>
      <c r="AE24" s="687" t="e">
        <f>AE23*$G23</f>
        <v>#REF!</v>
      </c>
      <c r="AF24" s="2243"/>
      <c r="AG24" s="687" t="e">
        <f>AG23*$G23</f>
        <v>#REF!</v>
      </c>
      <c r="AH24" s="2243"/>
      <c r="AI24" s="687" t="e">
        <f>AI23*$G23</f>
        <v>#REF!</v>
      </c>
      <c r="AJ24" s="2243"/>
      <c r="AK24" s="687" t="e">
        <f>AK23*$G23</f>
        <v>#REF!</v>
      </c>
      <c r="AL24" s="2243"/>
      <c r="AM24" s="687" t="e">
        <f>AM23*$G23</f>
        <v>#REF!</v>
      </c>
      <c r="AN24" s="2243"/>
      <c r="AO24" s="687" t="e">
        <f>AO23*$G23</f>
        <v>#REF!</v>
      </c>
      <c r="AP24" s="2243"/>
      <c r="AQ24" s="687" t="e">
        <f>AQ23*$G23</f>
        <v>#REF!</v>
      </c>
      <c r="AR24" s="2243"/>
      <c r="AS24" s="687" t="e">
        <f>AS23*$G23</f>
        <v>#REF!</v>
      </c>
      <c r="AT24" s="2243"/>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c r="IT24" s="1"/>
      <c r="IU24" s="1"/>
      <c r="IV24" s="1"/>
      <c r="IW24" s="1"/>
      <c r="IX24" s="1"/>
      <c r="IY24" s="1"/>
      <c r="IZ24" s="1"/>
      <c r="JA24" s="1"/>
      <c r="JB24" s="1"/>
      <c r="JC24" s="1"/>
      <c r="JD24" s="1"/>
    </row>
    <row r="25" spans="1:264" ht="12.75" customHeight="1" x14ac:dyDescent="0.25">
      <c r="A25" s="2229" t="s">
        <v>1158</v>
      </c>
      <c r="B25" s="249"/>
      <c r="C25" s="250"/>
      <c r="D25" s="251"/>
      <c r="E25" s="252"/>
      <c r="F25" s="2269">
        <v>0.96599999999999997</v>
      </c>
      <c r="G25" s="253"/>
      <c r="H25" s="896"/>
      <c r="I25" s="689"/>
      <c r="J25" s="2242">
        <f>ROUND($F$25*(I30+I27)/($H$30+$H$27),3)</f>
        <v>0.97499999999999998</v>
      </c>
      <c r="K25" s="689"/>
      <c r="L25" s="2242">
        <f>ROUND($F$25*(K30+K27)/($H$30+$H$27),3)</f>
        <v>0.97499999999999998</v>
      </c>
      <c r="M25" s="689"/>
      <c r="N25" s="2242">
        <f>ROUND($F$25*(M30+M27)/($H$30+$H$27),3)</f>
        <v>0.97499999999999998</v>
      </c>
      <c r="O25" s="254"/>
      <c r="P25" s="2275" t="e">
        <f>ROUND(+#REF!*(#REF!+O30+O27)/(#REF!+#REF!+#REF!),3)</f>
        <v>#REF!</v>
      </c>
      <c r="Q25" s="254"/>
      <c r="R25" s="2243" t="e">
        <f>ROUND(+#REF!*(#REF!+Q30+Q27)/(#REF!+#REF!+#REF!),3)</f>
        <v>#REF!</v>
      </c>
      <c r="S25" s="755"/>
      <c r="T25" s="2275" t="e">
        <f>ROUND(+#REF!*(#REF!+S30+S27)/(#REF!+#REF!+#REF!),3)</f>
        <v>#REF!</v>
      </c>
      <c r="U25" s="254"/>
      <c r="V25" s="2275" t="e">
        <f>ROUND(+#REF!*(#REF!+U30+U27)/(#REF!+#REF!+#REF!),3)</f>
        <v>#REF!</v>
      </c>
      <c r="W25" s="254"/>
      <c r="X25" s="2275" t="e">
        <f>ROUND(+#REF!*(#REF!+W30+W27)/(#REF!+#REF!+#REF!),3)</f>
        <v>#REF!</v>
      </c>
      <c r="Y25" s="254"/>
      <c r="Z25" s="2275" t="e">
        <f>ROUND(+#REF!*(#REF!+Y30+Y27)/(#REF!+#REF!+#REF!),3)</f>
        <v>#REF!</v>
      </c>
      <c r="AA25" s="254"/>
      <c r="AB25" s="2275" t="e">
        <f>ROUND(+#REF!*(#REF!+AA30+AA27)/(#REF!+#REF!+#REF!),3)</f>
        <v>#REF!</v>
      </c>
      <c r="AC25" s="254"/>
      <c r="AD25" s="2275" t="e">
        <f>ROUND(+#REF!*(#REF!+AC30+AC27)/(#REF!+#REF!+#REF!),3)</f>
        <v>#REF!</v>
      </c>
      <c r="AE25" s="254"/>
      <c r="AF25" s="2275" t="e">
        <f>ROUND(+#REF!*(#REF!+AE30+AE27)/(#REF!+#REF!+#REF!),3)</f>
        <v>#REF!</v>
      </c>
      <c r="AG25" s="254"/>
      <c r="AH25" s="2275" t="e">
        <f>ROUND(+#REF!*(#REF!+AG30+AG27)/(#REF!+#REF!+#REF!),3)</f>
        <v>#REF!</v>
      </c>
      <c r="AI25" s="254"/>
      <c r="AJ25" s="2275" t="e">
        <f>ROUND(+#REF!*(#REF!+AI30+AI27)/(#REF!+#REF!+#REF!),3)</f>
        <v>#REF!</v>
      </c>
      <c r="AK25" s="254"/>
      <c r="AL25" s="2275" t="e">
        <f>ROUND(+#REF!*(#REF!+AK30+AK27)/(#REF!+#REF!+#REF!),3)</f>
        <v>#REF!</v>
      </c>
      <c r="AM25" s="254"/>
      <c r="AN25" s="2275" t="e">
        <f>ROUND(+#REF!*(#REF!+AM30+AM27)/(#REF!+#REF!+#REF!),3)</f>
        <v>#REF!</v>
      </c>
      <c r="AO25" s="254"/>
      <c r="AP25" s="2275" t="e">
        <f>ROUND(+#REF!*(#REF!+AO30+AO27)/(#REF!+#REF!+#REF!),3)</f>
        <v>#REF!</v>
      </c>
      <c r="AQ25" s="254"/>
      <c r="AR25" s="2275" t="e">
        <f>ROUND(+#REF!*(#REF!+AQ30+AQ27)/(#REF!+#REF!+#REF!),3)</f>
        <v>#REF!</v>
      </c>
      <c r="AS25" s="254"/>
      <c r="AT25" s="2275" t="e">
        <f>ROUND(+#REF!*(#REF!+AS30+AS27)/(#REF!+#REF!+#REF!),3)</f>
        <v>#REF!</v>
      </c>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c r="IT25" s="1"/>
      <c r="IU25" s="1"/>
      <c r="IV25" s="1"/>
      <c r="IW25" s="1"/>
      <c r="IX25" s="1"/>
      <c r="IY25" s="1"/>
      <c r="IZ25" s="1"/>
      <c r="JA25" s="1"/>
      <c r="JB25" s="1"/>
      <c r="JC25" s="1"/>
      <c r="JD25" s="1"/>
    </row>
    <row r="26" spans="1:264" ht="12.75" customHeight="1" x14ac:dyDescent="0.25">
      <c r="A26" s="2230"/>
      <c r="B26" s="408" t="s">
        <v>245</v>
      </c>
      <c r="C26" s="230"/>
      <c r="D26" s="231"/>
      <c r="E26" s="244">
        <v>48</v>
      </c>
      <c r="F26" s="2270"/>
      <c r="G26" s="411">
        <v>5.4870000000000002E-2</v>
      </c>
      <c r="H26" s="694">
        <f>D37</f>
        <v>368.95</v>
      </c>
      <c r="I26" s="686">
        <f>E37</f>
        <v>372.23</v>
      </c>
      <c r="J26" s="2243"/>
      <c r="K26" s="686">
        <f>F37</f>
        <v>370.7</v>
      </c>
      <c r="L26" s="2243"/>
      <c r="M26" s="686">
        <f>G37</f>
        <v>370.7</v>
      </c>
      <c r="N26" s="2243"/>
      <c r="O26" s="234" t="e">
        <f>#REF!</f>
        <v>#REF!</v>
      </c>
      <c r="P26" s="2275"/>
      <c r="Q26" s="234" t="e">
        <f>#REF!</f>
        <v>#REF!</v>
      </c>
      <c r="R26" s="2243"/>
      <c r="S26" s="750" t="e">
        <f>#REF!</f>
        <v>#REF!</v>
      </c>
      <c r="T26" s="2275"/>
      <c r="U26" s="234" t="e">
        <f>#REF!</f>
        <v>#REF!</v>
      </c>
      <c r="V26" s="2275"/>
      <c r="W26" s="234" t="e">
        <f>#REF!</f>
        <v>#REF!</v>
      </c>
      <c r="X26" s="2275"/>
      <c r="Y26" s="234" t="e">
        <f>#REF!</f>
        <v>#REF!</v>
      </c>
      <c r="Z26" s="2275"/>
      <c r="AA26" s="234" t="e">
        <f>#REF!</f>
        <v>#REF!</v>
      </c>
      <c r="AB26" s="2275"/>
      <c r="AC26" s="234" t="e">
        <f>#REF!</f>
        <v>#REF!</v>
      </c>
      <c r="AD26" s="2275"/>
      <c r="AE26" s="234" t="e">
        <f>#REF!</f>
        <v>#REF!</v>
      </c>
      <c r="AF26" s="2275"/>
      <c r="AG26" s="234" t="e">
        <f>#REF!</f>
        <v>#REF!</v>
      </c>
      <c r="AH26" s="2275"/>
      <c r="AI26" s="234" t="e">
        <f>#REF!</f>
        <v>#REF!</v>
      </c>
      <c r="AJ26" s="2275"/>
      <c r="AK26" s="234" t="e">
        <f>#REF!</f>
        <v>#REF!</v>
      </c>
      <c r="AL26" s="2275"/>
      <c r="AM26" s="234" t="e">
        <f>#REF!</f>
        <v>#REF!</v>
      </c>
      <c r="AN26" s="2275"/>
      <c r="AO26" s="234" t="e">
        <f>#REF!</f>
        <v>#REF!</v>
      </c>
      <c r="AP26" s="2275"/>
      <c r="AQ26" s="234" t="e">
        <f>#REF!</f>
        <v>#REF!</v>
      </c>
      <c r="AR26" s="2275"/>
      <c r="AS26" s="234" t="e">
        <f>#REF!</f>
        <v>#REF!</v>
      </c>
      <c r="AT26" s="2275"/>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c r="IS26" s="1"/>
      <c r="IT26" s="1"/>
      <c r="IU26" s="1"/>
      <c r="IV26" s="1"/>
      <c r="IW26" s="1"/>
      <c r="IX26" s="1"/>
      <c r="IY26" s="1"/>
      <c r="IZ26" s="1"/>
      <c r="JA26" s="1"/>
      <c r="JB26" s="1"/>
      <c r="JC26" s="1"/>
      <c r="JD26" s="1"/>
    </row>
    <row r="27" spans="1:264" ht="12.75" customHeight="1" x14ac:dyDescent="0.25">
      <c r="A27" s="2230"/>
      <c r="B27" s="245"/>
      <c r="C27" s="246"/>
      <c r="D27" s="247"/>
      <c r="E27" s="235"/>
      <c r="F27" s="2270"/>
      <c r="G27" s="236"/>
      <c r="H27" s="695">
        <f>H26*$G26</f>
        <v>20.244286500000001</v>
      </c>
      <c r="I27" s="687">
        <f>I26*$G26</f>
        <v>20.424260100000001</v>
      </c>
      <c r="J27" s="2243"/>
      <c r="K27" s="687">
        <f>K26*$G26</f>
        <v>20.340309000000001</v>
      </c>
      <c r="L27" s="2243"/>
      <c r="M27" s="687">
        <f>M26*$G26</f>
        <v>20.340309000000001</v>
      </c>
      <c r="N27" s="2243"/>
      <c r="O27" s="237" t="e">
        <f>O26*$G26</f>
        <v>#REF!</v>
      </c>
      <c r="P27" s="2275"/>
      <c r="Q27" s="237" t="e">
        <f>Q26*$G26</f>
        <v>#REF!</v>
      </c>
      <c r="R27" s="2243"/>
      <c r="S27" s="751" t="e">
        <f>S26*$G26</f>
        <v>#REF!</v>
      </c>
      <c r="T27" s="2275"/>
      <c r="U27" s="237" t="e">
        <f>U26*$G26</f>
        <v>#REF!</v>
      </c>
      <c r="V27" s="2275"/>
      <c r="W27" s="237" t="e">
        <f>W26*$G26</f>
        <v>#REF!</v>
      </c>
      <c r="X27" s="2275"/>
      <c r="Y27" s="237" t="e">
        <f>Y26*$G26</f>
        <v>#REF!</v>
      </c>
      <c r="Z27" s="2275"/>
      <c r="AA27" s="237" t="e">
        <f>AA26*$G26</f>
        <v>#REF!</v>
      </c>
      <c r="AB27" s="2275"/>
      <c r="AC27" s="237" t="e">
        <f>AC26*$G26</f>
        <v>#REF!</v>
      </c>
      <c r="AD27" s="2275"/>
      <c r="AE27" s="237" t="e">
        <f>AE26*$G26</f>
        <v>#REF!</v>
      </c>
      <c r="AF27" s="2275"/>
      <c r="AG27" s="237" t="e">
        <f>AG26*$G26</f>
        <v>#REF!</v>
      </c>
      <c r="AH27" s="2275"/>
      <c r="AI27" s="237" t="e">
        <f>AI26*$G26</f>
        <v>#REF!</v>
      </c>
      <c r="AJ27" s="2275"/>
      <c r="AK27" s="237" t="e">
        <f>AK26*$G26</f>
        <v>#REF!</v>
      </c>
      <c r="AL27" s="2275"/>
      <c r="AM27" s="237" t="e">
        <f>AM26*$G26</f>
        <v>#REF!</v>
      </c>
      <c r="AN27" s="2275"/>
      <c r="AO27" s="237" t="e">
        <f>AO26*$G26</f>
        <v>#REF!</v>
      </c>
      <c r="AP27" s="2275"/>
      <c r="AQ27" s="237" t="e">
        <f>AQ26*$G26</f>
        <v>#REF!</v>
      </c>
      <c r="AR27" s="2275"/>
      <c r="AS27" s="237" t="e">
        <f>AS26*$G26</f>
        <v>#REF!</v>
      </c>
      <c r="AT27" s="2275"/>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c r="IS27" s="1"/>
      <c r="IT27" s="1"/>
      <c r="IU27" s="1"/>
      <c r="IV27" s="1"/>
      <c r="IW27" s="1"/>
      <c r="IX27" s="1"/>
      <c r="IY27" s="1"/>
      <c r="IZ27" s="1"/>
      <c r="JA27" s="1"/>
      <c r="JB27" s="1"/>
      <c r="JC27" s="1"/>
      <c r="JD27" s="1"/>
    </row>
    <row r="28" spans="1:264" ht="15" customHeight="1" x14ac:dyDescent="0.25">
      <c r="A28" s="2230"/>
      <c r="B28" s="260"/>
      <c r="C28" s="261"/>
      <c r="D28" s="262"/>
      <c r="E28" s="252"/>
      <c r="F28" s="2270"/>
      <c r="G28" s="263"/>
      <c r="H28" s="697"/>
      <c r="I28" s="690"/>
      <c r="J28" s="2243"/>
      <c r="K28" s="690"/>
      <c r="L28" s="2243"/>
      <c r="M28" s="690"/>
      <c r="N28" s="2243"/>
      <c r="O28" s="264"/>
      <c r="P28" s="2275"/>
      <c r="Q28" s="264"/>
      <c r="R28" s="2243"/>
      <c r="S28" s="752"/>
      <c r="T28" s="2275"/>
      <c r="U28" s="264"/>
      <c r="V28" s="2275"/>
      <c r="W28" s="264"/>
      <c r="X28" s="2275"/>
      <c r="Y28" s="264"/>
      <c r="Z28" s="2275"/>
      <c r="AA28" s="264"/>
      <c r="AB28" s="2275"/>
      <c r="AC28" s="264"/>
      <c r="AD28" s="2275"/>
      <c r="AE28" s="264"/>
      <c r="AF28" s="2275"/>
      <c r="AG28" s="264"/>
      <c r="AH28" s="2275"/>
      <c r="AI28" s="264"/>
      <c r="AJ28" s="2275"/>
      <c r="AK28" s="264"/>
      <c r="AL28" s="2275"/>
      <c r="AM28" s="264"/>
      <c r="AN28" s="2275"/>
      <c r="AO28" s="264"/>
      <c r="AP28" s="2275"/>
      <c r="AQ28" s="264"/>
      <c r="AR28" s="2275"/>
      <c r="AS28" s="264"/>
      <c r="AT28" s="2275"/>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c r="IS28" s="1"/>
      <c r="IT28" s="1"/>
      <c r="IU28" s="1"/>
      <c r="IV28" s="1"/>
      <c r="IW28" s="1"/>
      <c r="IX28" s="1"/>
      <c r="IY28" s="1"/>
      <c r="IZ28" s="1"/>
      <c r="JA28" s="1"/>
      <c r="JB28" s="1"/>
      <c r="JC28" s="1"/>
      <c r="JD28" s="1"/>
    </row>
    <row r="29" spans="1:264" ht="12.75" customHeight="1" x14ac:dyDescent="0.25">
      <c r="A29" s="2230"/>
      <c r="B29" s="409" t="s">
        <v>1159</v>
      </c>
      <c r="C29" s="230"/>
      <c r="D29" s="231"/>
      <c r="E29" s="498">
        <v>80</v>
      </c>
      <c r="F29" s="2270"/>
      <c r="G29" s="499">
        <v>0.94513000000000003</v>
      </c>
      <c r="H29" s="694">
        <f>D38</f>
        <v>107.02</v>
      </c>
      <c r="I29" s="686">
        <f>E38</f>
        <v>108.09</v>
      </c>
      <c r="J29" s="2243"/>
      <c r="K29" s="686">
        <f>F38</f>
        <v>108.09</v>
      </c>
      <c r="L29" s="2243"/>
      <c r="M29" s="686">
        <f>G38</f>
        <v>108.09</v>
      </c>
      <c r="N29" s="2243"/>
      <c r="O29" s="234">
        <f>H42</f>
        <v>0</v>
      </c>
      <c r="P29" s="2275"/>
      <c r="Q29" s="234">
        <f>I42</f>
        <v>0</v>
      </c>
      <c r="R29" s="2243"/>
      <c r="S29" s="750">
        <f>J42</f>
        <v>0</v>
      </c>
      <c r="T29" s="2275"/>
      <c r="U29" s="234">
        <f>K42</f>
        <v>0</v>
      </c>
      <c r="V29" s="2275"/>
      <c r="W29" s="234">
        <f>L42</f>
        <v>0</v>
      </c>
      <c r="X29" s="2275"/>
      <c r="Y29" s="234">
        <f>M42</f>
        <v>0</v>
      </c>
      <c r="Z29" s="2275"/>
      <c r="AA29" s="234">
        <f>N42</f>
        <v>0</v>
      </c>
      <c r="AB29" s="2275"/>
      <c r="AC29" s="234">
        <f>O42</f>
        <v>0</v>
      </c>
      <c r="AD29" s="2275"/>
      <c r="AE29" s="234">
        <f>P42</f>
        <v>0</v>
      </c>
      <c r="AF29" s="2275"/>
      <c r="AG29" s="234">
        <f>Q42</f>
        <v>0</v>
      </c>
      <c r="AH29" s="2275"/>
      <c r="AI29" s="234">
        <f>X42</f>
        <v>0</v>
      </c>
      <c r="AJ29" s="2275"/>
      <c r="AK29" s="234">
        <f>Y42</f>
        <v>0</v>
      </c>
      <c r="AL29" s="2275"/>
      <c r="AM29" s="234">
        <f>Z42</f>
        <v>0</v>
      </c>
      <c r="AN29" s="2275"/>
      <c r="AO29" s="234">
        <f>AA42</f>
        <v>0</v>
      </c>
      <c r="AP29" s="2275"/>
      <c r="AQ29" s="234">
        <f>AB42</f>
        <v>0</v>
      </c>
      <c r="AR29" s="2275"/>
      <c r="AS29" s="234">
        <f>AC42</f>
        <v>0</v>
      </c>
      <c r="AT29" s="2275"/>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c r="IS29" s="1"/>
      <c r="IT29" s="1"/>
      <c r="IU29" s="1"/>
      <c r="IV29" s="1"/>
      <c r="IW29" s="1"/>
      <c r="IX29" s="1"/>
      <c r="IY29" s="1"/>
      <c r="IZ29" s="1"/>
      <c r="JA29" s="1"/>
      <c r="JB29" s="1"/>
      <c r="JC29" s="1"/>
      <c r="JD29" s="1"/>
    </row>
    <row r="30" spans="1:264" ht="12.75" customHeight="1" x14ac:dyDescent="0.25">
      <c r="A30" s="2231"/>
      <c r="B30" s="245"/>
      <c r="C30" s="246"/>
      <c r="D30" s="247"/>
      <c r="E30" s="235"/>
      <c r="F30" s="2271"/>
      <c r="G30" s="236"/>
      <c r="H30" s="695">
        <f>H29*$G29</f>
        <v>101.14781259999999</v>
      </c>
      <c r="I30" s="687">
        <f>I29*$G29</f>
        <v>102.15910170000001</v>
      </c>
      <c r="J30" s="2244"/>
      <c r="K30" s="687">
        <f>K29*$G29</f>
        <v>102.15910170000001</v>
      </c>
      <c r="L30" s="2244"/>
      <c r="M30" s="687">
        <f>M29*$G29</f>
        <v>102.15910170000001</v>
      </c>
      <c r="N30" s="2244"/>
      <c r="O30" s="237">
        <f>O29*$G29</f>
        <v>0</v>
      </c>
      <c r="P30" s="2275"/>
      <c r="Q30" s="237">
        <f>Q29*$G29</f>
        <v>0</v>
      </c>
      <c r="R30" s="2243"/>
      <c r="S30" s="751">
        <f>S29*$G29</f>
        <v>0</v>
      </c>
      <c r="T30" s="2275"/>
      <c r="U30" s="237">
        <f>U29*$G29</f>
        <v>0</v>
      </c>
      <c r="V30" s="2275"/>
      <c r="W30" s="237">
        <f>W29*$G29</f>
        <v>0</v>
      </c>
      <c r="X30" s="2275"/>
      <c r="Y30" s="237">
        <f>Y29*$G29</f>
        <v>0</v>
      </c>
      <c r="Z30" s="2275"/>
      <c r="AA30" s="237">
        <f>AA29*$G29</f>
        <v>0</v>
      </c>
      <c r="AB30" s="2275"/>
      <c r="AC30" s="237">
        <f>AC29*$G29</f>
        <v>0</v>
      </c>
      <c r="AD30" s="2275"/>
      <c r="AE30" s="237">
        <f>AE29*$G29</f>
        <v>0</v>
      </c>
      <c r="AF30" s="2275"/>
      <c r="AG30" s="237">
        <f>AG29*$G29</f>
        <v>0</v>
      </c>
      <c r="AH30" s="2275"/>
      <c r="AI30" s="237">
        <f>AI29*$G29</f>
        <v>0</v>
      </c>
      <c r="AJ30" s="2275"/>
      <c r="AK30" s="237">
        <f>AK29*$G29</f>
        <v>0</v>
      </c>
      <c r="AL30" s="2275"/>
      <c r="AM30" s="237">
        <f>AM29*$G29</f>
        <v>0</v>
      </c>
      <c r="AN30" s="2275"/>
      <c r="AO30" s="237">
        <f>AO29*$G29</f>
        <v>0</v>
      </c>
      <c r="AP30" s="2275"/>
      <c r="AQ30" s="237">
        <f>AQ29*$G29</f>
        <v>0</v>
      </c>
      <c r="AR30" s="2275"/>
      <c r="AS30" s="237">
        <f>AS29*$G29</f>
        <v>0</v>
      </c>
      <c r="AT30" s="2275"/>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c r="IS30" s="1"/>
      <c r="IT30" s="1"/>
      <c r="IU30" s="1"/>
      <c r="IV30" s="1"/>
      <c r="IW30" s="1"/>
      <c r="IX30" s="1"/>
      <c r="IY30" s="1"/>
      <c r="IZ30" s="1"/>
      <c r="JA30" s="1"/>
      <c r="JB30" s="1"/>
      <c r="JC30" s="1"/>
      <c r="JD30" s="1"/>
    </row>
    <row r="31" spans="1:264" s="272" customFormat="1" ht="15.6" x14ac:dyDescent="0.3">
      <c r="A31" s="265"/>
      <c r="B31" s="266"/>
      <c r="C31" s="266"/>
      <c r="D31" s="266"/>
      <c r="E31" s="267"/>
      <c r="F31" s="268"/>
      <c r="G31" s="269"/>
      <c r="H31" s="698"/>
      <c r="I31" s="692"/>
      <c r="J31" s="271"/>
      <c r="K31" s="692"/>
      <c r="L31" s="271"/>
      <c r="M31" s="692"/>
      <c r="N31" s="271"/>
      <c r="O31" s="692"/>
      <c r="P31" s="271"/>
      <c r="Q31" s="692"/>
      <c r="R31" s="271"/>
      <c r="S31" s="692"/>
      <c r="T31" s="271"/>
      <c r="U31" s="692"/>
      <c r="V31" s="271"/>
      <c r="W31" s="692"/>
      <c r="X31" s="271"/>
      <c r="Y31" s="692"/>
      <c r="Z31" s="271"/>
      <c r="AA31" s="692"/>
      <c r="AB31" s="271"/>
      <c r="AC31" s="692"/>
      <c r="AD31" s="271"/>
      <c r="AE31" s="692"/>
      <c r="AF31" s="271"/>
      <c r="AG31" s="692"/>
      <c r="AH31" s="271"/>
      <c r="AI31" s="692"/>
      <c r="AJ31" s="271"/>
      <c r="AK31" s="692"/>
      <c r="AL31" s="271"/>
      <c r="AM31" s="692"/>
      <c r="AN31" s="271"/>
      <c r="AO31" s="692"/>
      <c r="AP31" s="271"/>
      <c r="AQ31" s="692"/>
      <c r="AR31" s="271"/>
      <c r="AS31" s="692"/>
      <c r="AT31" s="271"/>
    </row>
    <row r="32" spans="1:264" s="272" customFormat="1" ht="16.2" thickBot="1" x14ac:dyDescent="0.35">
      <c r="A32" s="273" t="s">
        <v>37</v>
      </c>
      <c r="B32" s="274"/>
      <c r="C32" s="274"/>
      <c r="D32" s="274"/>
      <c r="E32" s="275"/>
      <c r="F32" s="276">
        <f>SUM(F22:F30)</f>
        <v>1</v>
      </c>
      <c r="G32" s="277"/>
      <c r="H32" s="346"/>
      <c r="I32" s="684"/>
      <c r="J32" s="347">
        <f>SUM(J22:J30)</f>
        <v>1.0089999999999999</v>
      </c>
      <c r="K32" s="684"/>
      <c r="L32" s="347">
        <f>SUM(L22:L30)</f>
        <v>1.0089999999999999</v>
      </c>
      <c r="M32" s="684"/>
      <c r="N32" s="347">
        <f>SUM(N22:N30)</f>
        <v>1.0089999999999999</v>
      </c>
      <c r="O32" s="684"/>
      <c r="P32" s="347" t="e">
        <f>SUM(#REF!)</f>
        <v>#REF!</v>
      </c>
      <c r="Q32" s="684"/>
      <c r="R32" s="347" t="e">
        <f>SUM(#REF!)</f>
        <v>#REF!</v>
      </c>
      <c r="S32" s="684"/>
      <c r="T32" s="347" t="e">
        <f>SUM(#REF!)</f>
        <v>#REF!</v>
      </c>
      <c r="U32" s="684"/>
      <c r="V32" s="347" t="e">
        <f>SUM(#REF!)</f>
        <v>#REF!</v>
      </c>
      <c r="W32" s="684"/>
      <c r="X32" s="347" t="e">
        <f>SUM(#REF!)</f>
        <v>#REF!</v>
      </c>
      <c r="Y32" s="684"/>
      <c r="Z32" s="347" t="e">
        <f>SUM(#REF!)</f>
        <v>#REF!</v>
      </c>
      <c r="AA32" s="684"/>
      <c r="AB32" s="347" t="e">
        <f>SUM(#REF!)</f>
        <v>#REF!</v>
      </c>
      <c r="AC32" s="684"/>
      <c r="AD32" s="347" t="e">
        <f>SUM(#REF!)</f>
        <v>#REF!</v>
      </c>
      <c r="AE32" s="684"/>
      <c r="AF32" s="347" t="e">
        <f>SUM(#REF!)</f>
        <v>#REF!</v>
      </c>
      <c r="AG32" s="684"/>
      <c r="AH32" s="347" t="e">
        <f>SUM(#REF!)</f>
        <v>#REF!</v>
      </c>
      <c r="AI32" s="684"/>
      <c r="AJ32" s="347" t="e">
        <f>SUM(#REF!)</f>
        <v>#REF!</v>
      </c>
      <c r="AK32" s="684"/>
      <c r="AL32" s="347" t="e">
        <f>SUM(#REF!)</f>
        <v>#REF!</v>
      </c>
      <c r="AM32" s="684"/>
      <c r="AN32" s="347" t="e">
        <f>SUM(#REF!)</f>
        <v>#REF!</v>
      </c>
      <c r="AO32" s="684"/>
      <c r="AP32" s="347" t="e">
        <f>SUM(#REF!)</f>
        <v>#REF!</v>
      </c>
      <c r="AQ32" s="684"/>
      <c r="AR32" s="347" t="e">
        <f>SUM(#REF!)</f>
        <v>#REF!</v>
      </c>
      <c r="AS32" s="684"/>
      <c r="AT32" s="347" t="e">
        <f>SUM(#REF!)</f>
        <v>#REF!</v>
      </c>
    </row>
    <row r="34" spans="2:17" x14ac:dyDescent="0.25">
      <c r="B34" s="419" t="s">
        <v>295</v>
      </c>
      <c r="D34" s="413"/>
      <c r="E34" s="671">
        <v>43404</v>
      </c>
      <c r="F34" s="671">
        <v>43434</v>
      </c>
      <c r="G34" s="671">
        <v>43465</v>
      </c>
      <c r="H34" s="671"/>
      <c r="I34" s="671"/>
      <c r="J34" s="671"/>
      <c r="K34" s="671"/>
      <c r="L34" s="671"/>
      <c r="M34" s="671"/>
      <c r="N34" s="671"/>
      <c r="O34" s="671"/>
      <c r="P34" s="671"/>
      <c r="Q34" s="671"/>
    </row>
    <row r="35" spans="2:17" x14ac:dyDescent="0.25">
      <c r="B35" s="419" t="s">
        <v>294</v>
      </c>
      <c r="C35" s="279" t="s">
        <v>175</v>
      </c>
      <c r="D35" s="478" t="s">
        <v>483</v>
      </c>
      <c r="E35" s="355" t="s">
        <v>482</v>
      </c>
      <c r="F35" s="355" t="s">
        <v>473</v>
      </c>
      <c r="G35" s="355" t="s">
        <v>473</v>
      </c>
      <c r="H35" s="744"/>
      <c r="I35" s="744"/>
      <c r="J35" s="744"/>
      <c r="K35" s="744"/>
      <c r="L35" s="744"/>
      <c r="M35" s="745"/>
      <c r="N35" s="745"/>
      <c r="O35" s="745"/>
      <c r="P35" s="745"/>
      <c r="Q35" s="745"/>
    </row>
    <row r="36" spans="2:17" x14ac:dyDescent="0.25">
      <c r="C36" s="280">
        <v>39</v>
      </c>
      <c r="D36" s="951">
        <v>445.61</v>
      </c>
      <c r="E36" s="281">
        <v>450.26</v>
      </c>
      <c r="F36" s="281">
        <v>450.63</v>
      </c>
      <c r="G36" s="281">
        <v>450.63</v>
      </c>
      <c r="H36" s="746"/>
      <c r="I36" s="746"/>
      <c r="J36" s="746"/>
      <c r="K36" s="746"/>
      <c r="L36" s="746"/>
      <c r="M36" s="746"/>
      <c r="N36" s="746"/>
      <c r="O36" s="746"/>
      <c r="P36" s="746"/>
      <c r="Q36" s="746"/>
    </row>
    <row r="37" spans="2:17" x14ac:dyDescent="0.25">
      <c r="C37" s="280">
        <v>48</v>
      </c>
      <c r="D37" s="951">
        <v>368.95</v>
      </c>
      <c r="E37" s="281">
        <v>372.23</v>
      </c>
      <c r="F37" s="281">
        <v>370.7</v>
      </c>
      <c r="G37" s="281">
        <v>370.7</v>
      </c>
    </row>
    <row r="38" spans="2:17" x14ac:dyDescent="0.25">
      <c r="C38" s="280">
        <v>80</v>
      </c>
      <c r="D38" s="951">
        <v>107.02</v>
      </c>
      <c r="E38" s="281">
        <v>108.09</v>
      </c>
      <c r="F38" s="281">
        <v>108.09</v>
      </c>
      <c r="G38" s="281">
        <v>108.09</v>
      </c>
    </row>
  </sheetData>
  <mergeCells count="86">
    <mergeCell ref="AT25:AT30"/>
    <mergeCell ref="AJ25:AJ30"/>
    <mergeCell ref="AL25:AL30"/>
    <mergeCell ref="AN25:AN30"/>
    <mergeCell ref="AP25:AP30"/>
    <mergeCell ref="AR25:AR30"/>
    <mergeCell ref="Z25:Z30"/>
    <mergeCell ref="AB25:AB30"/>
    <mergeCell ref="AD25:AD30"/>
    <mergeCell ref="AF25:AF30"/>
    <mergeCell ref="AH25:AH30"/>
    <mergeCell ref="P25:P30"/>
    <mergeCell ref="R25:R30"/>
    <mergeCell ref="T25:T30"/>
    <mergeCell ref="V25:V30"/>
    <mergeCell ref="X25:X30"/>
    <mergeCell ref="A25:A30"/>
    <mergeCell ref="F25:F30"/>
    <mergeCell ref="J25:J30"/>
    <mergeCell ref="L25:L30"/>
    <mergeCell ref="A16:N16"/>
    <mergeCell ref="N25:N30"/>
    <mergeCell ref="A1:D1"/>
    <mergeCell ref="A2:D2"/>
    <mergeCell ref="A3:D3"/>
    <mergeCell ref="D9:J10"/>
    <mergeCell ref="A6:N6"/>
    <mergeCell ref="AE19:AF19"/>
    <mergeCell ref="I19:J19"/>
    <mergeCell ref="K19:L19"/>
    <mergeCell ref="M19:N19"/>
    <mergeCell ref="O19:P19"/>
    <mergeCell ref="Q19:R19"/>
    <mergeCell ref="S19:T19"/>
    <mergeCell ref="U19:V19"/>
    <mergeCell ref="W19:X19"/>
    <mergeCell ref="Y19:Z19"/>
    <mergeCell ref="AA19:AB19"/>
    <mergeCell ref="AC19:AD19"/>
    <mergeCell ref="AS19:AT19"/>
    <mergeCell ref="B20:D20"/>
    <mergeCell ref="I20:J20"/>
    <mergeCell ref="K20:L20"/>
    <mergeCell ref="M20:N20"/>
    <mergeCell ref="O20:P20"/>
    <mergeCell ref="Q20:R20"/>
    <mergeCell ref="S20:T20"/>
    <mergeCell ref="U20:V20"/>
    <mergeCell ref="W20:X20"/>
    <mergeCell ref="AG19:AH19"/>
    <mergeCell ref="AI19:AJ19"/>
    <mergeCell ref="AK19:AL19"/>
    <mergeCell ref="AM19:AN19"/>
    <mergeCell ref="AO19:AP19"/>
    <mergeCell ref="AQ19:AR19"/>
    <mergeCell ref="AS20:AT20"/>
    <mergeCell ref="A22:A24"/>
    <mergeCell ref="J22:J24"/>
    <mergeCell ref="L22:L24"/>
    <mergeCell ref="N22:N24"/>
    <mergeCell ref="P22:P24"/>
    <mergeCell ref="Y20:Z20"/>
    <mergeCell ref="AA20:AB20"/>
    <mergeCell ref="AC20:AD20"/>
    <mergeCell ref="AE20:AF20"/>
    <mergeCell ref="AG20:AH20"/>
    <mergeCell ref="AI20:AJ20"/>
    <mergeCell ref="AB22:AB24"/>
    <mergeCell ref="AK20:AL20"/>
    <mergeCell ref="AM20:AN20"/>
    <mergeCell ref="AO20:AP20"/>
    <mergeCell ref="AQ20:AR20"/>
    <mergeCell ref="R22:R24"/>
    <mergeCell ref="T22:T24"/>
    <mergeCell ref="V22:V24"/>
    <mergeCell ref="X22:X24"/>
    <mergeCell ref="Z22:Z24"/>
    <mergeCell ref="AP22:AP24"/>
    <mergeCell ref="AR22:AR24"/>
    <mergeCell ref="AT22:AT24"/>
    <mergeCell ref="AD22:AD24"/>
    <mergeCell ref="AF22:AF24"/>
    <mergeCell ref="AH22:AH24"/>
    <mergeCell ref="AJ22:AJ24"/>
    <mergeCell ref="AL22:AL24"/>
    <mergeCell ref="AN22:AN24"/>
  </mergeCells>
  <hyperlinks>
    <hyperlink ref="A8" r:id="rId1" display=" L.P.I.N  °"/>
  </hyperlinks>
  <printOptions horizontalCentered="1"/>
  <pageMargins left="0.15748031496062992" right="0.19685039370078741" top="1.1811023622047245" bottom="0.19685039370078741" header="0.51181102362204722" footer="0.51181102362204722"/>
  <pageSetup paperSize="9" scale="85" firstPageNumber="0" orientation="landscape" horizontalDpi="4294967293" verticalDpi="300" r:id="rId2"/>
  <headerFooter alignWithMargins="0"/>
  <drawing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9">
    <tabColor theme="0"/>
  </sheetPr>
  <dimension ref="A1:IV45"/>
  <sheetViews>
    <sheetView view="pageBreakPreview" topLeftCell="A12" zoomScale="95" zoomScaleNormal="75" zoomScaleSheetLayoutView="95" workbookViewId="0">
      <selection activeCell="E23" sqref="E23"/>
    </sheetView>
  </sheetViews>
  <sheetFormatPr baseColWidth="10" defaultColWidth="10.5546875" defaultRowHeight="13.2" x14ac:dyDescent="0.25"/>
  <cols>
    <col min="1" max="1" width="4.33203125" style="193" customWidth="1"/>
    <col min="2" max="2" width="11" style="193" customWidth="1"/>
    <col min="3" max="3" width="18.109375" style="193" customWidth="1"/>
    <col min="4" max="4" width="17.6640625" style="193" customWidth="1"/>
    <col min="5" max="5" width="11.44140625" style="193" customWidth="1"/>
    <col min="6" max="6" width="16" style="193" customWidth="1"/>
    <col min="7" max="7" width="14.44140625" style="193" customWidth="1"/>
    <col min="8" max="8" width="15.109375" style="193" customWidth="1"/>
    <col min="9" max="9" width="14.33203125" style="193" customWidth="1"/>
    <col min="10" max="10" width="12.33203125" style="193" customWidth="1"/>
    <col min="11" max="11" width="14.33203125" style="193" customWidth="1"/>
    <col min="12" max="12" width="14.5546875" style="193" bestFit="1" customWidth="1"/>
    <col min="13" max="13" width="12.44140625" style="193" customWidth="1"/>
    <col min="14" max="14" width="12.109375" style="193" customWidth="1"/>
    <col min="15" max="15" width="12.88671875" style="193" bestFit="1" customWidth="1"/>
    <col min="16" max="19" width="10.6640625" style="193" bestFit="1" customWidth="1"/>
    <col min="20" max="16384" width="10.5546875" style="193"/>
  </cols>
  <sheetData>
    <row r="1" spans="1:256" x14ac:dyDescent="0.25">
      <c r="A1" s="2021"/>
      <c r="B1" s="2021"/>
      <c r="C1" s="2021"/>
      <c r="D1" s="2021"/>
      <c r="E1" s="169"/>
      <c r="F1" s="169"/>
      <c r="G1" s="169"/>
      <c r="H1" s="169"/>
      <c r="I1" s="169"/>
      <c r="J1" s="169"/>
      <c r="K1" s="169"/>
      <c r="L1" s="169"/>
      <c r="M1" s="169"/>
      <c r="N1" s="169"/>
      <c r="O1" s="169"/>
      <c r="P1" s="169"/>
      <c r="Q1" s="169"/>
      <c r="R1" s="169"/>
      <c r="S1" s="169"/>
      <c r="T1" s="169"/>
      <c r="U1" s="169"/>
      <c r="V1" s="169"/>
      <c r="W1" s="169"/>
      <c r="X1" s="169"/>
      <c r="Y1" s="169"/>
      <c r="Z1" s="169"/>
      <c r="AA1" s="169"/>
      <c r="AB1" s="169"/>
      <c r="AC1" s="169"/>
      <c r="AD1" s="169"/>
      <c r="AE1" s="169"/>
      <c r="AF1" s="169"/>
      <c r="AG1" s="169"/>
      <c r="AH1" s="169"/>
      <c r="AI1" s="169"/>
      <c r="AJ1" s="169"/>
      <c r="AK1" s="169"/>
      <c r="AL1" s="169"/>
      <c r="AM1" s="169"/>
      <c r="AN1" s="169"/>
      <c r="AO1" s="169"/>
      <c r="AP1" s="169"/>
      <c r="AQ1" s="169"/>
      <c r="AR1" s="169"/>
      <c r="AS1" s="169"/>
      <c r="AT1" s="169"/>
      <c r="AU1" s="169"/>
      <c r="AV1" s="169"/>
      <c r="AW1" s="169"/>
      <c r="AX1" s="169"/>
      <c r="AY1" s="169"/>
      <c r="AZ1" s="169"/>
      <c r="BA1" s="169"/>
      <c r="BB1" s="169"/>
      <c r="BC1" s="169"/>
      <c r="BD1" s="169"/>
      <c r="BE1" s="169"/>
      <c r="BF1" s="169"/>
      <c r="BG1" s="169"/>
      <c r="BH1" s="169"/>
      <c r="BI1" s="169"/>
      <c r="BJ1" s="169"/>
      <c r="BK1" s="169"/>
      <c r="BL1" s="169"/>
      <c r="BM1" s="169"/>
      <c r="BN1" s="169"/>
      <c r="BO1" s="169"/>
      <c r="BP1" s="169"/>
      <c r="BQ1" s="169"/>
      <c r="BR1" s="169"/>
      <c r="BS1" s="169"/>
      <c r="BT1" s="169"/>
      <c r="BU1" s="169"/>
      <c r="BV1" s="169"/>
      <c r="BW1" s="169"/>
      <c r="BX1" s="169"/>
      <c r="BY1" s="169"/>
      <c r="BZ1" s="169"/>
      <c r="CA1" s="169"/>
      <c r="CB1" s="169"/>
      <c r="CC1" s="169"/>
      <c r="CD1" s="169"/>
      <c r="CE1" s="169"/>
      <c r="CF1" s="169"/>
      <c r="CG1" s="169"/>
      <c r="CH1" s="169"/>
      <c r="CI1" s="169"/>
      <c r="CJ1" s="169"/>
      <c r="CK1" s="169"/>
      <c r="CL1" s="169"/>
      <c r="CM1" s="169"/>
      <c r="CN1" s="169"/>
      <c r="CO1" s="169"/>
      <c r="CP1" s="169"/>
      <c r="CQ1" s="169"/>
      <c r="CR1" s="169"/>
      <c r="CS1" s="169"/>
      <c r="CT1" s="169"/>
      <c r="CU1" s="169"/>
      <c r="CV1" s="169"/>
      <c r="CW1" s="169"/>
      <c r="CX1" s="169"/>
      <c r="CY1" s="169"/>
      <c r="CZ1" s="169"/>
      <c r="DA1" s="169"/>
      <c r="DB1" s="169"/>
      <c r="DC1" s="169"/>
      <c r="DD1" s="169"/>
      <c r="DE1" s="169"/>
      <c r="DF1" s="169"/>
      <c r="DG1" s="169"/>
      <c r="DH1" s="169"/>
      <c r="DI1" s="169"/>
      <c r="DJ1" s="169"/>
      <c r="DK1" s="169"/>
      <c r="DL1" s="169"/>
      <c r="DM1" s="169"/>
      <c r="DN1" s="169"/>
      <c r="DO1" s="169"/>
      <c r="DP1" s="169"/>
      <c r="DQ1" s="169"/>
      <c r="DR1" s="169"/>
      <c r="DS1" s="169"/>
      <c r="DT1" s="169"/>
      <c r="DU1" s="169"/>
      <c r="DV1" s="169"/>
      <c r="DW1" s="169"/>
      <c r="DX1" s="169"/>
      <c r="DY1" s="169"/>
      <c r="DZ1" s="169"/>
      <c r="EA1" s="169"/>
      <c r="EB1" s="169"/>
      <c r="EC1" s="169"/>
      <c r="ED1" s="169"/>
      <c r="EE1" s="169"/>
      <c r="EF1" s="169"/>
      <c r="EG1" s="169"/>
      <c r="EH1" s="169"/>
      <c r="EI1" s="169"/>
      <c r="EJ1" s="169"/>
      <c r="EK1" s="169"/>
      <c r="EL1" s="169"/>
      <c r="EM1" s="169"/>
      <c r="EN1" s="169"/>
      <c r="EO1" s="169"/>
      <c r="EP1" s="169"/>
      <c r="EQ1" s="169"/>
      <c r="ER1" s="169"/>
      <c r="ES1" s="169"/>
      <c r="ET1" s="169"/>
      <c r="EU1" s="169"/>
      <c r="EV1" s="169"/>
      <c r="EW1" s="169"/>
      <c r="EX1" s="169"/>
      <c r="EY1" s="169"/>
      <c r="EZ1" s="169"/>
      <c r="FA1" s="169"/>
      <c r="FB1" s="169"/>
      <c r="FC1" s="169"/>
      <c r="FD1" s="169"/>
      <c r="FE1" s="169"/>
      <c r="FF1" s="169"/>
      <c r="FG1" s="169"/>
      <c r="FH1" s="169"/>
      <c r="FI1" s="169"/>
      <c r="FJ1" s="169"/>
      <c r="FK1" s="169"/>
      <c r="FL1" s="169"/>
      <c r="FM1" s="169"/>
      <c r="FN1" s="169"/>
      <c r="FO1" s="169"/>
      <c r="FP1" s="169"/>
      <c r="FQ1" s="169"/>
      <c r="FR1" s="169"/>
      <c r="FS1" s="169"/>
      <c r="FT1" s="169"/>
      <c r="FU1" s="169"/>
      <c r="FV1" s="169"/>
      <c r="FW1" s="169"/>
      <c r="FX1" s="169"/>
      <c r="FY1" s="169"/>
      <c r="FZ1" s="169"/>
      <c r="GA1" s="169"/>
      <c r="GB1" s="169"/>
      <c r="GC1" s="169"/>
      <c r="GD1" s="169"/>
      <c r="GE1" s="169"/>
      <c r="GF1" s="169"/>
      <c r="GG1" s="169"/>
      <c r="GH1" s="169"/>
      <c r="GI1" s="169"/>
      <c r="GJ1" s="169"/>
      <c r="GK1" s="169"/>
      <c r="GL1" s="169"/>
      <c r="GM1" s="169"/>
      <c r="GN1" s="169"/>
      <c r="GO1" s="169"/>
      <c r="GP1" s="169"/>
      <c r="GQ1" s="169"/>
      <c r="GR1" s="169"/>
      <c r="GS1" s="169"/>
      <c r="GT1" s="169"/>
      <c r="GU1" s="169"/>
      <c r="GV1" s="169"/>
      <c r="GW1" s="169"/>
      <c r="GX1" s="169"/>
      <c r="GY1" s="169"/>
      <c r="GZ1" s="169"/>
      <c r="HA1" s="169"/>
      <c r="HB1" s="169"/>
      <c r="HC1" s="169"/>
      <c r="HD1" s="169"/>
      <c r="HE1" s="169"/>
      <c r="HF1" s="169"/>
      <c r="HG1" s="169"/>
      <c r="HH1" s="169"/>
      <c r="HI1" s="169"/>
      <c r="HJ1" s="169"/>
      <c r="HK1" s="169"/>
      <c r="HL1" s="169"/>
      <c r="HM1" s="169"/>
      <c r="HN1" s="169"/>
      <c r="HO1" s="169"/>
      <c r="HP1" s="169"/>
      <c r="HQ1" s="169"/>
      <c r="HR1" s="169"/>
      <c r="HS1" s="169"/>
      <c r="HT1" s="169"/>
      <c r="HU1" s="169"/>
      <c r="HV1" s="169"/>
      <c r="HW1" s="169"/>
      <c r="HX1" s="169"/>
      <c r="HY1" s="169"/>
      <c r="HZ1" s="169"/>
      <c r="IA1" s="169"/>
      <c r="IB1" s="169"/>
      <c r="IC1" s="169"/>
      <c r="ID1" s="169"/>
      <c r="IE1" s="169"/>
      <c r="IF1" s="169"/>
      <c r="IG1" s="169"/>
      <c r="IH1" s="169"/>
      <c r="II1" s="169"/>
      <c r="IJ1" s="169"/>
      <c r="IK1" s="169"/>
      <c r="IL1" s="169"/>
      <c r="IM1" s="169"/>
      <c r="IN1" s="169"/>
      <c r="IO1" s="169"/>
      <c r="IP1" s="169"/>
      <c r="IQ1" s="169"/>
      <c r="IR1" s="169"/>
      <c r="IS1" s="169"/>
      <c r="IT1" s="169"/>
      <c r="IU1" s="169"/>
      <c r="IV1" s="169"/>
    </row>
    <row r="2" spans="1:256" ht="15.75" customHeight="1" x14ac:dyDescent="0.3">
      <c r="A2" s="2279" t="s">
        <v>64</v>
      </c>
      <c r="B2" s="2279"/>
      <c r="C2" s="2279"/>
      <c r="D2" s="2279"/>
      <c r="E2" s="2279"/>
      <c r="F2" s="2279"/>
      <c r="G2" s="2279"/>
      <c r="H2" s="2279"/>
      <c r="I2" s="2279"/>
      <c r="J2" s="2279"/>
      <c r="K2" s="2279"/>
      <c r="L2" s="169"/>
      <c r="M2" s="169"/>
      <c r="N2" s="169"/>
      <c r="O2" s="169"/>
      <c r="P2" s="169"/>
      <c r="Q2" s="169"/>
      <c r="R2" s="169"/>
      <c r="S2" s="169"/>
      <c r="T2" s="169"/>
      <c r="U2" s="169"/>
      <c r="V2" s="169"/>
      <c r="W2" s="169"/>
      <c r="X2" s="169"/>
      <c r="Y2" s="169"/>
      <c r="Z2" s="169"/>
      <c r="AA2" s="169"/>
      <c r="AB2" s="169"/>
      <c r="AC2" s="169"/>
      <c r="AD2" s="169"/>
      <c r="AE2" s="169"/>
      <c r="AF2" s="169"/>
      <c r="AG2" s="169"/>
      <c r="AH2" s="169"/>
      <c r="AI2" s="169"/>
      <c r="AJ2" s="169"/>
      <c r="AK2" s="169"/>
      <c r="AL2" s="169"/>
      <c r="AM2" s="169"/>
      <c r="AN2" s="169"/>
      <c r="AO2" s="169"/>
      <c r="AP2" s="169"/>
      <c r="AQ2" s="169"/>
      <c r="AR2" s="169"/>
      <c r="AS2" s="169"/>
      <c r="AT2" s="169"/>
      <c r="AU2" s="169"/>
      <c r="AV2" s="169"/>
      <c r="AW2" s="169"/>
      <c r="AX2" s="169"/>
      <c r="AY2" s="169"/>
      <c r="AZ2" s="169"/>
      <c r="BA2" s="169"/>
      <c r="BB2" s="169"/>
      <c r="BC2" s="169"/>
      <c r="BD2" s="169"/>
      <c r="BE2" s="169"/>
      <c r="BF2" s="169"/>
      <c r="BG2" s="169"/>
      <c r="BH2" s="169"/>
      <c r="BI2" s="169"/>
      <c r="BJ2" s="169"/>
      <c r="BK2" s="169"/>
      <c r="BL2" s="169"/>
      <c r="BM2" s="169"/>
      <c r="BN2" s="169"/>
      <c r="BO2" s="169"/>
      <c r="BP2" s="169"/>
      <c r="BQ2" s="169"/>
      <c r="BR2" s="169"/>
      <c r="BS2" s="169"/>
      <c r="BT2" s="169"/>
      <c r="BU2" s="169"/>
      <c r="BV2" s="169"/>
      <c r="BW2" s="169"/>
      <c r="BX2" s="169"/>
      <c r="BY2" s="169"/>
      <c r="BZ2" s="169"/>
      <c r="CA2" s="169"/>
      <c r="CB2" s="169"/>
      <c r="CC2" s="169"/>
      <c r="CD2" s="169"/>
      <c r="CE2" s="169"/>
      <c r="CF2" s="169"/>
      <c r="CG2" s="169"/>
      <c r="CH2" s="169"/>
      <c r="CI2" s="169"/>
      <c r="CJ2" s="169"/>
      <c r="CK2" s="169"/>
      <c r="CL2" s="169"/>
      <c r="CM2" s="169"/>
      <c r="CN2" s="169"/>
      <c r="CO2" s="169"/>
      <c r="CP2" s="169"/>
      <c r="CQ2" s="169"/>
      <c r="CR2" s="169"/>
      <c r="CS2" s="169"/>
      <c r="CT2" s="169"/>
      <c r="CU2" s="169"/>
      <c r="CV2" s="169"/>
      <c r="CW2" s="169"/>
      <c r="CX2" s="169"/>
      <c r="CY2" s="169"/>
      <c r="CZ2" s="169"/>
      <c r="DA2" s="169"/>
      <c r="DB2" s="169"/>
      <c r="DC2" s="169"/>
      <c r="DD2" s="169"/>
      <c r="DE2" s="169"/>
      <c r="DF2" s="169"/>
      <c r="DG2" s="169"/>
      <c r="DH2" s="169"/>
      <c r="DI2" s="169"/>
      <c r="DJ2" s="169"/>
      <c r="DK2" s="169"/>
      <c r="DL2" s="169"/>
      <c r="DM2" s="169"/>
      <c r="DN2" s="169"/>
      <c r="DO2" s="169"/>
      <c r="DP2" s="169"/>
      <c r="DQ2" s="169"/>
      <c r="DR2" s="169"/>
      <c r="DS2" s="169"/>
      <c r="DT2" s="169"/>
      <c r="DU2" s="169"/>
      <c r="DV2" s="169"/>
      <c r="DW2" s="169"/>
      <c r="DX2" s="169"/>
      <c r="DY2" s="169"/>
      <c r="DZ2" s="169"/>
      <c r="EA2" s="169"/>
      <c r="EB2" s="169"/>
      <c r="EC2" s="169"/>
      <c r="ED2" s="169"/>
      <c r="EE2" s="169"/>
      <c r="EF2" s="169"/>
      <c r="EG2" s="169"/>
      <c r="EH2" s="169"/>
      <c r="EI2" s="169"/>
      <c r="EJ2" s="169"/>
      <c r="EK2" s="169"/>
      <c r="EL2" s="169"/>
      <c r="EM2" s="169"/>
      <c r="EN2" s="169"/>
      <c r="EO2" s="169"/>
      <c r="EP2" s="169"/>
      <c r="EQ2" s="169"/>
      <c r="ER2" s="169"/>
      <c r="ES2" s="169"/>
      <c r="ET2" s="169"/>
      <c r="EU2" s="169"/>
      <c r="EV2" s="169"/>
      <c r="EW2" s="169"/>
      <c r="EX2" s="169"/>
      <c r="EY2" s="169"/>
      <c r="EZ2" s="169"/>
      <c r="FA2" s="169"/>
      <c r="FB2" s="169"/>
      <c r="FC2" s="169"/>
      <c r="FD2" s="169"/>
      <c r="FE2" s="169"/>
      <c r="FF2" s="169"/>
      <c r="FG2" s="169"/>
      <c r="FH2" s="169"/>
      <c r="FI2" s="169"/>
      <c r="FJ2" s="169"/>
      <c r="FK2" s="169"/>
      <c r="FL2" s="169"/>
      <c r="FM2" s="169"/>
      <c r="FN2" s="169"/>
      <c r="FO2" s="169"/>
      <c r="FP2" s="169"/>
      <c r="FQ2" s="169"/>
      <c r="FR2" s="169"/>
      <c r="FS2" s="169"/>
      <c r="FT2" s="169"/>
      <c r="FU2" s="169"/>
      <c r="FV2" s="169"/>
      <c r="FW2" s="169"/>
      <c r="FX2" s="169"/>
      <c r="FY2" s="169"/>
      <c r="FZ2" s="169"/>
      <c r="GA2" s="169"/>
      <c r="GB2" s="169"/>
      <c r="GC2" s="169"/>
      <c r="GD2" s="169"/>
      <c r="GE2" s="169"/>
      <c r="GF2" s="169"/>
      <c r="GG2" s="169"/>
      <c r="GH2" s="169"/>
      <c r="GI2" s="169"/>
      <c r="GJ2" s="169"/>
      <c r="GK2" s="169"/>
      <c r="GL2" s="169"/>
      <c r="GM2" s="169"/>
      <c r="GN2" s="169"/>
      <c r="GO2" s="169"/>
      <c r="GP2" s="169"/>
      <c r="GQ2" s="169"/>
      <c r="GR2" s="169"/>
      <c r="GS2" s="169"/>
      <c r="GT2" s="169"/>
      <c r="GU2" s="169"/>
      <c r="GV2" s="169"/>
      <c r="GW2" s="169"/>
      <c r="GX2" s="169"/>
      <c r="GY2" s="169"/>
      <c r="GZ2" s="169"/>
      <c r="HA2" s="169"/>
      <c r="HB2" s="169"/>
      <c r="HC2" s="169"/>
      <c r="HD2" s="169"/>
      <c r="HE2" s="169"/>
      <c r="HF2" s="169"/>
      <c r="HG2" s="169"/>
      <c r="HH2" s="169"/>
      <c r="HI2" s="169"/>
      <c r="HJ2" s="169"/>
      <c r="HK2" s="169"/>
      <c r="HL2" s="169"/>
      <c r="HM2" s="169"/>
      <c r="HN2" s="169"/>
      <c r="HO2" s="169"/>
      <c r="HP2" s="169"/>
      <c r="HQ2" s="169"/>
      <c r="HR2" s="169"/>
      <c r="HS2" s="169"/>
      <c r="HT2" s="169"/>
      <c r="HU2" s="169"/>
      <c r="HV2" s="169"/>
      <c r="HW2" s="169"/>
      <c r="HX2" s="169"/>
      <c r="HY2" s="169"/>
      <c r="HZ2" s="169"/>
      <c r="IA2" s="169"/>
      <c r="IB2" s="169"/>
      <c r="IC2" s="169"/>
      <c r="ID2" s="169"/>
      <c r="IE2" s="169"/>
      <c r="IF2" s="169"/>
      <c r="IG2" s="169"/>
      <c r="IH2" s="169"/>
      <c r="II2" s="169"/>
      <c r="IJ2" s="169"/>
      <c r="IK2" s="169"/>
      <c r="IL2" s="169"/>
      <c r="IM2" s="169"/>
      <c r="IN2" s="169"/>
      <c r="IO2" s="169"/>
      <c r="IP2" s="169"/>
      <c r="IQ2" s="169"/>
      <c r="IR2" s="169"/>
      <c r="IS2" s="169"/>
      <c r="IT2" s="169"/>
      <c r="IU2" s="169"/>
      <c r="IV2" s="169"/>
    </row>
    <row r="3" spans="1:256" x14ac:dyDescent="0.25">
      <c r="A3" s="2280" t="s">
        <v>65</v>
      </c>
      <c r="B3" s="2280"/>
      <c r="C3" s="2280"/>
      <c r="D3" s="2280"/>
      <c r="E3" s="2280"/>
      <c r="F3" s="2280"/>
      <c r="G3" s="2280"/>
      <c r="H3" s="2280"/>
      <c r="I3" s="2280"/>
      <c r="J3" s="2280"/>
      <c r="K3" s="2280"/>
      <c r="L3" s="169"/>
      <c r="M3" s="169"/>
      <c r="N3" s="169"/>
      <c r="O3" s="169"/>
      <c r="P3" s="169"/>
      <c r="Q3" s="169"/>
      <c r="R3" s="169"/>
      <c r="S3" s="169"/>
      <c r="T3" s="169"/>
      <c r="U3" s="169"/>
      <c r="V3" s="169"/>
      <c r="W3" s="169"/>
      <c r="X3" s="169"/>
      <c r="Y3" s="169"/>
      <c r="Z3" s="169"/>
      <c r="AA3" s="169"/>
      <c r="AB3" s="169"/>
      <c r="AC3" s="169"/>
      <c r="AD3" s="169"/>
      <c r="AE3" s="169"/>
      <c r="AF3" s="169"/>
      <c r="AG3" s="169"/>
      <c r="AH3" s="169"/>
      <c r="AI3" s="169"/>
      <c r="AJ3" s="169"/>
      <c r="AK3" s="169"/>
      <c r="AL3" s="169"/>
      <c r="AM3" s="169"/>
      <c r="AN3" s="169"/>
      <c r="AO3" s="169"/>
      <c r="AP3" s="169"/>
      <c r="AQ3" s="169"/>
      <c r="AR3" s="169"/>
      <c r="AS3" s="169"/>
      <c r="AT3" s="169"/>
      <c r="AU3" s="169"/>
      <c r="AV3" s="169"/>
      <c r="AW3" s="169"/>
      <c r="AX3" s="169"/>
      <c r="AY3" s="169"/>
      <c r="AZ3" s="169"/>
      <c r="BA3" s="169"/>
      <c r="BB3" s="169"/>
      <c r="BC3" s="169"/>
      <c r="BD3" s="169"/>
      <c r="BE3" s="169"/>
      <c r="BF3" s="169"/>
      <c r="BG3" s="169"/>
      <c r="BH3" s="169"/>
      <c r="BI3" s="169"/>
      <c r="BJ3" s="169"/>
      <c r="BK3" s="169"/>
      <c r="BL3" s="169"/>
      <c r="BM3" s="169"/>
      <c r="BN3" s="169"/>
      <c r="BO3" s="169"/>
      <c r="BP3" s="169"/>
      <c r="BQ3" s="169"/>
      <c r="BR3" s="169"/>
      <c r="BS3" s="169"/>
      <c r="BT3" s="169"/>
      <c r="BU3" s="169"/>
      <c r="BV3" s="169"/>
      <c r="BW3" s="169"/>
      <c r="BX3" s="169"/>
      <c r="BY3" s="169"/>
      <c r="BZ3" s="169"/>
      <c r="CA3" s="169"/>
      <c r="CB3" s="169"/>
      <c r="CC3" s="169"/>
      <c r="CD3" s="169"/>
      <c r="CE3" s="169"/>
      <c r="CF3" s="169"/>
      <c r="CG3" s="169"/>
      <c r="CH3" s="169"/>
      <c r="CI3" s="169"/>
      <c r="CJ3" s="169"/>
      <c r="CK3" s="169"/>
      <c r="CL3" s="169"/>
      <c r="CM3" s="169"/>
      <c r="CN3" s="169"/>
      <c r="CO3" s="169"/>
      <c r="CP3" s="169"/>
      <c r="CQ3" s="169"/>
      <c r="CR3" s="169"/>
      <c r="CS3" s="169"/>
      <c r="CT3" s="169"/>
      <c r="CU3" s="169"/>
      <c r="CV3" s="169"/>
      <c r="CW3" s="169"/>
      <c r="CX3" s="169"/>
      <c r="CY3" s="169"/>
      <c r="CZ3" s="169"/>
      <c r="DA3" s="169"/>
      <c r="DB3" s="169"/>
      <c r="DC3" s="169"/>
      <c r="DD3" s="169"/>
      <c r="DE3" s="169"/>
      <c r="DF3" s="169"/>
      <c r="DG3" s="169"/>
      <c r="DH3" s="169"/>
      <c r="DI3" s="169"/>
      <c r="DJ3" s="169"/>
      <c r="DK3" s="169"/>
      <c r="DL3" s="169"/>
      <c r="DM3" s="169"/>
      <c r="DN3" s="169"/>
      <c r="DO3" s="169"/>
      <c r="DP3" s="169"/>
      <c r="DQ3" s="169"/>
      <c r="DR3" s="169"/>
      <c r="DS3" s="169"/>
      <c r="DT3" s="169"/>
      <c r="DU3" s="169"/>
      <c r="DV3" s="169"/>
      <c r="DW3" s="169"/>
      <c r="DX3" s="169"/>
      <c r="DY3" s="169"/>
      <c r="DZ3" s="169"/>
      <c r="EA3" s="169"/>
      <c r="EB3" s="169"/>
      <c r="EC3" s="169"/>
      <c r="ED3" s="169"/>
      <c r="EE3" s="169"/>
      <c r="EF3" s="169"/>
      <c r="EG3" s="169"/>
      <c r="EH3" s="169"/>
      <c r="EI3" s="169"/>
      <c r="EJ3" s="169"/>
      <c r="EK3" s="169"/>
      <c r="EL3" s="169"/>
      <c r="EM3" s="169"/>
      <c r="EN3" s="169"/>
      <c r="EO3" s="169"/>
      <c r="EP3" s="169"/>
      <c r="EQ3" s="169"/>
      <c r="ER3" s="169"/>
      <c r="ES3" s="169"/>
      <c r="ET3" s="169"/>
      <c r="EU3" s="169"/>
      <c r="EV3" s="169"/>
      <c r="EW3" s="169"/>
      <c r="EX3" s="169"/>
      <c r="EY3" s="169"/>
      <c r="EZ3" s="169"/>
      <c r="FA3" s="169"/>
      <c r="FB3" s="169"/>
      <c r="FC3" s="169"/>
      <c r="FD3" s="169"/>
      <c r="FE3" s="169"/>
      <c r="FF3" s="169"/>
      <c r="FG3" s="169"/>
      <c r="FH3" s="169"/>
      <c r="FI3" s="169"/>
      <c r="FJ3" s="169"/>
      <c r="FK3" s="169"/>
      <c r="FL3" s="169"/>
      <c r="FM3" s="169"/>
      <c r="FN3" s="169"/>
      <c r="FO3" s="169"/>
      <c r="FP3" s="169"/>
      <c r="FQ3" s="169"/>
      <c r="FR3" s="169"/>
      <c r="FS3" s="169"/>
      <c r="FT3" s="169"/>
      <c r="FU3" s="169"/>
      <c r="FV3" s="169"/>
      <c r="FW3" s="169"/>
      <c r="FX3" s="169"/>
      <c r="FY3" s="169"/>
      <c r="FZ3" s="169"/>
      <c r="GA3" s="169"/>
      <c r="GB3" s="169"/>
      <c r="GC3" s="169"/>
      <c r="GD3" s="169"/>
      <c r="GE3" s="169"/>
      <c r="GF3" s="169"/>
      <c r="GG3" s="169"/>
      <c r="GH3" s="169"/>
      <c r="GI3" s="169"/>
      <c r="GJ3" s="169"/>
      <c r="GK3" s="169"/>
      <c r="GL3" s="169"/>
      <c r="GM3" s="169"/>
      <c r="GN3" s="169"/>
      <c r="GO3" s="169"/>
      <c r="GP3" s="169"/>
      <c r="GQ3" s="169"/>
      <c r="GR3" s="169"/>
      <c r="GS3" s="169"/>
      <c r="GT3" s="169"/>
      <c r="GU3" s="169"/>
      <c r="GV3" s="169"/>
      <c r="GW3" s="169"/>
      <c r="GX3" s="169"/>
      <c r="GY3" s="169"/>
      <c r="GZ3" s="169"/>
      <c r="HA3" s="169"/>
      <c r="HB3" s="169"/>
      <c r="HC3" s="169"/>
      <c r="HD3" s="169"/>
      <c r="HE3" s="169"/>
      <c r="HF3" s="169"/>
      <c r="HG3" s="169"/>
      <c r="HH3" s="169"/>
      <c r="HI3" s="169"/>
      <c r="HJ3" s="169"/>
      <c r="HK3" s="169"/>
      <c r="HL3" s="169"/>
      <c r="HM3" s="169"/>
      <c r="HN3" s="169"/>
      <c r="HO3" s="169"/>
      <c r="HP3" s="169"/>
      <c r="HQ3" s="169"/>
      <c r="HR3" s="169"/>
      <c r="HS3" s="169"/>
      <c r="HT3" s="169"/>
      <c r="HU3" s="169"/>
      <c r="HV3" s="169"/>
      <c r="HW3" s="169"/>
      <c r="HX3" s="169"/>
      <c r="HY3" s="169"/>
      <c r="HZ3" s="169"/>
      <c r="IA3" s="169"/>
      <c r="IB3" s="169"/>
      <c r="IC3" s="169"/>
      <c r="ID3" s="169"/>
      <c r="IE3" s="169"/>
      <c r="IF3" s="169"/>
      <c r="IG3" s="169"/>
      <c r="IH3" s="169"/>
      <c r="II3" s="169"/>
      <c r="IJ3" s="169"/>
      <c r="IK3" s="169"/>
      <c r="IL3" s="169"/>
      <c r="IM3" s="169"/>
      <c r="IN3" s="169"/>
      <c r="IO3" s="169"/>
      <c r="IP3" s="169"/>
      <c r="IQ3" s="169"/>
      <c r="IR3" s="169"/>
      <c r="IS3" s="169"/>
      <c r="IT3" s="169"/>
      <c r="IU3" s="169"/>
      <c r="IV3" s="169"/>
    </row>
    <row r="4" spans="1:256" x14ac:dyDescent="0.25">
      <c r="A4" s="295"/>
      <c r="B4" s="295"/>
      <c r="C4" s="295"/>
      <c r="D4" s="295"/>
      <c r="E4" s="295"/>
      <c r="F4" s="295"/>
      <c r="G4" s="295"/>
      <c r="H4" s="295"/>
      <c r="I4" s="295"/>
      <c r="J4" s="295"/>
      <c r="K4" s="295"/>
      <c r="L4" s="169"/>
      <c r="M4" s="169"/>
      <c r="N4" s="169"/>
      <c r="O4" s="169"/>
      <c r="P4" s="169"/>
      <c r="Q4" s="169"/>
      <c r="R4" s="169"/>
      <c r="S4" s="169"/>
      <c r="T4" s="169"/>
      <c r="U4" s="169"/>
      <c r="V4" s="169"/>
      <c r="W4" s="169"/>
      <c r="X4" s="169"/>
      <c r="Y4" s="169"/>
      <c r="Z4" s="169"/>
      <c r="AA4" s="169"/>
      <c r="AB4" s="169"/>
      <c r="AC4" s="169"/>
      <c r="AD4" s="169"/>
      <c r="AE4" s="169"/>
      <c r="AF4" s="169"/>
      <c r="AG4" s="169"/>
      <c r="AH4" s="169"/>
      <c r="AI4" s="169"/>
      <c r="AJ4" s="169"/>
      <c r="AK4" s="169"/>
      <c r="AL4" s="169"/>
      <c r="AM4" s="169"/>
      <c r="AN4" s="169"/>
      <c r="AO4" s="169"/>
      <c r="AP4" s="169"/>
      <c r="AQ4" s="169"/>
      <c r="AR4" s="169"/>
      <c r="AS4" s="169"/>
      <c r="AT4" s="169"/>
      <c r="AU4" s="169"/>
      <c r="AV4" s="169"/>
      <c r="AW4" s="169"/>
      <c r="AX4" s="169"/>
      <c r="AY4" s="169"/>
      <c r="AZ4" s="169"/>
      <c r="BA4" s="169"/>
      <c r="BB4" s="169"/>
      <c r="BC4" s="169"/>
      <c r="BD4" s="169"/>
      <c r="BE4" s="169"/>
      <c r="BF4" s="169"/>
      <c r="BG4" s="169"/>
      <c r="BH4" s="169"/>
      <c r="BI4" s="169"/>
      <c r="BJ4" s="169"/>
      <c r="BK4" s="169"/>
      <c r="BL4" s="169"/>
      <c r="BM4" s="169"/>
      <c r="BN4" s="169"/>
      <c r="BO4" s="169"/>
      <c r="BP4" s="169"/>
      <c r="BQ4" s="169"/>
      <c r="BR4" s="169"/>
      <c r="BS4" s="169"/>
      <c r="BT4" s="169"/>
      <c r="BU4" s="169"/>
      <c r="BV4" s="169"/>
      <c r="BW4" s="169"/>
      <c r="BX4" s="169"/>
      <c r="BY4" s="169"/>
      <c r="BZ4" s="169"/>
      <c r="CA4" s="169"/>
      <c r="CB4" s="169"/>
      <c r="CC4" s="169"/>
      <c r="CD4" s="169"/>
      <c r="CE4" s="169"/>
      <c r="CF4" s="169"/>
      <c r="CG4" s="169"/>
      <c r="CH4" s="169"/>
      <c r="CI4" s="169"/>
      <c r="CJ4" s="169"/>
      <c r="CK4" s="169"/>
      <c r="CL4" s="169"/>
      <c r="CM4" s="169"/>
      <c r="CN4" s="169"/>
      <c r="CO4" s="169"/>
      <c r="CP4" s="169"/>
      <c r="CQ4" s="169"/>
      <c r="CR4" s="169"/>
      <c r="CS4" s="169"/>
      <c r="CT4" s="169"/>
      <c r="CU4" s="169"/>
      <c r="CV4" s="169"/>
      <c r="CW4" s="169"/>
      <c r="CX4" s="169"/>
      <c r="CY4" s="169"/>
      <c r="CZ4" s="169"/>
      <c r="DA4" s="169"/>
      <c r="DB4" s="169"/>
      <c r="DC4" s="169"/>
      <c r="DD4" s="169"/>
      <c r="DE4" s="169"/>
      <c r="DF4" s="169"/>
      <c r="DG4" s="169"/>
      <c r="DH4" s="169"/>
      <c r="DI4" s="169"/>
      <c r="DJ4" s="169"/>
      <c r="DK4" s="169"/>
      <c r="DL4" s="169"/>
      <c r="DM4" s="169"/>
      <c r="DN4" s="169"/>
      <c r="DO4" s="169"/>
      <c r="DP4" s="169"/>
      <c r="DQ4" s="169"/>
      <c r="DR4" s="169"/>
      <c r="DS4" s="169"/>
      <c r="DT4" s="169"/>
      <c r="DU4" s="169"/>
      <c r="DV4" s="169"/>
      <c r="DW4" s="169"/>
      <c r="DX4" s="169"/>
      <c r="DY4" s="169"/>
      <c r="DZ4" s="169"/>
      <c r="EA4" s="169"/>
      <c r="EB4" s="169"/>
      <c r="EC4" s="169"/>
      <c r="ED4" s="169"/>
      <c r="EE4" s="169"/>
      <c r="EF4" s="169"/>
      <c r="EG4" s="169"/>
      <c r="EH4" s="169"/>
      <c r="EI4" s="169"/>
      <c r="EJ4" s="169"/>
      <c r="EK4" s="169"/>
      <c r="EL4" s="169"/>
      <c r="EM4" s="169"/>
      <c r="EN4" s="169"/>
      <c r="EO4" s="169"/>
      <c r="EP4" s="169"/>
      <c r="EQ4" s="169"/>
      <c r="ER4" s="169"/>
      <c r="ES4" s="169"/>
      <c r="ET4" s="169"/>
      <c r="EU4" s="169"/>
      <c r="EV4" s="169"/>
      <c r="EW4" s="169"/>
      <c r="EX4" s="169"/>
      <c r="EY4" s="169"/>
      <c r="EZ4" s="169"/>
      <c r="FA4" s="169"/>
      <c r="FB4" s="169"/>
      <c r="FC4" s="169"/>
      <c r="FD4" s="169"/>
      <c r="FE4" s="169"/>
      <c r="FF4" s="169"/>
      <c r="FG4" s="169"/>
      <c r="FH4" s="169"/>
      <c r="FI4" s="169"/>
      <c r="FJ4" s="169"/>
      <c r="FK4" s="169"/>
      <c r="FL4" s="169"/>
      <c r="FM4" s="169"/>
      <c r="FN4" s="169"/>
      <c r="FO4" s="169"/>
      <c r="FP4" s="169"/>
      <c r="FQ4" s="169"/>
      <c r="FR4" s="169"/>
      <c r="FS4" s="169"/>
      <c r="FT4" s="169"/>
      <c r="FU4" s="169"/>
      <c r="FV4" s="169"/>
      <c r="FW4" s="169"/>
      <c r="FX4" s="169"/>
      <c r="FY4" s="169"/>
      <c r="FZ4" s="169"/>
      <c r="GA4" s="169"/>
      <c r="GB4" s="169"/>
      <c r="GC4" s="169"/>
      <c r="GD4" s="169"/>
      <c r="GE4" s="169"/>
      <c r="GF4" s="169"/>
      <c r="GG4" s="169"/>
      <c r="GH4" s="169"/>
      <c r="GI4" s="169"/>
      <c r="GJ4" s="169"/>
      <c r="GK4" s="169"/>
      <c r="GL4" s="169"/>
      <c r="GM4" s="169"/>
      <c r="GN4" s="169"/>
      <c r="GO4" s="169"/>
      <c r="GP4" s="169"/>
      <c r="GQ4" s="169"/>
      <c r="GR4" s="169"/>
      <c r="GS4" s="169"/>
      <c r="GT4" s="169"/>
      <c r="GU4" s="169"/>
      <c r="GV4" s="169"/>
      <c r="GW4" s="169"/>
      <c r="GX4" s="169"/>
      <c r="GY4" s="169"/>
      <c r="GZ4" s="169"/>
      <c r="HA4" s="169"/>
      <c r="HB4" s="169"/>
      <c r="HC4" s="169"/>
      <c r="HD4" s="169"/>
      <c r="HE4" s="169"/>
      <c r="HF4" s="169"/>
      <c r="HG4" s="169"/>
      <c r="HH4" s="169"/>
      <c r="HI4" s="169"/>
      <c r="HJ4" s="169"/>
      <c r="HK4" s="169"/>
      <c r="HL4" s="169"/>
      <c r="HM4" s="169"/>
      <c r="HN4" s="169"/>
      <c r="HO4" s="169"/>
      <c r="HP4" s="169"/>
      <c r="HQ4" s="169"/>
      <c r="HR4" s="169"/>
      <c r="HS4" s="169"/>
      <c r="HT4" s="169"/>
      <c r="HU4" s="169"/>
      <c r="HV4" s="169"/>
      <c r="HW4" s="169"/>
      <c r="HX4" s="169"/>
      <c r="HY4" s="169"/>
      <c r="HZ4" s="169"/>
      <c r="IA4" s="169"/>
      <c r="IB4" s="169"/>
      <c r="IC4" s="169"/>
      <c r="ID4" s="169"/>
      <c r="IE4" s="169"/>
      <c r="IF4" s="169"/>
      <c r="IG4" s="169"/>
      <c r="IH4" s="169"/>
      <c r="II4" s="169"/>
      <c r="IJ4" s="169"/>
      <c r="IK4" s="169"/>
      <c r="IL4" s="169"/>
      <c r="IM4" s="169"/>
      <c r="IN4" s="169"/>
      <c r="IO4" s="169"/>
      <c r="IP4" s="169"/>
      <c r="IQ4" s="169"/>
      <c r="IR4" s="169"/>
      <c r="IS4" s="169"/>
      <c r="IT4" s="169"/>
      <c r="IU4" s="169"/>
      <c r="IV4" s="169"/>
    </row>
    <row r="5" spans="1:256" ht="15.6" x14ac:dyDescent="0.3">
      <c r="A5" s="2276" t="s">
        <v>66</v>
      </c>
      <c r="B5" s="2276"/>
      <c r="C5" s="2276"/>
      <c r="D5" s="2276"/>
      <c r="E5" s="2276"/>
      <c r="F5" s="2276"/>
      <c r="G5" s="2276"/>
      <c r="H5" s="2276"/>
      <c r="I5" s="2276"/>
      <c r="J5" s="2276"/>
      <c r="K5" s="2276"/>
      <c r="L5" s="169"/>
      <c r="M5" s="169"/>
      <c r="N5" s="169"/>
      <c r="O5" s="169"/>
      <c r="P5" s="169"/>
      <c r="Q5" s="169"/>
      <c r="R5" s="169"/>
      <c r="S5" s="169"/>
      <c r="T5" s="169"/>
      <c r="U5" s="169"/>
      <c r="V5" s="169"/>
      <c r="W5" s="169"/>
      <c r="X5" s="169"/>
      <c r="Y5" s="169"/>
      <c r="Z5" s="169"/>
      <c r="AA5" s="169"/>
      <c r="AB5" s="169"/>
      <c r="AC5" s="169"/>
      <c r="AD5" s="169"/>
      <c r="AE5" s="169"/>
      <c r="AF5" s="169"/>
      <c r="AG5" s="169"/>
      <c r="AH5" s="169"/>
      <c r="AI5" s="169"/>
      <c r="AJ5" s="169"/>
      <c r="AK5" s="169"/>
      <c r="AL5" s="169"/>
      <c r="AM5" s="169"/>
      <c r="AN5" s="169"/>
      <c r="AO5" s="169"/>
      <c r="AP5" s="169"/>
      <c r="AQ5" s="169"/>
      <c r="AR5" s="169"/>
      <c r="AS5" s="169"/>
      <c r="AT5" s="169"/>
      <c r="AU5" s="169"/>
      <c r="AV5" s="169"/>
      <c r="AW5" s="169"/>
      <c r="AX5" s="169"/>
      <c r="AY5" s="169"/>
      <c r="AZ5" s="169"/>
      <c r="BA5" s="169"/>
      <c r="BB5" s="169"/>
      <c r="BC5" s="169"/>
      <c r="BD5" s="169"/>
      <c r="BE5" s="169"/>
      <c r="BF5" s="169"/>
      <c r="BG5" s="169"/>
      <c r="BH5" s="169"/>
      <c r="BI5" s="169"/>
      <c r="BJ5" s="169"/>
      <c r="BK5" s="169"/>
      <c r="BL5" s="169"/>
      <c r="BM5" s="169"/>
      <c r="BN5" s="169"/>
      <c r="BO5" s="169"/>
      <c r="BP5" s="169"/>
      <c r="BQ5" s="169"/>
      <c r="BR5" s="169"/>
      <c r="BS5" s="169"/>
      <c r="BT5" s="169"/>
      <c r="BU5" s="169"/>
      <c r="BV5" s="169"/>
      <c r="BW5" s="169"/>
      <c r="BX5" s="169"/>
      <c r="BY5" s="169"/>
      <c r="BZ5" s="169"/>
      <c r="CA5" s="169"/>
      <c r="CB5" s="169"/>
      <c r="CC5" s="169"/>
      <c r="CD5" s="169"/>
      <c r="CE5" s="169"/>
      <c r="CF5" s="169"/>
      <c r="CG5" s="169"/>
      <c r="CH5" s="169"/>
      <c r="CI5" s="169"/>
      <c r="CJ5" s="169"/>
      <c r="CK5" s="169"/>
      <c r="CL5" s="169"/>
      <c r="CM5" s="169"/>
      <c r="CN5" s="169"/>
      <c r="CO5" s="169"/>
      <c r="CP5" s="169"/>
      <c r="CQ5" s="169"/>
      <c r="CR5" s="169"/>
      <c r="CS5" s="169"/>
      <c r="CT5" s="169"/>
      <c r="CU5" s="169"/>
      <c r="CV5" s="169"/>
      <c r="CW5" s="169"/>
      <c r="CX5" s="169"/>
      <c r="CY5" s="169"/>
      <c r="CZ5" s="169"/>
      <c r="DA5" s="169"/>
      <c r="DB5" s="169"/>
      <c r="DC5" s="169"/>
      <c r="DD5" s="169"/>
      <c r="DE5" s="169"/>
      <c r="DF5" s="169"/>
      <c r="DG5" s="169"/>
      <c r="DH5" s="169"/>
      <c r="DI5" s="169"/>
      <c r="DJ5" s="169"/>
      <c r="DK5" s="169"/>
      <c r="DL5" s="169"/>
      <c r="DM5" s="169"/>
      <c r="DN5" s="169"/>
      <c r="DO5" s="169"/>
      <c r="DP5" s="169"/>
      <c r="DQ5" s="169"/>
      <c r="DR5" s="169"/>
      <c r="DS5" s="169"/>
      <c r="DT5" s="169"/>
      <c r="DU5" s="169"/>
      <c r="DV5" s="169"/>
      <c r="DW5" s="169"/>
      <c r="DX5" s="169"/>
      <c r="DY5" s="169"/>
      <c r="DZ5" s="169"/>
      <c r="EA5" s="169"/>
      <c r="EB5" s="169"/>
      <c r="EC5" s="169"/>
      <c r="ED5" s="169"/>
      <c r="EE5" s="169"/>
      <c r="EF5" s="169"/>
      <c r="EG5" s="169"/>
      <c r="EH5" s="169"/>
      <c r="EI5" s="169"/>
      <c r="EJ5" s="169"/>
      <c r="EK5" s="169"/>
      <c r="EL5" s="169"/>
      <c r="EM5" s="169"/>
      <c r="EN5" s="169"/>
      <c r="EO5" s="169"/>
      <c r="EP5" s="169"/>
      <c r="EQ5" s="169"/>
      <c r="ER5" s="169"/>
      <c r="ES5" s="169"/>
      <c r="ET5" s="169"/>
      <c r="EU5" s="169"/>
      <c r="EV5" s="169"/>
      <c r="EW5" s="169"/>
      <c r="EX5" s="169"/>
      <c r="EY5" s="169"/>
      <c r="EZ5" s="169"/>
      <c r="FA5" s="169"/>
      <c r="FB5" s="169"/>
      <c r="FC5" s="169"/>
      <c r="FD5" s="169"/>
      <c r="FE5" s="169"/>
      <c r="FF5" s="169"/>
      <c r="FG5" s="169"/>
      <c r="FH5" s="169"/>
      <c r="FI5" s="169"/>
      <c r="FJ5" s="169"/>
      <c r="FK5" s="169"/>
      <c r="FL5" s="169"/>
      <c r="FM5" s="169"/>
      <c r="FN5" s="169"/>
      <c r="FO5" s="169"/>
      <c r="FP5" s="169"/>
      <c r="FQ5" s="169"/>
      <c r="FR5" s="169"/>
      <c r="FS5" s="169"/>
      <c r="FT5" s="169"/>
      <c r="FU5" s="169"/>
      <c r="FV5" s="169"/>
      <c r="FW5" s="169"/>
      <c r="FX5" s="169"/>
      <c r="FY5" s="169"/>
      <c r="FZ5" s="169"/>
      <c r="GA5" s="169"/>
      <c r="GB5" s="169"/>
      <c r="GC5" s="169"/>
      <c r="GD5" s="169"/>
      <c r="GE5" s="169"/>
      <c r="GF5" s="169"/>
      <c r="GG5" s="169"/>
      <c r="GH5" s="169"/>
      <c r="GI5" s="169"/>
      <c r="GJ5" s="169"/>
      <c r="GK5" s="169"/>
      <c r="GL5" s="169"/>
      <c r="GM5" s="169"/>
      <c r="GN5" s="169"/>
      <c r="GO5" s="169"/>
      <c r="GP5" s="169"/>
      <c r="GQ5" s="169"/>
      <c r="GR5" s="169"/>
      <c r="GS5" s="169"/>
      <c r="GT5" s="169"/>
      <c r="GU5" s="169"/>
      <c r="GV5" s="169"/>
      <c r="GW5" s="169"/>
      <c r="GX5" s="169"/>
      <c r="GY5" s="169"/>
      <c r="GZ5" s="169"/>
      <c r="HA5" s="169"/>
      <c r="HB5" s="169"/>
      <c r="HC5" s="169"/>
      <c r="HD5" s="169"/>
      <c r="HE5" s="169"/>
      <c r="HF5" s="169"/>
      <c r="HG5" s="169"/>
      <c r="HH5" s="169"/>
      <c r="HI5" s="169"/>
      <c r="HJ5" s="169"/>
      <c r="HK5" s="169"/>
      <c r="HL5" s="169"/>
      <c r="HM5" s="169"/>
      <c r="HN5" s="169"/>
      <c r="HO5" s="169"/>
      <c r="HP5" s="169"/>
      <c r="HQ5" s="169"/>
      <c r="HR5" s="169"/>
      <c r="HS5" s="169"/>
      <c r="HT5" s="169"/>
      <c r="HU5" s="169"/>
      <c r="HV5" s="169"/>
      <c r="HW5" s="169"/>
      <c r="HX5" s="169"/>
      <c r="HY5" s="169"/>
      <c r="HZ5" s="169"/>
      <c r="IA5" s="169"/>
      <c r="IB5" s="169"/>
      <c r="IC5" s="169"/>
      <c r="ID5" s="169"/>
      <c r="IE5" s="169"/>
      <c r="IF5" s="169"/>
      <c r="IG5" s="169"/>
      <c r="IH5" s="169"/>
      <c r="II5" s="169"/>
      <c r="IJ5" s="169"/>
      <c r="IK5" s="169"/>
      <c r="IL5" s="169"/>
      <c r="IM5" s="169"/>
      <c r="IN5" s="169"/>
      <c r="IO5" s="169"/>
      <c r="IP5" s="169"/>
      <c r="IQ5" s="169"/>
      <c r="IR5" s="169"/>
      <c r="IS5" s="169"/>
      <c r="IT5" s="169"/>
      <c r="IU5" s="169"/>
      <c r="IV5" s="169"/>
    </row>
    <row r="6" spans="1:256" s="169" customFormat="1" x14ac:dyDescent="0.25"/>
    <row r="7" spans="1:256" x14ac:dyDescent="0.25">
      <c r="A7" s="172" t="s">
        <v>1162</v>
      </c>
      <c r="B7" s="172"/>
      <c r="C7" s="170" t="s">
        <v>7</v>
      </c>
      <c r="D7" s="171" t="str">
        <f>CARAT_!$F$47</f>
        <v>ESPECIFICO Nº SP-2022-012</v>
      </c>
      <c r="E7" s="169"/>
      <c r="F7" s="169"/>
      <c r="G7" s="169"/>
      <c r="H7" s="169"/>
      <c r="I7" s="169"/>
      <c r="J7" s="169"/>
      <c r="K7" s="169"/>
      <c r="L7" s="169"/>
      <c r="M7" s="169"/>
      <c r="N7" s="169"/>
      <c r="O7" s="169"/>
      <c r="P7" s="169"/>
      <c r="Q7" s="169"/>
      <c r="R7" s="169"/>
      <c r="S7" s="169"/>
      <c r="T7" s="169"/>
      <c r="U7" s="169"/>
      <c r="V7" s="169"/>
      <c r="W7" s="169"/>
      <c r="X7" s="169"/>
      <c r="Y7" s="169"/>
      <c r="Z7" s="169"/>
      <c r="AA7" s="169"/>
      <c r="AB7" s="169"/>
      <c r="AC7" s="169"/>
      <c r="AD7" s="169"/>
      <c r="AE7" s="169"/>
      <c r="AF7" s="169"/>
      <c r="AG7" s="169"/>
      <c r="AH7" s="169"/>
      <c r="AI7" s="169"/>
      <c r="AJ7" s="169"/>
      <c r="AK7" s="169"/>
      <c r="AL7" s="169"/>
      <c r="AM7" s="169"/>
      <c r="AN7" s="169"/>
      <c r="AO7" s="169"/>
      <c r="AP7" s="169"/>
      <c r="AQ7" s="169"/>
      <c r="AR7" s="169"/>
      <c r="AS7" s="169"/>
      <c r="AT7" s="169"/>
      <c r="AU7" s="169"/>
      <c r="AV7" s="169"/>
      <c r="AW7" s="169"/>
      <c r="AX7" s="169"/>
      <c r="AY7" s="169"/>
      <c r="AZ7" s="169"/>
      <c r="BA7" s="169"/>
      <c r="BB7" s="169"/>
      <c r="BC7" s="169"/>
      <c r="BD7" s="169"/>
      <c r="BE7" s="169"/>
      <c r="BF7" s="169"/>
      <c r="BG7" s="169"/>
      <c r="BH7" s="169"/>
      <c r="BI7" s="169"/>
      <c r="BJ7" s="169"/>
      <c r="BK7" s="169"/>
      <c r="BL7" s="169"/>
      <c r="BM7" s="169"/>
      <c r="BN7" s="169"/>
      <c r="BO7" s="169"/>
      <c r="BP7" s="169"/>
      <c r="BQ7" s="169"/>
      <c r="BR7" s="169"/>
      <c r="BS7" s="169"/>
      <c r="BT7" s="169"/>
      <c r="BU7" s="169"/>
      <c r="BV7" s="169"/>
      <c r="BW7" s="169"/>
      <c r="BX7" s="169"/>
      <c r="BY7" s="169"/>
      <c r="BZ7" s="169"/>
      <c r="CA7" s="169"/>
      <c r="CB7" s="169"/>
      <c r="CC7" s="169"/>
      <c r="CD7" s="169"/>
      <c r="CE7" s="169"/>
      <c r="CF7" s="169"/>
      <c r="CG7" s="169"/>
      <c r="CH7" s="169"/>
      <c r="CI7" s="169"/>
      <c r="CJ7" s="169"/>
      <c r="CK7" s="169"/>
      <c r="CL7" s="169"/>
      <c r="CM7" s="169"/>
      <c r="CN7" s="169"/>
      <c r="CO7" s="169"/>
      <c r="CP7" s="169"/>
      <c r="CQ7" s="169"/>
      <c r="CR7" s="169"/>
      <c r="CS7" s="169"/>
      <c r="CT7" s="169"/>
      <c r="CU7" s="169"/>
      <c r="CV7" s="169"/>
      <c r="CW7" s="169"/>
      <c r="CX7" s="169"/>
      <c r="CY7" s="169"/>
      <c r="CZ7" s="169"/>
      <c r="DA7" s="169"/>
      <c r="DB7" s="169"/>
      <c r="DC7" s="169"/>
      <c r="DD7" s="169"/>
      <c r="DE7" s="169"/>
      <c r="DF7" s="169"/>
      <c r="DG7" s="169"/>
      <c r="DH7" s="169"/>
      <c r="DI7" s="169"/>
      <c r="DJ7" s="169"/>
      <c r="DK7" s="169"/>
      <c r="DL7" s="169"/>
      <c r="DM7" s="169"/>
      <c r="DN7" s="169"/>
      <c r="DO7" s="169"/>
      <c r="DP7" s="169"/>
      <c r="DQ7" s="169"/>
      <c r="DR7" s="169"/>
      <c r="DS7" s="169"/>
      <c r="DT7" s="169"/>
      <c r="DU7" s="169"/>
      <c r="DV7" s="169"/>
      <c r="DW7" s="169"/>
      <c r="DX7" s="169"/>
      <c r="DY7" s="169"/>
      <c r="DZ7" s="169"/>
      <c r="EA7" s="169"/>
      <c r="EB7" s="169"/>
      <c r="EC7" s="169"/>
      <c r="ED7" s="169"/>
      <c r="EE7" s="169"/>
      <c r="EF7" s="169"/>
      <c r="EG7" s="169"/>
      <c r="EH7" s="169"/>
      <c r="EI7" s="169"/>
      <c r="EJ7" s="169"/>
      <c r="EK7" s="169"/>
      <c r="EL7" s="169"/>
      <c r="EM7" s="169"/>
      <c r="EN7" s="169"/>
      <c r="EO7" s="169"/>
      <c r="EP7" s="169"/>
      <c r="EQ7" s="169"/>
      <c r="ER7" s="169"/>
      <c r="ES7" s="169"/>
      <c r="ET7" s="169"/>
      <c r="EU7" s="169"/>
      <c r="EV7" s="169"/>
      <c r="EW7" s="169"/>
      <c r="EX7" s="169"/>
      <c r="EY7" s="169"/>
      <c r="EZ7" s="169"/>
      <c r="FA7" s="169"/>
      <c r="FB7" s="169"/>
      <c r="FC7" s="169"/>
      <c r="FD7" s="169"/>
      <c r="FE7" s="169"/>
      <c r="FF7" s="169"/>
      <c r="FG7" s="169"/>
      <c r="FH7" s="169"/>
      <c r="FI7" s="169"/>
      <c r="FJ7" s="169"/>
      <c r="FK7" s="169"/>
      <c r="FL7" s="169"/>
      <c r="FM7" s="169"/>
      <c r="FN7" s="169"/>
      <c r="FO7" s="169"/>
      <c r="FP7" s="169"/>
      <c r="FQ7" s="169"/>
      <c r="FR7" s="169"/>
      <c r="FS7" s="169"/>
      <c r="FT7" s="169"/>
      <c r="FU7" s="169"/>
      <c r="FV7" s="169"/>
      <c r="FW7" s="169"/>
      <c r="FX7" s="169"/>
      <c r="FY7" s="169"/>
      <c r="FZ7" s="169"/>
      <c r="GA7" s="169"/>
      <c r="GB7" s="169"/>
      <c r="GC7" s="169"/>
      <c r="GD7" s="169"/>
      <c r="GE7" s="169"/>
      <c r="GF7" s="169"/>
      <c r="GG7" s="169"/>
      <c r="GH7" s="169"/>
      <c r="GI7" s="169"/>
      <c r="GJ7" s="169"/>
      <c r="GK7" s="169"/>
      <c r="GL7" s="169"/>
      <c r="GM7" s="169"/>
      <c r="GN7" s="169"/>
      <c r="GO7" s="169"/>
      <c r="GP7" s="169"/>
      <c r="GQ7" s="169"/>
      <c r="GR7" s="169"/>
      <c r="GS7" s="169"/>
      <c r="GT7" s="169"/>
      <c r="GU7" s="169"/>
      <c r="GV7" s="169"/>
      <c r="GW7" s="169"/>
      <c r="GX7" s="169"/>
      <c r="GY7" s="169"/>
      <c r="GZ7" s="169"/>
      <c r="HA7" s="169"/>
      <c r="HB7" s="169"/>
      <c r="HC7" s="169"/>
      <c r="HD7" s="169"/>
      <c r="HE7" s="169"/>
      <c r="HF7" s="169"/>
      <c r="HG7" s="169"/>
      <c r="HH7" s="169"/>
      <c r="HI7" s="169"/>
      <c r="HJ7" s="169"/>
      <c r="HK7" s="169"/>
      <c r="HL7" s="169"/>
      <c r="HM7" s="169"/>
      <c r="HN7" s="169"/>
      <c r="HO7" s="169"/>
      <c r="HP7" s="169"/>
      <c r="HQ7" s="169"/>
      <c r="HR7" s="169"/>
      <c r="HS7" s="169"/>
      <c r="HT7" s="169"/>
      <c r="HU7" s="169"/>
      <c r="HV7" s="169"/>
      <c r="HW7" s="169"/>
      <c r="HX7" s="169"/>
      <c r="HY7" s="169"/>
      <c r="HZ7" s="169"/>
      <c r="IA7" s="169"/>
      <c r="IB7" s="169"/>
      <c r="IC7" s="169"/>
      <c r="ID7" s="169"/>
      <c r="IE7" s="169"/>
      <c r="IF7" s="169"/>
      <c r="IG7" s="169"/>
      <c r="IH7" s="169"/>
      <c r="II7" s="169"/>
      <c r="IJ7" s="169"/>
      <c r="IK7" s="169"/>
      <c r="IL7" s="169"/>
      <c r="IM7" s="169"/>
      <c r="IN7" s="169"/>
      <c r="IO7" s="169"/>
      <c r="IP7" s="169"/>
      <c r="IQ7" s="169"/>
      <c r="IR7" s="169"/>
      <c r="IS7" s="169"/>
      <c r="IT7" s="169"/>
      <c r="IU7" s="169"/>
      <c r="IV7" s="169"/>
    </row>
    <row r="8" spans="1:256" x14ac:dyDescent="0.25">
      <c r="A8" s="172" t="s">
        <v>18</v>
      </c>
      <c r="B8" s="170"/>
      <c r="C8" s="170" t="s">
        <v>7</v>
      </c>
      <c r="D8" s="2277" t="str">
        <f>CARAT_!F48</f>
        <v>“CREACION DEL PUENTE VEHICULAR CCANCHIS SOBRE EL RIO PAMPAS, DISTRITO DE CHUNGUI - PROVINCIA LA MAR - DEPARTAMENTO AYACUCHO”.</v>
      </c>
      <c r="E8" s="2277"/>
      <c r="F8" s="2277"/>
      <c r="G8" s="2277"/>
      <c r="H8" s="2277"/>
      <c r="I8" s="2277"/>
      <c r="J8" s="2277"/>
      <c r="K8" s="2277"/>
      <c r="L8" s="169"/>
      <c r="M8" s="169"/>
      <c r="N8" s="169"/>
      <c r="O8" s="169"/>
      <c r="P8" s="169"/>
      <c r="Q8" s="169"/>
      <c r="R8" s="169"/>
      <c r="S8" s="169"/>
      <c r="T8" s="169"/>
      <c r="U8" s="169"/>
      <c r="V8" s="169"/>
      <c r="W8" s="169"/>
      <c r="X8" s="169"/>
      <c r="Y8" s="169"/>
      <c r="Z8" s="169"/>
      <c r="AA8" s="169"/>
      <c r="AB8" s="169"/>
      <c r="AC8" s="169"/>
      <c r="AD8" s="169"/>
      <c r="AE8" s="169"/>
      <c r="AF8" s="169"/>
      <c r="AG8" s="169"/>
      <c r="AH8" s="169"/>
      <c r="AI8" s="169"/>
      <c r="AJ8" s="169"/>
      <c r="AK8" s="169"/>
      <c r="AL8" s="169"/>
      <c r="AM8" s="169"/>
      <c r="AN8" s="169"/>
      <c r="AO8" s="169"/>
      <c r="AP8" s="169"/>
      <c r="AQ8" s="169"/>
      <c r="AR8" s="169"/>
      <c r="AS8" s="169"/>
      <c r="AT8" s="169"/>
      <c r="AU8" s="169"/>
      <c r="AV8" s="169"/>
      <c r="AW8" s="169"/>
      <c r="AX8" s="169"/>
      <c r="AY8" s="169"/>
      <c r="AZ8" s="169"/>
      <c r="BA8" s="169"/>
      <c r="BB8" s="169"/>
      <c r="BC8" s="169"/>
      <c r="BD8" s="169"/>
      <c r="BE8" s="169"/>
      <c r="BF8" s="169"/>
      <c r="BG8" s="169"/>
      <c r="BH8" s="169"/>
      <c r="BI8" s="169"/>
      <c r="BJ8" s="169"/>
      <c r="BK8" s="169"/>
      <c r="BL8" s="169"/>
      <c r="BM8" s="169"/>
      <c r="BN8" s="169"/>
      <c r="BO8" s="169"/>
      <c r="BP8" s="169"/>
      <c r="BQ8" s="169"/>
      <c r="BR8" s="169"/>
      <c r="BS8" s="169"/>
      <c r="BT8" s="169"/>
      <c r="BU8" s="169"/>
      <c r="BV8" s="169"/>
      <c r="BW8" s="169"/>
      <c r="BX8" s="169"/>
      <c r="BY8" s="169"/>
      <c r="BZ8" s="169"/>
      <c r="CA8" s="169"/>
      <c r="CB8" s="169"/>
      <c r="CC8" s="169"/>
      <c r="CD8" s="169"/>
      <c r="CE8" s="169"/>
      <c r="CF8" s="169"/>
      <c r="CG8" s="169"/>
      <c r="CH8" s="169"/>
      <c r="CI8" s="169"/>
      <c r="CJ8" s="169"/>
      <c r="CK8" s="169"/>
      <c r="CL8" s="169"/>
      <c r="CM8" s="169"/>
      <c r="CN8" s="169"/>
      <c r="CO8" s="169"/>
      <c r="CP8" s="169"/>
      <c r="CQ8" s="169"/>
      <c r="CR8" s="169"/>
      <c r="CS8" s="169"/>
      <c r="CT8" s="169"/>
      <c r="CU8" s="169"/>
      <c r="CV8" s="169"/>
      <c r="CW8" s="169"/>
      <c r="CX8" s="169"/>
      <c r="CY8" s="169"/>
      <c r="CZ8" s="169"/>
      <c r="DA8" s="169"/>
      <c r="DB8" s="169"/>
      <c r="DC8" s="169"/>
      <c r="DD8" s="169"/>
      <c r="DE8" s="169"/>
      <c r="DF8" s="169"/>
      <c r="DG8" s="169"/>
      <c r="DH8" s="169"/>
      <c r="DI8" s="169"/>
      <c r="DJ8" s="169"/>
      <c r="DK8" s="169"/>
      <c r="DL8" s="169"/>
      <c r="DM8" s="169"/>
      <c r="DN8" s="169"/>
      <c r="DO8" s="169"/>
      <c r="DP8" s="169"/>
      <c r="DQ8" s="169"/>
      <c r="DR8" s="169"/>
      <c r="DS8" s="169"/>
      <c r="DT8" s="169"/>
      <c r="DU8" s="169"/>
      <c r="DV8" s="169"/>
      <c r="DW8" s="169"/>
      <c r="DX8" s="169"/>
      <c r="DY8" s="169"/>
      <c r="DZ8" s="169"/>
      <c r="EA8" s="169"/>
      <c r="EB8" s="169"/>
      <c r="EC8" s="169"/>
      <c r="ED8" s="169"/>
      <c r="EE8" s="169"/>
      <c r="EF8" s="169"/>
      <c r="EG8" s="169"/>
      <c r="EH8" s="169"/>
      <c r="EI8" s="169"/>
      <c r="EJ8" s="169"/>
      <c r="EK8" s="169"/>
      <c r="EL8" s="169"/>
      <c r="EM8" s="169"/>
      <c r="EN8" s="169"/>
      <c r="EO8" s="169"/>
      <c r="EP8" s="169"/>
      <c r="EQ8" s="169"/>
      <c r="ER8" s="169"/>
      <c r="ES8" s="169"/>
      <c r="ET8" s="169"/>
      <c r="EU8" s="169"/>
      <c r="EV8" s="169"/>
      <c r="EW8" s="169"/>
      <c r="EX8" s="169"/>
      <c r="EY8" s="169"/>
      <c r="EZ8" s="169"/>
      <c r="FA8" s="169"/>
      <c r="FB8" s="169"/>
      <c r="FC8" s="169"/>
      <c r="FD8" s="169"/>
      <c r="FE8" s="169"/>
      <c r="FF8" s="169"/>
      <c r="FG8" s="169"/>
      <c r="FH8" s="169"/>
      <c r="FI8" s="169"/>
      <c r="FJ8" s="169"/>
      <c r="FK8" s="169"/>
      <c r="FL8" s="169"/>
      <c r="FM8" s="169"/>
      <c r="FN8" s="169"/>
      <c r="FO8" s="169"/>
      <c r="FP8" s="169"/>
      <c r="FQ8" s="169"/>
      <c r="FR8" s="169"/>
      <c r="FS8" s="169"/>
      <c r="FT8" s="169"/>
      <c r="FU8" s="169"/>
      <c r="FV8" s="169"/>
      <c r="FW8" s="169"/>
      <c r="FX8" s="169"/>
      <c r="FY8" s="169"/>
      <c r="FZ8" s="169"/>
      <c r="GA8" s="169"/>
      <c r="GB8" s="169"/>
      <c r="GC8" s="169"/>
      <c r="GD8" s="169"/>
      <c r="GE8" s="169"/>
      <c r="GF8" s="169"/>
      <c r="GG8" s="169"/>
      <c r="GH8" s="169"/>
      <c r="GI8" s="169"/>
      <c r="GJ8" s="169"/>
      <c r="GK8" s="169"/>
      <c r="GL8" s="169"/>
      <c r="GM8" s="169"/>
      <c r="GN8" s="169"/>
      <c r="GO8" s="169"/>
      <c r="GP8" s="169"/>
      <c r="GQ8" s="169"/>
      <c r="GR8" s="169"/>
      <c r="GS8" s="169"/>
      <c r="GT8" s="169"/>
      <c r="GU8" s="169"/>
      <c r="GV8" s="169"/>
      <c r="GW8" s="169"/>
      <c r="GX8" s="169"/>
      <c r="GY8" s="169"/>
      <c r="GZ8" s="169"/>
      <c r="HA8" s="169"/>
      <c r="HB8" s="169"/>
      <c r="HC8" s="169"/>
      <c r="HD8" s="169"/>
      <c r="HE8" s="169"/>
      <c r="HF8" s="169"/>
      <c r="HG8" s="169"/>
      <c r="HH8" s="169"/>
      <c r="HI8" s="169"/>
      <c r="HJ8" s="169"/>
      <c r="HK8" s="169"/>
      <c r="HL8" s="169"/>
      <c r="HM8" s="169"/>
      <c r="HN8" s="169"/>
      <c r="HO8" s="169"/>
      <c r="HP8" s="169"/>
      <c r="HQ8" s="169"/>
      <c r="HR8" s="169"/>
      <c r="HS8" s="169"/>
      <c r="HT8" s="169"/>
      <c r="HU8" s="169"/>
      <c r="HV8" s="169"/>
      <c r="HW8" s="169"/>
      <c r="HX8" s="169"/>
      <c r="HY8" s="169"/>
      <c r="HZ8" s="169"/>
      <c r="IA8" s="169"/>
      <c r="IB8" s="169"/>
      <c r="IC8" s="169"/>
      <c r="ID8" s="169"/>
      <c r="IE8" s="169"/>
      <c r="IF8" s="169"/>
      <c r="IG8" s="169"/>
      <c r="IH8" s="169"/>
      <c r="II8" s="169"/>
      <c r="IJ8" s="169"/>
      <c r="IK8" s="169"/>
      <c r="IL8" s="169"/>
      <c r="IM8" s="169"/>
      <c r="IN8" s="169"/>
      <c r="IO8" s="169"/>
      <c r="IP8" s="169"/>
      <c r="IQ8" s="169"/>
      <c r="IR8" s="169"/>
      <c r="IS8" s="169"/>
      <c r="IT8" s="169"/>
      <c r="IU8" s="169"/>
      <c r="IV8" s="169"/>
    </row>
    <row r="9" spans="1:256" x14ac:dyDescent="0.25">
      <c r="A9" s="172"/>
      <c r="B9" s="170"/>
      <c r="C9" s="170"/>
      <c r="D9" s="2277"/>
      <c r="E9" s="2277"/>
      <c r="F9" s="2277"/>
      <c r="G9" s="2277"/>
      <c r="H9" s="2277"/>
      <c r="I9" s="2277"/>
      <c r="J9" s="2277"/>
      <c r="K9" s="2277"/>
      <c r="L9" s="169"/>
      <c r="M9" s="169"/>
      <c r="N9" s="169"/>
      <c r="O9" s="169"/>
      <c r="P9" s="169"/>
      <c r="Q9" s="169"/>
      <c r="R9" s="169"/>
      <c r="S9" s="169"/>
      <c r="T9" s="169"/>
      <c r="U9" s="169"/>
      <c r="V9" s="169"/>
      <c r="W9" s="169"/>
      <c r="X9" s="169"/>
      <c r="Y9" s="169"/>
      <c r="Z9" s="169"/>
      <c r="AA9" s="169"/>
      <c r="AB9" s="169"/>
      <c r="AC9" s="169"/>
      <c r="AD9" s="169"/>
      <c r="AE9" s="169"/>
      <c r="AF9" s="169"/>
      <c r="AG9" s="169"/>
      <c r="AH9" s="169"/>
      <c r="AI9" s="169"/>
      <c r="AJ9" s="169"/>
      <c r="AK9" s="169"/>
      <c r="AL9" s="169"/>
      <c r="AM9" s="169"/>
      <c r="AN9" s="169"/>
      <c r="AO9" s="169"/>
      <c r="AP9" s="169"/>
      <c r="AQ9" s="169"/>
      <c r="AR9" s="169"/>
      <c r="AS9" s="169"/>
      <c r="AT9" s="169"/>
      <c r="AU9" s="169"/>
      <c r="AV9" s="169"/>
      <c r="AW9" s="169"/>
      <c r="AX9" s="169"/>
      <c r="AY9" s="169"/>
      <c r="AZ9" s="169"/>
      <c r="BA9" s="169"/>
      <c r="BB9" s="169"/>
      <c r="BC9" s="169"/>
      <c r="BD9" s="169"/>
      <c r="BE9" s="169"/>
      <c r="BF9" s="169"/>
      <c r="BG9" s="169"/>
      <c r="BH9" s="169"/>
      <c r="BI9" s="169"/>
      <c r="BJ9" s="169"/>
      <c r="BK9" s="169"/>
      <c r="BL9" s="169"/>
      <c r="BM9" s="169"/>
      <c r="BN9" s="169"/>
      <c r="BO9" s="169"/>
      <c r="BP9" s="169"/>
      <c r="BQ9" s="169"/>
      <c r="BR9" s="169"/>
      <c r="BS9" s="169"/>
      <c r="BT9" s="169"/>
      <c r="BU9" s="169"/>
      <c r="BV9" s="169"/>
      <c r="BW9" s="169"/>
      <c r="BX9" s="169"/>
      <c r="BY9" s="169"/>
      <c r="BZ9" s="169"/>
      <c r="CA9" s="169"/>
      <c r="CB9" s="169"/>
      <c r="CC9" s="169"/>
      <c r="CD9" s="169"/>
      <c r="CE9" s="169"/>
      <c r="CF9" s="169"/>
      <c r="CG9" s="169"/>
      <c r="CH9" s="169"/>
      <c r="CI9" s="169"/>
      <c r="CJ9" s="169"/>
      <c r="CK9" s="169"/>
      <c r="CL9" s="169"/>
      <c r="CM9" s="169"/>
      <c r="CN9" s="169"/>
      <c r="CO9" s="169"/>
      <c r="CP9" s="169"/>
      <c r="CQ9" s="169"/>
      <c r="CR9" s="169"/>
      <c r="CS9" s="169"/>
      <c r="CT9" s="169"/>
      <c r="CU9" s="169"/>
      <c r="CV9" s="169"/>
      <c r="CW9" s="169"/>
      <c r="CX9" s="169"/>
      <c r="CY9" s="169"/>
      <c r="CZ9" s="169"/>
      <c r="DA9" s="169"/>
      <c r="DB9" s="169"/>
      <c r="DC9" s="169"/>
      <c r="DD9" s="169"/>
      <c r="DE9" s="169"/>
      <c r="DF9" s="169"/>
      <c r="DG9" s="169"/>
      <c r="DH9" s="169"/>
      <c r="DI9" s="169"/>
      <c r="DJ9" s="169"/>
      <c r="DK9" s="169"/>
      <c r="DL9" s="169"/>
      <c r="DM9" s="169"/>
      <c r="DN9" s="169"/>
      <c r="DO9" s="169"/>
      <c r="DP9" s="169"/>
      <c r="DQ9" s="169"/>
      <c r="DR9" s="169"/>
      <c r="DS9" s="169"/>
      <c r="DT9" s="169"/>
      <c r="DU9" s="169"/>
      <c r="DV9" s="169"/>
      <c r="DW9" s="169"/>
      <c r="DX9" s="169"/>
      <c r="DY9" s="169"/>
      <c r="DZ9" s="169"/>
      <c r="EA9" s="169"/>
      <c r="EB9" s="169"/>
      <c r="EC9" s="169"/>
      <c r="ED9" s="169"/>
      <c r="EE9" s="169"/>
      <c r="EF9" s="169"/>
      <c r="EG9" s="169"/>
      <c r="EH9" s="169"/>
      <c r="EI9" s="169"/>
      <c r="EJ9" s="169"/>
      <c r="EK9" s="169"/>
      <c r="EL9" s="169"/>
      <c r="EM9" s="169"/>
      <c r="EN9" s="169"/>
      <c r="EO9" s="169"/>
      <c r="EP9" s="169"/>
      <c r="EQ9" s="169"/>
      <c r="ER9" s="169"/>
      <c r="ES9" s="169"/>
      <c r="ET9" s="169"/>
      <c r="EU9" s="169"/>
      <c r="EV9" s="169"/>
      <c r="EW9" s="169"/>
      <c r="EX9" s="169"/>
      <c r="EY9" s="169"/>
      <c r="EZ9" s="169"/>
      <c r="FA9" s="169"/>
      <c r="FB9" s="169"/>
      <c r="FC9" s="169"/>
      <c r="FD9" s="169"/>
      <c r="FE9" s="169"/>
      <c r="FF9" s="169"/>
      <c r="FG9" s="169"/>
      <c r="FH9" s="169"/>
      <c r="FI9" s="169"/>
      <c r="FJ9" s="169"/>
      <c r="FK9" s="169"/>
      <c r="FL9" s="169"/>
      <c r="FM9" s="169"/>
      <c r="FN9" s="169"/>
      <c r="FO9" s="169"/>
      <c r="FP9" s="169"/>
      <c r="FQ9" s="169"/>
      <c r="FR9" s="169"/>
      <c r="FS9" s="169"/>
      <c r="FT9" s="169"/>
      <c r="FU9" s="169"/>
      <c r="FV9" s="169"/>
      <c r="FW9" s="169"/>
      <c r="FX9" s="169"/>
      <c r="FY9" s="169"/>
      <c r="FZ9" s="169"/>
      <c r="GA9" s="169"/>
      <c r="GB9" s="169"/>
      <c r="GC9" s="169"/>
      <c r="GD9" s="169"/>
      <c r="GE9" s="169"/>
      <c r="GF9" s="169"/>
      <c r="GG9" s="169"/>
      <c r="GH9" s="169"/>
      <c r="GI9" s="169"/>
      <c r="GJ9" s="169"/>
      <c r="GK9" s="169"/>
      <c r="GL9" s="169"/>
      <c r="GM9" s="169"/>
      <c r="GN9" s="169"/>
      <c r="GO9" s="169"/>
      <c r="GP9" s="169"/>
      <c r="GQ9" s="169"/>
      <c r="GR9" s="169"/>
      <c r="GS9" s="169"/>
      <c r="GT9" s="169"/>
      <c r="GU9" s="169"/>
      <c r="GV9" s="169"/>
      <c r="GW9" s="169"/>
      <c r="GX9" s="169"/>
      <c r="GY9" s="169"/>
      <c r="GZ9" s="169"/>
      <c r="HA9" s="169"/>
      <c r="HB9" s="169"/>
      <c r="HC9" s="169"/>
      <c r="HD9" s="169"/>
      <c r="HE9" s="169"/>
      <c r="HF9" s="169"/>
      <c r="HG9" s="169"/>
      <c r="HH9" s="169"/>
      <c r="HI9" s="169"/>
      <c r="HJ9" s="169"/>
      <c r="HK9" s="169"/>
      <c r="HL9" s="169"/>
      <c r="HM9" s="169"/>
      <c r="HN9" s="169"/>
      <c r="HO9" s="169"/>
      <c r="HP9" s="169"/>
      <c r="HQ9" s="169"/>
      <c r="HR9" s="169"/>
      <c r="HS9" s="169"/>
      <c r="HT9" s="169"/>
      <c r="HU9" s="169"/>
      <c r="HV9" s="169"/>
      <c r="HW9" s="169"/>
      <c r="HX9" s="169"/>
      <c r="HY9" s="169"/>
      <c r="HZ9" s="169"/>
      <c r="IA9" s="169"/>
      <c r="IB9" s="169"/>
      <c r="IC9" s="169"/>
      <c r="ID9" s="169"/>
      <c r="IE9" s="169"/>
      <c r="IF9" s="169"/>
      <c r="IG9" s="169"/>
      <c r="IH9" s="169"/>
      <c r="II9" s="169"/>
      <c r="IJ9" s="169"/>
      <c r="IK9" s="169"/>
      <c r="IL9" s="169"/>
      <c r="IM9" s="169"/>
      <c r="IN9" s="169"/>
      <c r="IO9" s="169"/>
      <c r="IP9" s="169"/>
      <c r="IQ9" s="169"/>
      <c r="IR9" s="169"/>
      <c r="IS9" s="169"/>
      <c r="IT9" s="169"/>
      <c r="IU9" s="169"/>
      <c r="IV9" s="169"/>
    </row>
    <row r="10" spans="1:256" x14ac:dyDescent="0.25">
      <c r="A10" s="170" t="s">
        <v>1</v>
      </c>
      <c r="B10" s="170"/>
      <c r="C10" s="170" t="s">
        <v>7</v>
      </c>
      <c r="D10" s="171" t="str">
        <f>CARAT_!$F$52</f>
        <v>SIMA PERU S.A.</v>
      </c>
      <c r="E10" s="169"/>
      <c r="F10" s="169"/>
      <c r="G10" s="169"/>
      <c r="H10" s="169"/>
      <c r="I10" s="169"/>
      <c r="J10" s="169"/>
      <c r="K10" s="169"/>
      <c r="L10" s="169"/>
      <c r="M10" s="169"/>
      <c r="N10" s="169"/>
      <c r="O10" s="169"/>
      <c r="P10" s="169"/>
      <c r="Q10" s="169"/>
      <c r="R10" s="169"/>
      <c r="S10" s="169"/>
      <c r="T10" s="169"/>
      <c r="U10" s="169"/>
      <c r="V10" s="169"/>
      <c r="W10" s="169"/>
      <c r="X10" s="169"/>
      <c r="Y10" s="169"/>
      <c r="Z10" s="169"/>
      <c r="AA10" s="169"/>
      <c r="AB10" s="169"/>
      <c r="AC10" s="169"/>
      <c r="AD10" s="169"/>
      <c r="AE10" s="169"/>
      <c r="AF10" s="169"/>
      <c r="AG10" s="169"/>
      <c r="AH10" s="169"/>
      <c r="AI10" s="169"/>
      <c r="AJ10" s="169"/>
      <c r="AK10" s="169"/>
      <c r="AL10" s="169"/>
      <c r="AM10" s="169"/>
      <c r="AN10" s="169"/>
      <c r="AO10" s="169"/>
      <c r="AP10" s="169"/>
      <c r="AQ10" s="169"/>
      <c r="AR10" s="169"/>
      <c r="AS10" s="169"/>
      <c r="AT10" s="169"/>
      <c r="AU10" s="169"/>
      <c r="AV10" s="169"/>
      <c r="AW10" s="169"/>
      <c r="AX10" s="169"/>
      <c r="AY10" s="169"/>
      <c r="AZ10" s="169"/>
      <c r="BA10" s="169"/>
      <c r="BB10" s="169"/>
      <c r="BC10" s="169"/>
      <c r="BD10" s="169"/>
      <c r="BE10" s="169"/>
      <c r="BF10" s="169"/>
      <c r="BG10" s="169"/>
      <c r="BH10" s="169"/>
      <c r="BI10" s="169"/>
      <c r="BJ10" s="169"/>
      <c r="BK10" s="169"/>
      <c r="BL10" s="169"/>
      <c r="BM10" s="169"/>
      <c r="BN10" s="169"/>
      <c r="BO10" s="169"/>
      <c r="BP10" s="169"/>
      <c r="BQ10" s="169"/>
      <c r="BR10" s="169"/>
      <c r="BS10" s="169"/>
      <c r="BT10" s="169"/>
      <c r="BU10" s="169"/>
      <c r="BV10" s="169"/>
      <c r="BW10" s="169"/>
      <c r="BX10" s="169"/>
      <c r="BY10" s="169"/>
      <c r="BZ10" s="169"/>
      <c r="CA10" s="169"/>
      <c r="CB10" s="169"/>
      <c r="CC10" s="169"/>
      <c r="CD10" s="169"/>
      <c r="CE10" s="169"/>
      <c r="CF10" s="169"/>
      <c r="CG10" s="169"/>
      <c r="CH10" s="169"/>
      <c r="CI10" s="169"/>
      <c r="CJ10" s="169"/>
      <c r="CK10" s="169"/>
      <c r="CL10" s="169"/>
      <c r="CM10" s="169"/>
      <c r="CN10" s="169"/>
      <c r="CO10" s="169"/>
      <c r="CP10" s="169"/>
      <c r="CQ10" s="169"/>
      <c r="CR10" s="169"/>
      <c r="CS10" s="169"/>
      <c r="CT10" s="169"/>
      <c r="CU10" s="169"/>
      <c r="CV10" s="169"/>
      <c r="CW10" s="169"/>
      <c r="CX10" s="169"/>
      <c r="CY10" s="169"/>
      <c r="CZ10" s="169"/>
      <c r="DA10" s="169"/>
      <c r="DB10" s="169"/>
      <c r="DC10" s="169"/>
      <c r="DD10" s="169"/>
      <c r="DE10" s="169"/>
      <c r="DF10" s="169"/>
      <c r="DG10" s="169"/>
      <c r="DH10" s="169"/>
      <c r="DI10" s="169"/>
      <c r="DJ10" s="169"/>
      <c r="DK10" s="169"/>
      <c r="DL10" s="169"/>
      <c r="DM10" s="169"/>
      <c r="DN10" s="169"/>
      <c r="DO10" s="169"/>
      <c r="DP10" s="169"/>
      <c r="DQ10" s="169"/>
      <c r="DR10" s="169"/>
      <c r="DS10" s="169"/>
      <c r="DT10" s="169"/>
      <c r="DU10" s="169"/>
      <c r="DV10" s="169"/>
      <c r="DW10" s="169"/>
      <c r="DX10" s="169"/>
      <c r="DY10" s="169"/>
      <c r="DZ10" s="169"/>
      <c r="EA10" s="169"/>
      <c r="EB10" s="169"/>
      <c r="EC10" s="169"/>
      <c r="ED10" s="169"/>
      <c r="EE10" s="169"/>
      <c r="EF10" s="169"/>
      <c r="EG10" s="169"/>
      <c r="EH10" s="169"/>
      <c r="EI10" s="169"/>
      <c r="EJ10" s="169"/>
      <c r="EK10" s="169"/>
      <c r="EL10" s="169"/>
      <c r="EM10" s="169"/>
      <c r="EN10" s="169"/>
      <c r="EO10" s="169"/>
      <c r="EP10" s="169"/>
      <c r="EQ10" s="169"/>
      <c r="ER10" s="169"/>
      <c r="ES10" s="169"/>
      <c r="ET10" s="169"/>
      <c r="EU10" s="169"/>
      <c r="EV10" s="169"/>
      <c r="EW10" s="169"/>
      <c r="EX10" s="169"/>
      <c r="EY10" s="169"/>
      <c r="EZ10" s="169"/>
      <c r="FA10" s="169"/>
      <c r="FB10" s="169"/>
      <c r="FC10" s="169"/>
      <c r="FD10" s="169"/>
      <c r="FE10" s="169"/>
      <c r="FF10" s="169"/>
      <c r="FG10" s="169"/>
      <c r="FH10" s="169"/>
      <c r="FI10" s="169"/>
      <c r="FJ10" s="169"/>
      <c r="FK10" s="169"/>
      <c r="FL10" s="169"/>
      <c r="FM10" s="169"/>
      <c r="FN10" s="169"/>
      <c r="FO10" s="169"/>
      <c r="FP10" s="169"/>
      <c r="FQ10" s="169"/>
      <c r="FR10" s="169"/>
      <c r="FS10" s="169"/>
      <c r="FT10" s="169"/>
      <c r="FU10" s="169"/>
      <c r="FV10" s="169"/>
      <c r="FW10" s="169"/>
      <c r="FX10" s="169"/>
      <c r="FY10" s="169"/>
      <c r="FZ10" s="169"/>
      <c r="GA10" s="169"/>
      <c r="GB10" s="169"/>
      <c r="GC10" s="169"/>
      <c r="GD10" s="169"/>
      <c r="GE10" s="169"/>
      <c r="GF10" s="169"/>
      <c r="GG10" s="169"/>
      <c r="GH10" s="169"/>
      <c r="GI10" s="169"/>
      <c r="GJ10" s="169"/>
      <c r="GK10" s="169"/>
      <c r="GL10" s="169"/>
      <c r="GM10" s="169"/>
      <c r="GN10" s="169"/>
      <c r="GO10" s="169"/>
      <c r="GP10" s="169"/>
      <c r="GQ10" s="169"/>
      <c r="GR10" s="169"/>
      <c r="GS10" s="169"/>
      <c r="GT10" s="169"/>
      <c r="GU10" s="169"/>
      <c r="GV10" s="169"/>
      <c r="GW10" s="169"/>
      <c r="GX10" s="169"/>
      <c r="GY10" s="169"/>
      <c r="GZ10" s="169"/>
      <c r="HA10" s="169"/>
      <c r="HB10" s="169"/>
      <c r="HC10" s="169"/>
      <c r="HD10" s="169"/>
      <c r="HE10" s="169"/>
      <c r="HF10" s="169"/>
      <c r="HG10" s="169"/>
      <c r="HH10" s="169"/>
      <c r="HI10" s="169"/>
      <c r="HJ10" s="169"/>
      <c r="HK10" s="169"/>
      <c r="HL10" s="169"/>
      <c r="HM10" s="169"/>
      <c r="HN10" s="169"/>
      <c r="HO10" s="169"/>
      <c r="HP10" s="169"/>
      <c r="HQ10" s="169"/>
      <c r="HR10" s="169"/>
      <c r="HS10" s="169"/>
      <c r="HT10" s="169"/>
      <c r="HU10" s="169"/>
      <c r="HV10" s="169"/>
      <c r="HW10" s="169"/>
      <c r="HX10" s="169"/>
      <c r="HY10" s="169"/>
      <c r="HZ10" s="169"/>
      <c r="IA10" s="169"/>
      <c r="IB10" s="169"/>
      <c r="IC10" s="169"/>
      <c r="ID10" s="169"/>
      <c r="IE10" s="169"/>
      <c r="IF10" s="169"/>
      <c r="IG10" s="169"/>
      <c r="IH10" s="169"/>
      <c r="II10" s="169"/>
      <c r="IJ10" s="169"/>
      <c r="IK10" s="169"/>
      <c r="IL10" s="169"/>
      <c r="IM10" s="169"/>
      <c r="IN10" s="169"/>
      <c r="IO10" s="169"/>
      <c r="IP10" s="169"/>
      <c r="IQ10" s="169"/>
      <c r="IR10" s="169"/>
      <c r="IS10" s="169"/>
      <c r="IT10" s="169"/>
      <c r="IU10" s="169"/>
      <c r="IV10" s="169"/>
    </row>
    <row r="11" spans="1:256" x14ac:dyDescent="0.25">
      <c r="A11" s="170" t="s">
        <v>25</v>
      </c>
      <c r="B11" s="170"/>
      <c r="C11" s="170" t="s">
        <v>7</v>
      </c>
      <c r="D11" s="171" t="s">
        <v>1461</v>
      </c>
      <c r="E11" s="169"/>
      <c r="F11" s="169"/>
      <c r="G11" s="169"/>
      <c r="H11" s="169"/>
      <c r="I11" s="169"/>
      <c r="J11" s="169"/>
      <c r="K11" s="169"/>
      <c r="L11" s="169"/>
      <c r="M11" s="169"/>
      <c r="N11" s="169"/>
      <c r="O11" s="169"/>
      <c r="P11" s="169"/>
      <c r="Q11" s="169"/>
      <c r="R11" s="169"/>
      <c r="S11" s="169"/>
      <c r="T11" s="169"/>
      <c r="U11" s="169"/>
      <c r="V11" s="169"/>
      <c r="W11" s="169"/>
      <c r="X11" s="169"/>
      <c r="Y11" s="169"/>
      <c r="Z11" s="169"/>
      <c r="AA11" s="169"/>
      <c r="AB11" s="169"/>
      <c r="AC11" s="169"/>
      <c r="AD11" s="169"/>
      <c r="AE11" s="169"/>
      <c r="AF11" s="169"/>
      <c r="AG11" s="169"/>
      <c r="AH11" s="169"/>
      <c r="AI11" s="169"/>
      <c r="AJ11" s="169"/>
      <c r="AK11" s="169"/>
      <c r="AL11" s="169"/>
      <c r="AM11" s="169"/>
      <c r="AN11" s="169"/>
      <c r="AO11" s="169"/>
      <c r="AP11" s="169"/>
      <c r="AQ11" s="169"/>
      <c r="AR11" s="169"/>
      <c r="AS11" s="169"/>
      <c r="AT11" s="169"/>
      <c r="AU11" s="169"/>
      <c r="AV11" s="169"/>
      <c r="AW11" s="169"/>
      <c r="AX11" s="169"/>
      <c r="AY11" s="169"/>
      <c r="AZ11" s="169"/>
      <c r="BA11" s="169"/>
      <c r="BB11" s="169"/>
      <c r="BC11" s="169"/>
      <c r="BD11" s="169"/>
      <c r="BE11" s="169"/>
      <c r="BF11" s="169"/>
      <c r="BG11" s="169"/>
      <c r="BH11" s="169"/>
      <c r="BI11" s="169"/>
      <c r="BJ11" s="169"/>
      <c r="BK11" s="169"/>
      <c r="BL11" s="169"/>
      <c r="BM11" s="169"/>
      <c r="BN11" s="169"/>
      <c r="BO11" s="169"/>
      <c r="BP11" s="169"/>
      <c r="BQ11" s="169"/>
      <c r="BR11" s="169"/>
      <c r="BS11" s="169"/>
      <c r="BT11" s="169"/>
      <c r="BU11" s="169"/>
      <c r="BV11" s="169"/>
      <c r="BW11" s="169"/>
      <c r="BX11" s="169"/>
      <c r="BY11" s="169"/>
      <c r="BZ11" s="169"/>
      <c r="CA11" s="169"/>
      <c r="CB11" s="169"/>
      <c r="CC11" s="169"/>
      <c r="CD11" s="169"/>
      <c r="CE11" s="169"/>
      <c r="CF11" s="169"/>
      <c r="CG11" s="169"/>
      <c r="CH11" s="169"/>
      <c r="CI11" s="169"/>
      <c r="CJ11" s="169"/>
      <c r="CK11" s="169"/>
      <c r="CL11" s="169"/>
      <c r="CM11" s="169"/>
      <c r="CN11" s="169"/>
      <c r="CO11" s="169"/>
      <c r="CP11" s="169"/>
      <c r="CQ11" s="169"/>
      <c r="CR11" s="169"/>
      <c r="CS11" s="169"/>
      <c r="CT11" s="169"/>
      <c r="CU11" s="169"/>
      <c r="CV11" s="169"/>
      <c r="CW11" s="169"/>
      <c r="CX11" s="169"/>
      <c r="CY11" s="169"/>
      <c r="CZ11" s="169"/>
      <c r="DA11" s="169"/>
      <c r="DB11" s="169"/>
      <c r="DC11" s="169"/>
      <c r="DD11" s="169"/>
      <c r="DE11" s="169"/>
      <c r="DF11" s="169"/>
      <c r="DG11" s="169"/>
      <c r="DH11" s="169"/>
      <c r="DI11" s="169"/>
      <c r="DJ11" s="169"/>
      <c r="DK11" s="169"/>
      <c r="DL11" s="169"/>
      <c r="DM11" s="169"/>
      <c r="DN11" s="169"/>
      <c r="DO11" s="169"/>
      <c r="DP11" s="169"/>
      <c r="DQ11" s="169"/>
      <c r="DR11" s="169"/>
      <c r="DS11" s="169"/>
      <c r="DT11" s="169"/>
      <c r="DU11" s="169"/>
      <c r="DV11" s="169"/>
      <c r="DW11" s="169"/>
      <c r="DX11" s="169"/>
      <c r="DY11" s="169"/>
      <c r="DZ11" s="169"/>
      <c r="EA11" s="169"/>
      <c r="EB11" s="169"/>
      <c r="EC11" s="169"/>
      <c r="ED11" s="169"/>
      <c r="EE11" s="169"/>
      <c r="EF11" s="169"/>
      <c r="EG11" s="169"/>
      <c r="EH11" s="169"/>
      <c r="EI11" s="169"/>
      <c r="EJ11" s="169"/>
      <c r="EK11" s="169"/>
      <c r="EL11" s="169"/>
      <c r="EM11" s="169"/>
      <c r="EN11" s="169"/>
      <c r="EO11" s="169"/>
      <c r="EP11" s="169"/>
      <c r="EQ11" s="169"/>
      <c r="ER11" s="169"/>
      <c r="ES11" s="169"/>
      <c r="ET11" s="169"/>
      <c r="EU11" s="169"/>
      <c r="EV11" s="169"/>
      <c r="EW11" s="169"/>
      <c r="EX11" s="169"/>
      <c r="EY11" s="169"/>
      <c r="EZ11" s="169"/>
      <c r="FA11" s="169"/>
      <c r="FB11" s="169"/>
      <c r="FC11" s="169"/>
      <c r="FD11" s="169"/>
      <c r="FE11" s="169"/>
      <c r="FF11" s="169"/>
      <c r="FG11" s="169"/>
      <c r="FH11" s="169"/>
      <c r="FI11" s="169"/>
      <c r="FJ11" s="169"/>
      <c r="FK11" s="169"/>
      <c r="FL11" s="169"/>
      <c r="FM11" s="169"/>
      <c r="FN11" s="169"/>
      <c r="FO11" s="169"/>
      <c r="FP11" s="169"/>
      <c r="FQ11" s="169"/>
      <c r="FR11" s="169"/>
      <c r="FS11" s="169"/>
      <c r="FT11" s="169"/>
      <c r="FU11" s="169"/>
      <c r="FV11" s="169"/>
      <c r="FW11" s="169"/>
      <c r="FX11" s="169"/>
      <c r="FY11" s="169"/>
      <c r="FZ11" s="169"/>
      <c r="GA11" s="169"/>
      <c r="GB11" s="169"/>
      <c r="GC11" s="169"/>
      <c r="GD11" s="169"/>
      <c r="GE11" s="169"/>
      <c r="GF11" s="169"/>
      <c r="GG11" s="169"/>
      <c r="GH11" s="169"/>
      <c r="GI11" s="169"/>
      <c r="GJ11" s="169"/>
      <c r="GK11" s="169"/>
      <c r="GL11" s="169"/>
      <c r="GM11" s="169"/>
      <c r="GN11" s="169"/>
      <c r="GO11" s="169"/>
      <c r="GP11" s="169"/>
      <c r="GQ11" s="169"/>
      <c r="GR11" s="169"/>
      <c r="GS11" s="169"/>
      <c r="GT11" s="169"/>
      <c r="GU11" s="169"/>
      <c r="GV11" s="169"/>
      <c r="GW11" s="169"/>
      <c r="GX11" s="169"/>
      <c r="GY11" s="169"/>
      <c r="GZ11" s="169"/>
      <c r="HA11" s="169"/>
      <c r="HB11" s="169"/>
      <c r="HC11" s="169"/>
      <c r="HD11" s="169"/>
      <c r="HE11" s="169"/>
      <c r="HF11" s="169"/>
      <c r="HG11" s="169"/>
      <c r="HH11" s="169"/>
      <c r="HI11" s="169"/>
      <c r="HJ11" s="169"/>
      <c r="HK11" s="169"/>
      <c r="HL11" s="169"/>
      <c r="HM11" s="169"/>
      <c r="HN11" s="169"/>
      <c r="HO11" s="169"/>
      <c r="HP11" s="169"/>
      <c r="HQ11" s="169"/>
      <c r="HR11" s="169"/>
      <c r="HS11" s="169"/>
      <c r="HT11" s="169"/>
      <c r="HU11" s="169"/>
      <c r="HV11" s="169"/>
      <c r="HW11" s="169"/>
      <c r="HX11" s="169"/>
      <c r="HY11" s="169"/>
      <c r="HZ11" s="169"/>
      <c r="IA11" s="169"/>
      <c r="IB11" s="169"/>
      <c r="IC11" s="169"/>
      <c r="ID11" s="169"/>
      <c r="IE11" s="169"/>
      <c r="IF11" s="169"/>
      <c r="IG11" s="169"/>
      <c r="IH11" s="169"/>
      <c r="II11" s="169"/>
      <c r="IJ11" s="169"/>
      <c r="IK11" s="169"/>
      <c r="IL11" s="169"/>
      <c r="IM11" s="169"/>
      <c r="IN11" s="169"/>
      <c r="IO11" s="169"/>
      <c r="IP11" s="169"/>
      <c r="IQ11" s="169"/>
      <c r="IR11" s="169"/>
      <c r="IS11" s="169"/>
      <c r="IT11" s="169"/>
      <c r="IU11" s="169"/>
      <c r="IV11" s="169"/>
    </row>
    <row r="12" spans="1:256" x14ac:dyDescent="0.25">
      <c r="A12" s="170" t="s">
        <v>3</v>
      </c>
      <c r="B12" s="170"/>
      <c r="C12" s="170" t="s">
        <v>7</v>
      </c>
      <c r="D12" s="171" t="str">
        <f>CARAT_!$F$54</f>
        <v>MES DE DICIEMBRE DE 2022</v>
      </c>
      <c r="E12" s="169"/>
      <c r="F12" s="169"/>
      <c r="G12" s="169"/>
      <c r="H12" s="169"/>
      <c r="I12" s="169"/>
      <c r="J12" s="169"/>
      <c r="K12" s="169"/>
      <c r="L12" s="169"/>
      <c r="M12" s="169"/>
      <c r="N12" s="169"/>
      <c r="O12" s="169"/>
      <c r="P12" s="169"/>
      <c r="Q12" s="169"/>
      <c r="R12" s="169"/>
      <c r="S12" s="169"/>
      <c r="T12" s="169"/>
      <c r="U12" s="169"/>
      <c r="V12" s="169"/>
      <c r="W12" s="169"/>
      <c r="X12" s="169"/>
      <c r="Y12" s="169"/>
      <c r="Z12" s="169"/>
      <c r="AA12" s="169"/>
      <c r="AB12" s="169"/>
      <c r="AC12" s="169"/>
      <c r="AD12" s="169"/>
      <c r="AE12" s="169"/>
      <c r="AF12" s="169"/>
      <c r="AG12" s="169"/>
      <c r="AH12" s="169"/>
      <c r="AI12" s="169"/>
      <c r="AJ12" s="169"/>
      <c r="AK12" s="169"/>
      <c r="AL12" s="169"/>
      <c r="AM12" s="169"/>
      <c r="AN12" s="169"/>
      <c r="AO12" s="169"/>
      <c r="AP12" s="169"/>
      <c r="AQ12" s="169"/>
      <c r="AR12" s="169"/>
      <c r="AS12" s="169"/>
      <c r="AT12" s="169"/>
      <c r="AU12" s="169"/>
      <c r="AV12" s="169"/>
      <c r="AW12" s="169"/>
      <c r="AX12" s="169"/>
      <c r="AY12" s="169"/>
      <c r="AZ12" s="169"/>
      <c r="BA12" s="169"/>
      <c r="BB12" s="169"/>
      <c r="BC12" s="169"/>
      <c r="BD12" s="169"/>
      <c r="BE12" s="169"/>
      <c r="BF12" s="169"/>
      <c r="BG12" s="169"/>
      <c r="BH12" s="169"/>
      <c r="BI12" s="169"/>
      <c r="BJ12" s="169"/>
      <c r="BK12" s="169"/>
      <c r="BL12" s="169"/>
      <c r="BM12" s="169"/>
      <c r="BN12" s="169"/>
      <c r="BO12" s="169"/>
      <c r="BP12" s="169"/>
      <c r="BQ12" s="169"/>
      <c r="BR12" s="169"/>
      <c r="BS12" s="169"/>
      <c r="BT12" s="169"/>
      <c r="BU12" s="169"/>
      <c r="BV12" s="169"/>
      <c r="BW12" s="169"/>
      <c r="BX12" s="169"/>
      <c r="BY12" s="169"/>
      <c r="BZ12" s="169"/>
      <c r="CA12" s="169"/>
      <c r="CB12" s="169"/>
      <c r="CC12" s="169"/>
      <c r="CD12" s="169"/>
      <c r="CE12" s="169"/>
      <c r="CF12" s="169"/>
      <c r="CG12" s="169"/>
      <c r="CH12" s="169"/>
      <c r="CI12" s="169"/>
      <c r="CJ12" s="169"/>
      <c r="CK12" s="169"/>
      <c r="CL12" s="169"/>
      <c r="CM12" s="169"/>
      <c r="CN12" s="169"/>
      <c r="CO12" s="169"/>
      <c r="CP12" s="169"/>
      <c r="CQ12" s="169"/>
      <c r="CR12" s="169"/>
      <c r="CS12" s="169"/>
      <c r="CT12" s="169"/>
      <c r="CU12" s="169"/>
      <c r="CV12" s="169"/>
      <c r="CW12" s="169"/>
      <c r="CX12" s="169"/>
      <c r="CY12" s="169"/>
      <c r="CZ12" s="169"/>
      <c r="DA12" s="169"/>
      <c r="DB12" s="169"/>
      <c r="DC12" s="169"/>
      <c r="DD12" s="169"/>
      <c r="DE12" s="169"/>
      <c r="DF12" s="169"/>
      <c r="DG12" s="169"/>
      <c r="DH12" s="169"/>
      <c r="DI12" s="169"/>
      <c r="DJ12" s="169"/>
      <c r="DK12" s="169"/>
      <c r="DL12" s="169"/>
      <c r="DM12" s="169"/>
      <c r="DN12" s="169"/>
      <c r="DO12" s="169"/>
      <c r="DP12" s="169"/>
      <c r="DQ12" s="169"/>
      <c r="DR12" s="169"/>
      <c r="DS12" s="169"/>
      <c r="DT12" s="169"/>
      <c r="DU12" s="169"/>
      <c r="DV12" s="169"/>
      <c r="DW12" s="169"/>
      <c r="DX12" s="169"/>
      <c r="DY12" s="169"/>
      <c r="DZ12" s="169"/>
      <c r="EA12" s="169"/>
      <c r="EB12" s="169"/>
      <c r="EC12" s="169"/>
      <c r="ED12" s="169"/>
      <c r="EE12" s="169"/>
      <c r="EF12" s="169"/>
      <c r="EG12" s="169"/>
      <c r="EH12" s="169"/>
      <c r="EI12" s="169"/>
      <c r="EJ12" s="169"/>
      <c r="EK12" s="169"/>
      <c r="EL12" s="169"/>
      <c r="EM12" s="169"/>
      <c r="EN12" s="169"/>
      <c r="EO12" s="169"/>
      <c r="EP12" s="169"/>
      <c r="EQ12" s="169"/>
      <c r="ER12" s="169"/>
      <c r="ES12" s="169"/>
      <c r="ET12" s="169"/>
      <c r="EU12" s="169"/>
      <c r="EV12" s="169"/>
      <c r="EW12" s="169"/>
      <c r="EX12" s="169"/>
      <c r="EY12" s="169"/>
      <c r="EZ12" s="169"/>
      <c r="FA12" s="169"/>
      <c r="FB12" s="169"/>
      <c r="FC12" s="169"/>
      <c r="FD12" s="169"/>
      <c r="FE12" s="169"/>
      <c r="FF12" s="169"/>
      <c r="FG12" s="169"/>
      <c r="FH12" s="169"/>
      <c r="FI12" s="169"/>
      <c r="FJ12" s="169"/>
      <c r="FK12" s="169"/>
      <c r="FL12" s="169"/>
      <c r="FM12" s="169"/>
      <c r="FN12" s="169"/>
      <c r="FO12" s="169"/>
      <c r="FP12" s="169"/>
      <c r="FQ12" s="169"/>
      <c r="FR12" s="169"/>
      <c r="FS12" s="169"/>
      <c r="FT12" s="169"/>
      <c r="FU12" s="169"/>
      <c r="FV12" s="169"/>
      <c r="FW12" s="169"/>
      <c r="FX12" s="169"/>
      <c r="FY12" s="169"/>
      <c r="FZ12" s="169"/>
      <c r="GA12" s="169"/>
      <c r="GB12" s="169"/>
      <c r="GC12" s="169"/>
      <c r="GD12" s="169"/>
      <c r="GE12" s="169"/>
      <c r="GF12" s="169"/>
      <c r="GG12" s="169"/>
      <c r="GH12" s="169"/>
      <c r="GI12" s="169"/>
      <c r="GJ12" s="169"/>
      <c r="GK12" s="169"/>
      <c r="GL12" s="169"/>
      <c r="GM12" s="169"/>
      <c r="GN12" s="169"/>
      <c r="GO12" s="169"/>
      <c r="GP12" s="169"/>
      <c r="GQ12" s="169"/>
      <c r="GR12" s="169"/>
      <c r="GS12" s="169"/>
      <c r="GT12" s="169"/>
      <c r="GU12" s="169"/>
      <c r="GV12" s="169"/>
      <c r="GW12" s="169"/>
      <c r="GX12" s="169"/>
      <c r="GY12" s="169"/>
      <c r="GZ12" s="169"/>
      <c r="HA12" s="169"/>
      <c r="HB12" s="169"/>
      <c r="HC12" s="169"/>
      <c r="HD12" s="169"/>
      <c r="HE12" s="169"/>
      <c r="HF12" s="169"/>
      <c r="HG12" s="169"/>
      <c r="HH12" s="169"/>
      <c r="HI12" s="169"/>
      <c r="HJ12" s="169"/>
      <c r="HK12" s="169"/>
      <c r="HL12" s="169"/>
      <c r="HM12" s="169"/>
      <c r="HN12" s="169"/>
      <c r="HO12" s="169"/>
      <c r="HP12" s="169"/>
      <c r="HQ12" s="169"/>
      <c r="HR12" s="169"/>
      <c r="HS12" s="169"/>
      <c r="HT12" s="169"/>
      <c r="HU12" s="169"/>
      <c r="HV12" s="169"/>
      <c r="HW12" s="169"/>
      <c r="HX12" s="169"/>
      <c r="HY12" s="169"/>
      <c r="HZ12" s="169"/>
      <c r="IA12" s="169"/>
      <c r="IB12" s="169"/>
      <c r="IC12" s="169"/>
      <c r="ID12" s="169"/>
      <c r="IE12" s="169"/>
      <c r="IF12" s="169"/>
      <c r="IG12" s="169"/>
      <c r="IH12" s="169"/>
      <c r="II12" s="169"/>
      <c r="IJ12" s="169"/>
      <c r="IK12" s="169"/>
      <c r="IL12" s="169"/>
      <c r="IM12" s="169"/>
      <c r="IN12" s="169"/>
      <c r="IO12" s="169"/>
      <c r="IP12" s="169"/>
      <c r="IQ12" s="169"/>
      <c r="IR12" s="169"/>
      <c r="IS12" s="169"/>
      <c r="IT12" s="169"/>
      <c r="IU12" s="169"/>
      <c r="IV12" s="169"/>
    </row>
    <row r="13" spans="1:256" s="169" customFormat="1" ht="13.8" thickBot="1" x14ac:dyDescent="0.3"/>
    <row r="14" spans="1:256" x14ac:dyDescent="0.25">
      <c r="A14" s="310"/>
      <c r="B14" s="311"/>
      <c r="C14" s="2278" t="s">
        <v>21</v>
      </c>
      <c r="D14" s="2278"/>
      <c r="E14" s="311"/>
      <c r="F14" s="2278" t="s">
        <v>122</v>
      </c>
      <c r="G14" s="2278"/>
      <c r="H14" s="312" t="s">
        <v>122</v>
      </c>
      <c r="I14" s="2278" t="s">
        <v>42</v>
      </c>
      <c r="J14" s="2278"/>
      <c r="K14" s="313" t="s">
        <v>122</v>
      </c>
      <c r="L14" s="169"/>
      <c r="M14" s="169"/>
      <c r="N14" s="169"/>
      <c r="O14" s="169"/>
      <c r="P14" s="169"/>
      <c r="Q14" s="169"/>
      <c r="R14" s="169"/>
      <c r="S14" s="169"/>
      <c r="T14" s="169"/>
      <c r="U14" s="169"/>
      <c r="V14" s="169"/>
      <c r="W14" s="169"/>
      <c r="X14" s="169"/>
      <c r="Y14" s="169"/>
      <c r="Z14" s="169"/>
      <c r="AA14" s="169"/>
      <c r="AB14" s="169"/>
      <c r="AC14" s="169"/>
      <c r="AD14" s="169"/>
      <c r="AE14" s="169"/>
      <c r="AF14" s="169"/>
      <c r="AG14" s="169"/>
      <c r="AH14" s="169"/>
      <c r="AI14" s="169"/>
      <c r="AJ14" s="169"/>
      <c r="AK14" s="169"/>
      <c r="AL14" s="169"/>
      <c r="AM14" s="169"/>
      <c r="AN14" s="169"/>
      <c r="AO14" s="169"/>
      <c r="AP14" s="169"/>
      <c r="AQ14" s="169"/>
      <c r="AR14" s="169"/>
      <c r="AS14" s="169"/>
      <c r="AT14" s="169"/>
      <c r="AU14" s="169"/>
      <c r="AV14" s="169"/>
      <c r="AW14" s="169"/>
      <c r="AX14" s="169"/>
      <c r="AY14" s="169"/>
      <c r="AZ14" s="169"/>
      <c r="BA14" s="169"/>
      <c r="BB14" s="169"/>
      <c r="BC14" s="169"/>
      <c r="BD14" s="169"/>
      <c r="BE14" s="169"/>
      <c r="BF14" s="169"/>
      <c r="BG14" s="169"/>
      <c r="BH14" s="169"/>
      <c r="BI14" s="169"/>
      <c r="BJ14" s="169"/>
      <c r="BK14" s="169"/>
      <c r="BL14" s="169"/>
      <c r="BM14" s="169"/>
      <c r="BN14" s="169"/>
      <c r="BO14" s="169"/>
      <c r="BP14" s="169"/>
      <c r="BQ14" s="169"/>
      <c r="BR14" s="169"/>
      <c r="BS14" s="169"/>
      <c r="BT14" s="169"/>
      <c r="BU14" s="169"/>
      <c r="BV14" s="169"/>
      <c r="BW14" s="169"/>
      <c r="BX14" s="169"/>
      <c r="BY14" s="169"/>
      <c r="BZ14" s="169"/>
      <c r="CA14" s="169"/>
      <c r="CB14" s="169"/>
      <c r="CC14" s="169"/>
      <c r="CD14" s="169"/>
      <c r="CE14" s="169"/>
      <c r="CF14" s="169"/>
      <c r="CG14" s="169"/>
      <c r="CH14" s="169"/>
      <c r="CI14" s="169"/>
      <c r="CJ14" s="169"/>
      <c r="CK14" s="169"/>
      <c r="CL14" s="169"/>
      <c r="CM14" s="169"/>
      <c r="CN14" s="169"/>
      <c r="CO14" s="169"/>
      <c r="CP14" s="169"/>
      <c r="CQ14" s="169"/>
      <c r="CR14" s="169"/>
      <c r="CS14" s="169"/>
      <c r="CT14" s="169"/>
      <c r="CU14" s="169"/>
      <c r="CV14" s="169"/>
      <c r="CW14" s="169"/>
      <c r="CX14" s="169"/>
      <c r="CY14" s="169"/>
      <c r="CZ14" s="169"/>
      <c r="DA14" s="169"/>
      <c r="DB14" s="169"/>
      <c r="DC14" s="169"/>
      <c r="DD14" s="169"/>
      <c r="DE14" s="169"/>
      <c r="DF14" s="169"/>
      <c r="DG14" s="169"/>
      <c r="DH14" s="169"/>
      <c r="DI14" s="169"/>
      <c r="DJ14" s="169"/>
      <c r="DK14" s="169"/>
      <c r="DL14" s="169"/>
      <c r="DM14" s="169"/>
      <c r="DN14" s="169"/>
      <c r="DO14" s="169"/>
      <c r="DP14" s="169"/>
      <c r="DQ14" s="169"/>
      <c r="DR14" s="169"/>
      <c r="DS14" s="169"/>
      <c r="DT14" s="169"/>
      <c r="DU14" s="169"/>
      <c r="DV14" s="169"/>
      <c r="DW14" s="169"/>
      <c r="DX14" s="169"/>
      <c r="DY14" s="169"/>
      <c r="DZ14" s="169"/>
      <c r="EA14" s="169"/>
      <c r="EB14" s="169"/>
      <c r="EC14" s="169"/>
      <c r="ED14" s="169"/>
      <c r="EE14" s="169"/>
      <c r="EF14" s="169"/>
      <c r="EG14" s="169"/>
      <c r="EH14" s="169"/>
      <c r="EI14" s="169"/>
      <c r="EJ14" s="169"/>
      <c r="EK14" s="169"/>
      <c r="EL14" s="169"/>
      <c r="EM14" s="169"/>
      <c r="EN14" s="169"/>
      <c r="EO14" s="169"/>
      <c r="EP14" s="169"/>
      <c r="EQ14" s="169"/>
      <c r="ER14" s="169"/>
      <c r="ES14" s="169"/>
      <c r="ET14" s="169"/>
      <c r="EU14" s="169"/>
      <c r="EV14" s="169"/>
      <c r="EW14" s="169"/>
      <c r="EX14" s="169"/>
      <c r="EY14" s="169"/>
      <c r="EZ14" s="169"/>
      <c r="FA14" s="169"/>
      <c r="FB14" s="169"/>
      <c r="FC14" s="169"/>
      <c r="FD14" s="169"/>
      <c r="FE14" s="169"/>
      <c r="FF14" s="169"/>
      <c r="FG14" s="169"/>
      <c r="FH14" s="169"/>
      <c r="FI14" s="169"/>
      <c r="FJ14" s="169"/>
      <c r="FK14" s="169"/>
      <c r="FL14" s="169"/>
      <c r="FM14" s="169"/>
      <c r="FN14" s="169"/>
      <c r="FO14" s="169"/>
      <c r="FP14" s="169"/>
      <c r="FQ14" s="169"/>
      <c r="FR14" s="169"/>
      <c r="FS14" s="169"/>
      <c r="FT14" s="169"/>
      <c r="FU14" s="169"/>
      <c r="FV14" s="169"/>
      <c r="FW14" s="169"/>
      <c r="FX14" s="169"/>
      <c r="FY14" s="169"/>
      <c r="FZ14" s="169"/>
      <c r="GA14" s="169"/>
      <c r="GB14" s="169"/>
      <c r="GC14" s="169"/>
      <c r="GD14" s="169"/>
      <c r="GE14" s="169"/>
      <c r="GF14" s="169"/>
      <c r="GG14" s="169"/>
      <c r="GH14" s="169"/>
      <c r="GI14" s="169"/>
      <c r="GJ14" s="169"/>
      <c r="GK14" s="169"/>
      <c r="GL14" s="169"/>
      <c r="GM14" s="169"/>
      <c r="GN14" s="169"/>
      <c r="GO14" s="169"/>
      <c r="GP14" s="169"/>
      <c r="GQ14" s="169"/>
      <c r="GR14" s="169"/>
      <c r="GS14" s="169"/>
      <c r="GT14" s="169"/>
      <c r="GU14" s="169"/>
      <c r="GV14" s="169"/>
      <c r="GW14" s="169"/>
      <c r="GX14" s="169"/>
      <c r="GY14" s="169"/>
      <c r="GZ14" s="169"/>
      <c r="HA14" s="169"/>
      <c r="HB14" s="169"/>
      <c r="HC14" s="169"/>
      <c r="HD14" s="169"/>
      <c r="HE14" s="169"/>
      <c r="HF14" s="169"/>
      <c r="HG14" s="169"/>
      <c r="HH14" s="169"/>
      <c r="HI14" s="169"/>
      <c r="HJ14" s="169"/>
      <c r="HK14" s="169"/>
      <c r="HL14" s="169"/>
      <c r="HM14" s="169"/>
      <c r="HN14" s="169"/>
      <c r="HO14" s="169"/>
      <c r="HP14" s="169"/>
      <c r="HQ14" s="169"/>
      <c r="HR14" s="169"/>
      <c r="HS14" s="169"/>
      <c r="HT14" s="169"/>
      <c r="HU14" s="169"/>
      <c r="HV14" s="169"/>
      <c r="HW14" s="169"/>
      <c r="HX14" s="169"/>
      <c r="HY14" s="169"/>
      <c r="HZ14" s="169"/>
      <c r="IA14" s="169"/>
      <c r="IB14" s="169"/>
      <c r="IC14" s="169"/>
      <c r="ID14" s="169"/>
      <c r="IE14" s="169"/>
      <c r="IF14" s="169"/>
      <c r="IG14" s="169"/>
      <c r="IH14" s="169"/>
      <c r="II14" s="169"/>
      <c r="IJ14" s="169"/>
      <c r="IK14" s="169"/>
      <c r="IL14" s="169"/>
      <c r="IM14" s="169"/>
      <c r="IN14" s="169"/>
      <c r="IO14" s="169"/>
      <c r="IP14" s="169"/>
      <c r="IQ14" s="169"/>
      <c r="IR14" s="169"/>
      <c r="IS14" s="169"/>
      <c r="IT14" s="169"/>
      <c r="IU14" s="169"/>
      <c r="IV14" s="169"/>
    </row>
    <row r="15" spans="1:256" x14ac:dyDescent="0.25">
      <c r="A15" s="314" t="s">
        <v>43</v>
      </c>
      <c r="B15" s="315" t="s">
        <v>44</v>
      </c>
      <c r="C15" s="316"/>
      <c r="D15" s="317"/>
      <c r="E15" s="315" t="s">
        <v>68</v>
      </c>
      <c r="F15" s="316"/>
      <c r="G15" s="317"/>
      <c r="H15" s="315" t="s">
        <v>69</v>
      </c>
      <c r="I15" s="316"/>
      <c r="J15" s="317"/>
      <c r="K15" s="318" t="s">
        <v>70</v>
      </c>
      <c r="L15" s="169"/>
      <c r="M15" s="169"/>
      <c r="N15" s="169"/>
      <c r="O15" s="169"/>
      <c r="P15" s="169"/>
      <c r="Q15" s="169"/>
      <c r="R15" s="169"/>
      <c r="S15" s="169"/>
      <c r="T15" s="169"/>
      <c r="U15" s="169"/>
      <c r="V15" s="169"/>
      <c r="W15" s="169"/>
      <c r="X15" s="169"/>
      <c r="Y15" s="169"/>
      <c r="Z15" s="169"/>
      <c r="AA15" s="169"/>
      <c r="AB15" s="169"/>
      <c r="AC15" s="169"/>
      <c r="AD15" s="169"/>
      <c r="AE15" s="169"/>
      <c r="AF15" s="169"/>
      <c r="AG15" s="169"/>
      <c r="AH15" s="169"/>
      <c r="AI15" s="169"/>
      <c r="AJ15" s="169"/>
      <c r="AK15" s="169"/>
      <c r="AL15" s="169"/>
      <c r="AM15" s="169"/>
      <c r="AN15" s="169"/>
      <c r="AO15" s="169"/>
      <c r="AP15" s="169"/>
      <c r="AQ15" s="169"/>
      <c r="AR15" s="169"/>
      <c r="AS15" s="169"/>
      <c r="AT15" s="169"/>
      <c r="AU15" s="169"/>
      <c r="AV15" s="169"/>
      <c r="AW15" s="169"/>
      <c r="AX15" s="169"/>
      <c r="AY15" s="169"/>
      <c r="AZ15" s="169"/>
      <c r="BA15" s="169"/>
      <c r="BB15" s="169"/>
      <c r="BC15" s="169"/>
      <c r="BD15" s="169"/>
      <c r="BE15" s="169"/>
      <c r="BF15" s="169"/>
      <c r="BG15" s="169"/>
      <c r="BH15" s="169"/>
      <c r="BI15" s="169"/>
      <c r="BJ15" s="169"/>
      <c r="BK15" s="169"/>
      <c r="BL15" s="169"/>
      <c r="BM15" s="169"/>
      <c r="BN15" s="169"/>
      <c r="BO15" s="169"/>
      <c r="BP15" s="169"/>
      <c r="BQ15" s="169"/>
      <c r="BR15" s="169"/>
      <c r="BS15" s="169"/>
      <c r="BT15" s="169"/>
      <c r="BU15" s="169"/>
      <c r="BV15" s="169"/>
      <c r="BW15" s="169"/>
      <c r="BX15" s="169"/>
      <c r="BY15" s="169"/>
      <c r="BZ15" s="169"/>
      <c r="CA15" s="169"/>
      <c r="CB15" s="169"/>
      <c r="CC15" s="169"/>
      <c r="CD15" s="169"/>
      <c r="CE15" s="169"/>
      <c r="CF15" s="169"/>
      <c r="CG15" s="169"/>
      <c r="CH15" s="169"/>
      <c r="CI15" s="169"/>
      <c r="CJ15" s="169"/>
      <c r="CK15" s="169"/>
      <c r="CL15" s="169"/>
      <c r="CM15" s="169"/>
      <c r="CN15" s="169"/>
      <c r="CO15" s="169"/>
      <c r="CP15" s="169"/>
      <c r="CQ15" s="169"/>
      <c r="CR15" s="169"/>
      <c r="CS15" s="169"/>
      <c r="CT15" s="169"/>
      <c r="CU15" s="169"/>
      <c r="CV15" s="169"/>
      <c r="CW15" s="169"/>
      <c r="CX15" s="169"/>
      <c r="CY15" s="169"/>
      <c r="CZ15" s="169"/>
      <c r="DA15" s="169"/>
      <c r="DB15" s="169"/>
      <c r="DC15" s="169"/>
      <c r="DD15" s="169"/>
      <c r="DE15" s="169"/>
      <c r="DF15" s="169"/>
      <c r="DG15" s="169"/>
      <c r="DH15" s="169"/>
      <c r="DI15" s="169"/>
      <c r="DJ15" s="169"/>
      <c r="DK15" s="169"/>
      <c r="DL15" s="169"/>
      <c r="DM15" s="169"/>
      <c r="DN15" s="169"/>
      <c r="DO15" s="169"/>
      <c r="DP15" s="169"/>
      <c r="DQ15" s="169"/>
      <c r="DR15" s="169"/>
      <c r="DS15" s="169"/>
      <c r="DT15" s="169"/>
      <c r="DU15" s="169"/>
      <c r="DV15" s="169"/>
      <c r="DW15" s="169"/>
      <c r="DX15" s="169"/>
      <c r="DY15" s="169"/>
      <c r="DZ15" s="169"/>
      <c r="EA15" s="169"/>
      <c r="EB15" s="169"/>
      <c r="EC15" s="169"/>
      <c r="ED15" s="169"/>
      <c r="EE15" s="169"/>
      <c r="EF15" s="169"/>
      <c r="EG15" s="169"/>
      <c r="EH15" s="169"/>
      <c r="EI15" s="169"/>
      <c r="EJ15" s="169"/>
      <c r="EK15" s="169"/>
      <c r="EL15" s="169"/>
      <c r="EM15" s="169"/>
      <c r="EN15" s="169"/>
      <c r="EO15" s="169"/>
      <c r="EP15" s="169"/>
      <c r="EQ15" s="169"/>
      <c r="ER15" s="169"/>
      <c r="ES15" s="169"/>
      <c r="ET15" s="169"/>
      <c r="EU15" s="169"/>
      <c r="EV15" s="169"/>
      <c r="EW15" s="169"/>
      <c r="EX15" s="169"/>
      <c r="EY15" s="169"/>
      <c r="EZ15" s="169"/>
      <c r="FA15" s="169"/>
      <c r="FB15" s="169"/>
      <c r="FC15" s="169"/>
      <c r="FD15" s="169"/>
      <c r="FE15" s="169"/>
      <c r="FF15" s="169"/>
      <c r="FG15" s="169"/>
      <c r="FH15" s="169"/>
      <c r="FI15" s="169"/>
      <c r="FJ15" s="169"/>
      <c r="FK15" s="169"/>
      <c r="FL15" s="169"/>
      <c r="FM15" s="169"/>
      <c r="FN15" s="169"/>
      <c r="FO15" s="169"/>
      <c r="FP15" s="169"/>
      <c r="FQ15" s="169"/>
      <c r="FR15" s="169"/>
      <c r="FS15" s="169"/>
      <c r="FT15" s="169"/>
      <c r="FU15" s="169"/>
      <c r="FV15" s="169"/>
      <c r="FW15" s="169"/>
      <c r="FX15" s="169"/>
      <c r="FY15" s="169"/>
      <c r="FZ15" s="169"/>
      <c r="GA15" s="169"/>
      <c r="GB15" s="169"/>
      <c r="GC15" s="169"/>
      <c r="GD15" s="169"/>
      <c r="GE15" s="169"/>
      <c r="GF15" s="169"/>
      <c r="GG15" s="169"/>
      <c r="GH15" s="169"/>
      <c r="GI15" s="169"/>
      <c r="GJ15" s="169"/>
      <c r="GK15" s="169"/>
      <c r="GL15" s="169"/>
      <c r="GM15" s="169"/>
      <c r="GN15" s="169"/>
      <c r="GO15" s="169"/>
      <c r="GP15" s="169"/>
      <c r="GQ15" s="169"/>
      <c r="GR15" s="169"/>
      <c r="GS15" s="169"/>
      <c r="GT15" s="169"/>
      <c r="GU15" s="169"/>
      <c r="GV15" s="169"/>
      <c r="GW15" s="169"/>
      <c r="GX15" s="169"/>
      <c r="GY15" s="169"/>
      <c r="GZ15" s="169"/>
      <c r="HA15" s="169"/>
      <c r="HB15" s="169"/>
      <c r="HC15" s="169"/>
      <c r="HD15" s="169"/>
      <c r="HE15" s="169"/>
      <c r="HF15" s="169"/>
      <c r="HG15" s="169"/>
      <c r="HH15" s="169"/>
      <c r="HI15" s="169"/>
      <c r="HJ15" s="169"/>
      <c r="HK15" s="169"/>
      <c r="HL15" s="169"/>
      <c r="HM15" s="169"/>
      <c r="HN15" s="169"/>
      <c r="HO15" s="169"/>
      <c r="HP15" s="169"/>
      <c r="HQ15" s="169"/>
      <c r="HR15" s="169"/>
      <c r="HS15" s="169"/>
      <c r="HT15" s="169"/>
      <c r="HU15" s="169"/>
      <c r="HV15" s="169"/>
      <c r="HW15" s="169"/>
      <c r="HX15" s="169"/>
      <c r="HY15" s="169"/>
      <c r="HZ15" s="169"/>
      <c r="IA15" s="169"/>
      <c r="IB15" s="169"/>
      <c r="IC15" s="169"/>
      <c r="ID15" s="169"/>
      <c r="IE15" s="169"/>
      <c r="IF15" s="169"/>
      <c r="IG15" s="169"/>
      <c r="IH15" s="169"/>
      <c r="II15" s="169"/>
      <c r="IJ15" s="169"/>
      <c r="IK15" s="169"/>
      <c r="IL15" s="169"/>
      <c r="IM15" s="169"/>
      <c r="IN15" s="169"/>
      <c r="IO15" s="169"/>
      <c r="IP15" s="169"/>
      <c r="IQ15" s="169"/>
      <c r="IR15" s="169"/>
      <c r="IS15" s="169"/>
      <c r="IT15" s="169"/>
      <c r="IU15" s="169"/>
      <c r="IV15" s="169"/>
    </row>
    <row r="16" spans="1:256" ht="13.8" thickBot="1" x14ac:dyDescent="0.3">
      <c r="A16" s="319"/>
      <c r="B16" s="320"/>
      <c r="C16" s="321" t="s">
        <v>1397</v>
      </c>
      <c r="D16" s="322" t="s">
        <v>1398</v>
      </c>
      <c r="E16" s="320"/>
      <c r="F16" s="321" t="s">
        <v>71</v>
      </c>
      <c r="G16" s="322" t="s">
        <v>24</v>
      </c>
      <c r="H16" s="323" t="s">
        <v>72</v>
      </c>
      <c r="I16" s="321" t="s">
        <v>1405</v>
      </c>
      <c r="J16" s="322" t="s">
        <v>73</v>
      </c>
      <c r="K16" s="324" t="s">
        <v>72</v>
      </c>
      <c r="L16" s="169"/>
      <c r="M16" s="169"/>
      <c r="N16" s="169"/>
      <c r="O16" s="169"/>
      <c r="P16" s="169"/>
      <c r="Q16" s="169"/>
      <c r="R16" s="169"/>
      <c r="S16" s="169"/>
      <c r="T16" s="169"/>
      <c r="U16" s="169"/>
      <c r="V16" s="169"/>
      <c r="W16" s="169"/>
      <c r="X16" s="169"/>
      <c r="Y16" s="169"/>
      <c r="Z16" s="169"/>
      <c r="AA16" s="169"/>
      <c r="AB16" s="169"/>
      <c r="AC16" s="169"/>
      <c r="AD16" s="169"/>
      <c r="AE16" s="169"/>
      <c r="AF16" s="169"/>
      <c r="AG16" s="169"/>
      <c r="AH16" s="169"/>
      <c r="AI16" s="169"/>
      <c r="AJ16" s="169"/>
      <c r="AK16" s="169"/>
      <c r="AL16" s="169"/>
      <c r="AM16" s="169"/>
      <c r="AN16" s="169"/>
      <c r="AO16" s="169"/>
      <c r="AP16" s="169"/>
      <c r="AQ16" s="169"/>
      <c r="AR16" s="169"/>
      <c r="AS16" s="169"/>
      <c r="AT16" s="169"/>
      <c r="AU16" s="169"/>
      <c r="AV16" s="169"/>
      <c r="AW16" s="169"/>
      <c r="AX16" s="169"/>
      <c r="AY16" s="169"/>
      <c r="AZ16" s="169"/>
      <c r="BA16" s="169"/>
      <c r="BB16" s="169"/>
      <c r="BC16" s="169"/>
      <c r="BD16" s="169"/>
      <c r="BE16" s="169"/>
      <c r="BF16" s="169"/>
      <c r="BG16" s="169"/>
      <c r="BH16" s="169"/>
      <c r="BI16" s="169"/>
      <c r="BJ16" s="169"/>
      <c r="BK16" s="169"/>
      <c r="BL16" s="169"/>
      <c r="BM16" s="169"/>
      <c r="BN16" s="169"/>
      <c r="BO16" s="169"/>
      <c r="BP16" s="169"/>
      <c r="BQ16" s="169"/>
      <c r="BR16" s="169"/>
      <c r="BS16" s="169"/>
      <c r="BT16" s="169"/>
      <c r="BU16" s="169"/>
      <c r="BV16" s="169"/>
      <c r="BW16" s="169"/>
      <c r="BX16" s="169"/>
      <c r="BY16" s="169"/>
      <c r="BZ16" s="169"/>
      <c r="CA16" s="169"/>
      <c r="CB16" s="169"/>
      <c r="CC16" s="169"/>
      <c r="CD16" s="169"/>
      <c r="CE16" s="169"/>
      <c r="CF16" s="169"/>
      <c r="CG16" s="169"/>
      <c r="CH16" s="169"/>
      <c r="CI16" s="169"/>
      <c r="CJ16" s="169"/>
      <c r="CK16" s="169"/>
      <c r="CL16" s="169"/>
      <c r="CM16" s="169"/>
      <c r="CN16" s="169"/>
      <c r="CO16" s="169"/>
      <c r="CP16" s="169"/>
      <c r="CQ16" s="169"/>
      <c r="CR16" s="169"/>
      <c r="CS16" s="169"/>
      <c r="CT16" s="169"/>
      <c r="CU16" s="169"/>
      <c r="CV16" s="169"/>
      <c r="CW16" s="169"/>
      <c r="CX16" s="169"/>
      <c r="CY16" s="169"/>
      <c r="CZ16" s="169"/>
      <c r="DA16" s="169"/>
      <c r="DB16" s="169"/>
      <c r="DC16" s="169"/>
      <c r="DD16" s="169"/>
      <c r="DE16" s="169"/>
      <c r="DF16" s="169"/>
      <c r="DG16" s="169"/>
      <c r="DH16" s="169"/>
      <c r="DI16" s="169"/>
      <c r="DJ16" s="169"/>
      <c r="DK16" s="169"/>
      <c r="DL16" s="169"/>
      <c r="DM16" s="169"/>
      <c r="DN16" s="169"/>
      <c r="DO16" s="169"/>
      <c r="DP16" s="169"/>
      <c r="DQ16" s="169"/>
      <c r="DR16" s="169"/>
      <c r="DS16" s="169"/>
      <c r="DT16" s="169"/>
      <c r="DU16" s="169"/>
      <c r="DV16" s="169"/>
      <c r="DW16" s="169"/>
      <c r="DX16" s="169"/>
      <c r="DY16" s="169"/>
      <c r="DZ16" s="169"/>
      <c r="EA16" s="169"/>
      <c r="EB16" s="169"/>
      <c r="EC16" s="169"/>
      <c r="ED16" s="169"/>
      <c r="EE16" s="169"/>
      <c r="EF16" s="169"/>
      <c r="EG16" s="169"/>
      <c r="EH16" s="169"/>
      <c r="EI16" s="169"/>
      <c r="EJ16" s="169"/>
      <c r="EK16" s="169"/>
      <c r="EL16" s="169"/>
      <c r="EM16" s="169"/>
      <c r="EN16" s="169"/>
      <c r="EO16" s="169"/>
      <c r="EP16" s="169"/>
      <c r="EQ16" s="169"/>
      <c r="ER16" s="169"/>
      <c r="ES16" s="169"/>
      <c r="ET16" s="169"/>
      <c r="EU16" s="169"/>
      <c r="EV16" s="169"/>
      <c r="EW16" s="169"/>
      <c r="EX16" s="169"/>
      <c r="EY16" s="169"/>
      <c r="EZ16" s="169"/>
      <c r="FA16" s="169"/>
      <c r="FB16" s="169"/>
      <c r="FC16" s="169"/>
      <c r="FD16" s="169"/>
      <c r="FE16" s="169"/>
      <c r="FF16" s="169"/>
      <c r="FG16" s="169"/>
      <c r="FH16" s="169"/>
      <c r="FI16" s="169"/>
      <c r="FJ16" s="169"/>
      <c r="FK16" s="169"/>
      <c r="FL16" s="169"/>
      <c r="FM16" s="169"/>
      <c r="FN16" s="169"/>
      <c r="FO16" s="169"/>
      <c r="FP16" s="169"/>
      <c r="FQ16" s="169"/>
      <c r="FR16" s="169"/>
      <c r="FS16" s="169"/>
      <c r="FT16" s="169"/>
      <c r="FU16" s="169"/>
      <c r="FV16" s="169"/>
      <c r="FW16" s="169"/>
      <c r="FX16" s="169"/>
      <c r="FY16" s="169"/>
      <c r="FZ16" s="169"/>
      <c r="GA16" s="169"/>
      <c r="GB16" s="169"/>
      <c r="GC16" s="169"/>
      <c r="GD16" s="169"/>
      <c r="GE16" s="169"/>
      <c r="GF16" s="169"/>
      <c r="GG16" s="169"/>
      <c r="GH16" s="169"/>
      <c r="GI16" s="169"/>
      <c r="GJ16" s="169"/>
      <c r="GK16" s="169"/>
      <c r="GL16" s="169"/>
      <c r="GM16" s="169"/>
      <c r="GN16" s="169"/>
      <c r="GO16" s="169"/>
      <c r="GP16" s="169"/>
      <c r="GQ16" s="169"/>
      <c r="GR16" s="169"/>
      <c r="GS16" s="169"/>
      <c r="GT16" s="169"/>
      <c r="GU16" s="169"/>
      <c r="GV16" s="169"/>
      <c r="GW16" s="169"/>
      <c r="GX16" s="169"/>
      <c r="GY16" s="169"/>
      <c r="GZ16" s="169"/>
      <c r="HA16" s="169"/>
      <c r="HB16" s="169"/>
      <c r="HC16" s="169"/>
      <c r="HD16" s="169"/>
      <c r="HE16" s="169"/>
      <c r="HF16" s="169"/>
      <c r="HG16" s="169"/>
      <c r="HH16" s="169"/>
      <c r="HI16" s="169"/>
      <c r="HJ16" s="169"/>
      <c r="HK16" s="169"/>
      <c r="HL16" s="169"/>
      <c r="HM16" s="169"/>
      <c r="HN16" s="169"/>
      <c r="HO16" s="169"/>
      <c r="HP16" s="169"/>
      <c r="HQ16" s="169"/>
      <c r="HR16" s="169"/>
      <c r="HS16" s="169"/>
      <c r="HT16" s="169"/>
      <c r="HU16" s="169"/>
      <c r="HV16" s="169"/>
      <c r="HW16" s="169"/>
      <c r="HX16" s="169"/>
      <c r="HY16" s="169"/>
      <c r="HZ16" s="169"/>
      <c r="IA16" s="169"/>
      <c r="IB16" s="169"/>
      <c r="IC16" s="169"/>
      <c r="ID16" s="169"/>
      <c r="IE16" s="169"/>
      <c r="IF16" s="169"/>
      <c r="IG16" s="169"/>
      <c r="IH16" s="169"/>
      <c r="II16" s="169"/>
      <c r="IJ16" s="169"/>
      <c r="IK16" s="169"/>
      <c r="IL16" s="169"/>
      <c r="IM16" s="169"/>
      <c r="IN16" s="169"/>
      <c r="IO16" s="169"/>
      <c r="IP16" s="169"/>
      <c r="IQ16" s="169"/>
      <c r="IR16" s="169"/>
      <c r="IS16" s="169"/>
      <c r="IT16" s="169"/>
      <c r="IU16" s="169"/>
      <c r="IV16" s="169"/>
    </row>
    <row r="17" spans="1:256" x14ac:dyDescent="0.25">
      <c r="A17" s="296" t="str">
        <f>+VAL_RES.!B39</f>
        <v>PUENTE VEHICULAR CCANCHI</v>
      </c>
      <c r="B17" s="297"/>
      <c r="C17" s="297"/>
      <c r="D17" s="298"/>
      <c r="E17" s="297"/>
      <c r="F17" s="297"/>
      <c r="G17" s="297"/>
      <c r="H17" s="297"/>
      <c r="I17" s="297"/>
      <c r="J17" s="299"/>
      <c r="K17" s="908"/>
      <c r="L17" s="169"/>
      <c r="M17" s="169"/>
      <c r="N17" s="169"/>
      <c r="O17" s="169"/>
      <c r="P17" s="169"/>
      <c r="Q17" s="169"/>
      <c r="R17" s="169"/>
      <c r="S17" s="169"/>
      <c r="T17" s="169"/>
      <c r="U17" s="169"/>
      <c r="V17" s="169"/>
      <c r="W17" s="169"/>
      <c r="X17" s="169"/>
      <c r="Y17" s="169"/>
      <c r="Z17" s="169"/>
      <c r="AA17" s="169"/>
      <c r="AB17" s="169"/>
      <c r="AC17" s="169"/>
      <c r="AD17" s="169"/>
      <c r="AE17" s="169"/>
      <c r="AF17" s="169"/>
      <c r="AG17" s="169"/>
      <c r="AH17" s="169"/>
      <c r="AI17" s="169"/>
      <c r="AJ17" s="169"/>
      <c r="AK17" s="169"/>
      <c r="AL17" s="169"/>
      <c r="AM17" s="169"/>
      <c r="AN17" s="169"/>
      <c r="AO17" s="169"/>
      <c r="AP17" s="169"/>
      <c r="AQ17" s="169"/>
      <c r="AR17" s="169"/>
      <c r="AS17" s="169"/>
      <c r="AT17" s="169"/>
      <c r="AU17" s="169"/>
      <c r="AV17" s="169"/>
      <c r="AW17" s="169"/>
      <c r="AX17" s="169"/>
      <c r="AY17" s="169"/>
      <c r="AZ17" s="169"/>
      <c r="BA17" s="169"/>
      <c r="BB17" s="169"/>
      <c r="BC17" s="169"/>
      <c r="BD17" s="169"/>
      <c r="BE17" s="169"/>
      <c r="BF17" s="169"/>
      <c r="BG17" s="169"/>
      <c r="BH17" s="169"/>
      <c r="BI17" s="169"/>
      <c r="BJ17" s="169"/>
      <c r="BK17" s="169"/>
      <c r="BL17" s="169"/>
      <c r="BM17" s="169"/>
      <c r="BN17" s="169"/>
      <c r="BO17" s="169"/>
      <c r="BP17" s="169"/>
      <c r="BQ17" s="169"/>
      <c r="BR17" s="169"/>
      <c r="BS17" s="169"/>
      <c r="BT17" s="169"/>
      <c r="BU17" s="169"/>
      <c r="BV17" s="169"/>
      <c r="BW17" s="169"/>
      <c r="BX17" s="169"/>
      <c r="BY17" s="169"/>
      <c r="BZ17" s="169"/>
      <c r="CA17" s="169"/>
      <c r="CB17" s="169"/>
      <c r="CC17" s="169"/>
      <c r="CD17" s="169"/>
      <c r="CE17" s="169"/>
      <c r="CF17" s="169"/>
      <c r="CG17" s="169"/>
      <c r="CH17" s="169"/>
      <c r="CI17" s="169"/>
      <c r="CJ17" s="169"/>
      <c r="CK17" s="169"/>
      <c r="CL17" s="169"/>
      <c r="CM17" s="169"/>
      <c r="CN17" s="169"/>
      <c r="CO17" s="169"/>
      <c r="CP17" s="169"/>
      <c r="CQ17" s="169"/>
      <c r="CR17" s="169"/>
      <c r="CS17" s="169"/>
      <c r="CT17" s="169"/>
      <c r="CU17" s="169"/>
      <c r="CV17" s="169"/>
      <c r="CW17" s="169"/>
      <c r="CX17" s="169"/>
      <c r="CY17" s="169"/>
      <c r="CZ17" s="169"/>
      <c r="DA17" s="169"/>
      <c r="DB17" s="169"/>
      <c r="DC17" s="169"/>
      <c r="DD17" s="169"/>
      <c r="DE17" s="169"/>
      <c r="DF17" s="169"/>
      <c r="DG17" s="169"/>
      <c r="DH17" s="169"/>
      <c r="DI17" s="169"/>
      <c r="DJ17" s="169"/>
      <c r="DK17" s="169"/>
      <c r="DL17" s="169"/>
      <c r="DM17" s="169"/>
      <c r="DN17" s="169"/>
      <c r="DO17" s="169"/>
      <c r="DP17" s="169"/>
      <c r="DQ17" s="169"/>
      <c r="DR17" s="169"/>
      <c r="DS17" s="169"/>
      <c r="DT17" s="169"/>
      <c r="DU17" s="169"/>
      <c r="DV17" s="169"/>
      <c r="DW17" s="169"/>
      <c r="DX17" s="169"/>
      <c r="DY17" s="169"/>
      <c r="DZ17" s="169"/>
      <c r="EA17" s="169"/>
      <c r="EB17" s="169"/>
      <c r="EC17" s="169"/>
      <c r="ED17" s="169"/>
      <c r="EE17" s="169"/>
      <c r="EF17" s="169"/>
      <c r="EG17" s="169"/>
      <c r="EH17" s="169"/>
      <c r="EI17" s="169"/>
      <c r="EJ17" s="169"/>
      <c r="EK17" s="169"/>
      <c r="EL17" s="169"/>
      <c r="EM17" s="169"/>
      <c r="EN17" s="169"/>
      <c r="EO17" s="169"/>
      <c r="EP17" s="169"/>
      <c r="EQ17" s="169"/>
      <c r="ER17" s="169"/>
      <c r="ES17" s="169"/>
      <c r="ET17" s="169"/>
      <c r="EU17" s="169"/>
      <c r="EV17" s="169"/>
      <c r="EW17" s="169"/>
      <c r="EX17" s="169"/>
      <c r="EY17" s="169"/>
      <c r="EZ17" s="169"/>
      <c r="FA17" s="169"/>
      <c r="FB17" s="169"/>
      <c r="FC17" s="169"/>
      <c r="FD17" s="169"/>
      <c r="FE17" s="169"/>
      <c r="FF17" s="169"/>
      <c r="FG17" s="169"/>
      <c r="FH17" s="169"/>
      <c r="FI17" s="169"/>
      <c r="FJ17" s="169"/>
      <c r="FK17" s="169"/>
      <c r="FL17" s="169"/>
      <c r="FM17" s="169"/>
      <c r="FN17" s="169"/>
      <c r="FO17" s="169"/>
      <c r="FP17" s="169"/>
      <c r="FQ17" s="169"/>
      <c r="FR17" s="169"/>
      <c r="FS17" s="169"/>
      <c r="FT17" s="169"/>
      <c r="FU17" s="169"/>
      <c r="FV17" s="169"/>
      <c r="FW17" s="169"/>
      <c r="FX17" s="169"/>
      <c r="FY17" s="169"/>
      <c r="FZ17" s="169"/>
      <c r="GA17" s="169"/>
      <c r="GB17" s="169"/>
      <c r="GC17" s="169"/>
      <c r="GD17" s="169"/>
      <c r="GE17" s="169"/>
      <c r="GF17" s="169"/>
      <c r="GG17" s="169"/>
      <c r="GH17" s="169"/>
      <c r="GI17" s="169"/>
      <c r="GJ17" s="169"/>
      <c r="GK17" s="169"/>
      <c r="GL17" s="169"/>
      <c r="GM17" s="169"/>
      <c r="GN17" s="169"/>
      <c r="GO17" s="169"/>
      <c r="GP17" s="169"/>
      <c r="GQ17" s="169"/>
      <c r="GR17" s="169"/>
      <c r="GS17" s="169"/>
      <c r="GT17" s="169"/>
      <c r="GU17" s="169"/>
      <c r="GV17" s="169"/>
      <c r="GW17" s="169"/>
      <c r="GX17" s="169"/>
      <c r="GY17" s="169"/>
      <c r="GZ17" s="169"/>
      <c r="HA17" s="169"/>
      <c r="HB17" s="169"/>
      <c r="HC17" s="169"/>
      <c r="HD17" s="169"/>
      <c r="HE17" s="169"/>
      <c r="HF17" s="169"/>
      <c r="HG17" s="169"/>
      <c r="HH17" s="169"/>
      <c r="HI17" s="169"/>
      <c r="HJ17" s="169"/>
      <c r="HK17" s="169"/>
      <c r="HL17" s="169"/>
      <c r="HM17" s="169"/>
      <c r="HN17" s="169"/>
      <c r="HO17" s="169"/>
      <c r="HP17" s="169"/>
      <c r="HQ17" s="169"/>
      <c r="HR17" s="169"/>
      <c r="HS17" s="169"/>
      <c r="HT17" s="169"/>
      <c r="HU17" s="169"/>
      <c r="HV17" s="169"/>
      <c r="HW17" s="169"/>
      <c r="HX17" s="169"/>
      <c r="HY17" s="169"/>
      <c r="HZ17" s="169"/>
      <c r="IA17" s="169"/>
      <c r="IB17" s="169"/>
      <c r="IC17" s="169"/>
      <c r="ID17" s="169"/>
      <c r="IE17" s="169"/>
      <c r="IF17" s="169"/>
      <c r="IG17" s="169"/>
      <c r="IH17" s="169"/>
      <c r="II17" s="169"/>
      <c r="IJ17" s="169"/>
      <c r="IK17" s="169"/>
      <c r="IL17" s="169"/>
      <c r="IM17" s="169"/>
      <c r="IN17" s="169"/>
      <c r="IO17" s="169"/>
      <c r="IP17" s="169"/>
      <c r="IQ17" s="169"/>
      <c r="IR17" s="169"/>
      <c r="IS17" s="169"/>
      <c r="IT17" s="169"/>
      <c r="IU17" s="169"/>
      <c r="IV17" s="169"/>
    </row>
    <row r="18" spans="1:256" ht="15" x14ac:dyDescent="0.25">
      <c r="A18" s="1481">
        <v>1</v>
      </c>
      <c r="B18" s="1482">
        <v>44681</v>
      </c>
      <c r="C18" s="1483">
        <f>+'CURVA S'!D16/1.18</f>
        <v>1689.8530000000001</v>
      </c>
      <c r="D18" s="1484">
        <f>+VAL_RES.!E39</f>
        <v>1689.85</v>
      </c>
      <c r="E18" s="1485">
        <f>'COE_REAJ_OB. PUENTE'!N56-1</f>
        <v>7.0000000000000062E-2</v>
      </c>
      <c r="F18" s="1486">
        <f>ROUND(C18*E18,2)</f>
        <v>118.29</v>
      </c>
      <c r="G18" s="1486">
        <f t="shared" ref="G18:G20" si="0">ROUND(D18*E18,2)</f>
        <v>118.29</v>
      </c>
      <c r="H18" s="1487">
        <f>+F18</f>
        <v>118.29</v>
      </c>
      <c r="I18" s="1488">
        <f>+D_DIRECTO!I21</f>
        <v>12.737562847698518</v>
      </c>
      <c r="J18" s="1488">
        <v>0</v>
      </c>
      <c r="K18" s="1489">
        <f>H18-I18-J18</f>
        <v>105.55243715230149</v>
      </c>
      <c r="L18" s="300"/>
      <c r="M18" s="176"/>
      <c r="N18" s="301"/>
      <c r="O18" s="176"/>
      <c r="P18" s="169"/>
      <c r="Q18" s="169"/>
      <c r="R18" s="169"/>
      <c r="S18" s="169"/>
      <c r="T18" s="169"/>
      <c r="U18" s="169"/>
      <c r="V18" s="169"/>
      <c r="W18" s="169"/>
      <c r="X18" s="169"/>
      <c r="Y18" s="169"/>
      <c r="Z18" s="169"/>
      <c r="AA18" s="169"/>
      <c r="AB18" s="169"/>
      <c r="AC18" s="169"/>
      <c r="AD18" s="169"/>
      <c r="AE18" s="169"/>
      <c r="AF18" s="169"/>
      <c r="AG18" s="169"/>
      <c r="AH18" s="169"/>
      <c r="AI18" s="169"/>
      <c r="AJ18" s="169"/>
      <c r="AK18" s="169"/>
      <c r="AL18" s="169"/>
      <c r="AM18" s="169"/>
      <c r="AN18" s="169"/>
      <c r="AO18" s="169"/>
      <c r="AP18" s="169"/>
      <c r="AQ18" s="169"/>
      <c r="AR18" s="169"/>
      <c r="AS18" s="169"/>
      <c r="AT18" s="169"/>
      <c r="AU18" s="169"/>
      <c r="AV18" s="169"/>
      <c r="AW18" s="169"/>
      <c r="AX18" s="169"/>
      <c r="AY18" s="169"/>
      <c r="AZ18" s="169"/>
      <c r="BA18" s="169"/>
      <c r="BB18" s="169"/>
      <c r="BC18" s="169"/>
      <c r="BD18" s="169"/>
      <c r="BE18" s="169"/>
      <c r="BF18" s="169"/>
      <c r="BG18" s="169"/>
      <c r="BH18" s="169"/>
      <c r="BI18" s="169"/>
      <c r="BJ18" s="169"/>
      <c r="BK18" s="169"/>
      <c r="BL18" s="169"/>
      <c r="BM18" s="169"/>
      <c r="BN18" s="169"/>
      <c r="BO18" s="169"/>
      <c r="BP18" s="169"/>
      <c r="BQ18" s="169"/>
      <c r="BR18" s="169"/>
      <c r="BS18" s="169"/>
      <c r="BT18" s="169"/>
      <c r="BU18" s="169"/>
      <c r="BV18" s="169"/>
      <c r="BW18" s="169"/>
      <c r="BX18" s="169"/>
      <c r="BY18" s="169"/>
      <c r="BZ18" s="169"/>
      <c r="CA18" s="169"/>
      <c r="CB18" s="169"/>
      <c r="CC18" s="169"/>
      <c r="CD18" s="169"/>
      <c r="CE18" s="169"/>
      <c r="CF18" s="169"/>
      <c r="CG18" s="169"/>
      <c r="CH18" s="169"/>
      <c r="CI18" s="169"/>
      <c r="CJ18" s="169"/>
      <c r="CK18" s="169"/>
      <c r="CL18" s="169"/>
      <c r="CM18" s="169"/>
      <c r="CN18" s="169"/>
      <c r="CO18" s="169"/>
      <c r="CP18" s="169"/>
      <c r="CQ18" s="169"/>
      <c r="CR18" s="169"/>
      <c r="CS18" s="169"/>
      <c r="CT18" s="169"/>
      <c r="CU18" s="169"/>
      <c r="CV18" s="169"/>
      <c r="CW18" s="169"/>
      <c r="CX18" s="169"/>
      <c r="CY18" s="169"/>
      <c r="CZ18" s="169"/>
      <c r="DA18" s="169"/>
      <c r="DB18" s="169"/>
      <c r="DC18" s="169"/>
      <c r="DD18" s="169"/>
      <c r="DE18" s="169"/>
      <c r="DF18" s="169"/>
      <c r="DG18" s="169"/>
      <c r="DH18" s="169"/>
      <c r="DI18" s="169"/>
      <c r="DJ18" s="169"/>
      <c r="DK18" s="169"/>
      <c r="DL18" s="169"/>
      <c r="DM18" s="169"/>
      <c r="DN18" s="169"/>
      <c r="DO18" s="169"/>
      <c r="DP18" s="169"/>
      <c r="DQ18" s="169"/>
      <c r="DR18" s="169"/>
      <c r="DS18" s="169"/>
      <c r="DT18" s="169"/>
      <c r="DU18" s="169"/>
      <c r="DV18" s="169"/>
      <c r="DW18" s="169"/>
      <c r="DX18" s="169"/>
      <c r="DY18" s="169"/>
      <c r="DZ18" s="169"/>
      <c r="EA18" s="169"/>
      <c r="EB18" s="169"/>
      <c r="EC18" s="169"/>
      <c r="ED18" s="169"/>
      <c r="EE18" s="169"/>
      <c r="EF18" s="169"/>
      <c r="EG18" s="169"/>
      <c r="EH18" s="169"/>
      <c r="EI18" s="169"/>
      <c r="EJ18" s="169"/>
      <c r="EK18" s="169"/>
      <c r="EL18" s="169"/>
      <c r="EM18" s="169"/>
      <c r="EN18" s="169"/>
      <c r="EO18" s="169"/>
      <c r="EP18" s="169"/>
      <c r="EQ18" s="169"/>
      <c r="ER18" s="169"/>
      <c r="ES18" s="169"/>
      <c r="ET18" s="169"/>
      <c r="EU18" s="169"/>
      <c r="EV18" s="169"/>
      <c r="EW18" s="169"/>
      <c r="EX18" s="169"/>
      <c r="EY18" s="169"/>
      <c r="EZ18" s="169"/>
      <c r="FA18" s="169"/>
      <c r="FB18" s="169"/>
      <c r="FC18" s="169"/>
      <c r="FD18" s="169"/>
      <c r="FE18" s="169"/>
      <c r="FF18" s="169"/>
      <c r="FG18" s="169"/>
      <c r="FH18" s="169"/>
      <c r="FI18" s="169"/>
      <c r="FJ18" s="169"/>
      <c r="FK18" s="169"/>
      <c r="FL18" s="169"/>
      <c r="FM18" s="169"/>
      <c r="FN18" s="169"/>
      <c r="FO18" s="169"/>
      <c r="FP18" s="169"/>
      <c r="FQ18" s="169"/>
      <c r="FR18" s="169"/>
      <c r="FS18" s="169"/>
      <c r="FT18" s="169"/>
      <c r="FU18" s="169"/>
      <c r="FV18" s="169"/>
      <c r="FW18" s="169"/>
      <c r="FX18" s="169"/>
      <c r="FY18" s="169"/>
      <c r="FZ18" s="169"/>
      <c r="GA18" s="169"/>
      <c r="GB18" s="169"/>
      <c r="GC18" s="169"/>
      <c r="GD18" s="169"/>
      <c r="GE18" s="169"/>
      <c r="GF18" s="169"/>
      <c r="GG18" s="169"/>
      <c r="GH18" s="169"/>
      <c r="GI18" s="169"/>
      <c r="GJ18" s="169"/>
      <c r="GK18" s="169"/>
      <c r="GL18" s="169"/>
      <c r="GM18" s="169"/>
      <c r="GN18" s="169"/>
      <c r="GO18" s="169"/>
      <c r="GP18" s="169"/>
      <c r="GQ18" s="169"/>
      <c r="GR18" s="169"/>
      <c r="GS18" s="169"/>
      <c r="GT18" s="169"/>
      <c r="GU18" s="169"/>
      <c r="GV18" s="169"/>
      <c r="GW18" s="169"/>
      <c r="GX18" s="169"/>
      <c r="GY18" s="169"/>
      <c r="GZ18" s="169"/>
      <c r="HA18" s="169"/>
      <c r="HB18" s="169"/>
      <c r="HC18" s="169"/>
      <c r="HD18" s="169"/>
      <c r="HE18" s="169"/>
      <c r="HF18" s="169"/>
      <c r="HG18" s="169"/>
      <c r="HH18" s="169"/>
      <c r="HI18" s="169"/>
      <c r="HJ18" s="169"/>
      <c r="HK18" s="169"/>
      <c r="HL18" s="169"/>
      <c r="HM18" s="169"/>
      <c r="HN18" s="169"/>
      <c r="HO18" s="169"/>
      <c r="HP18" s="169"/>
      <c r="HQ18" s="169"/>
      <c r="HR18" s="169"/>
      <c r="HS18" s="169"/>
      <c r="HT18" s="169"/>
      <c r="HU18" s="169"/>
      <c r="HV18" s="169"/>
      <c r="HW18" s="169"/>
      <c r="HX18" s="169"/>
      <c r="HY18" s="169"/>
      <c r="HZ18" s="169"/>
      <c r="IA18" s="169"/>
      <c r="IB18" s="169"/>
      <c r="IC18" s="169"/>
      <c r="ID18" s="169"/>
      <c r="IE18" s="169"/>
      <c r="IF18" s="169"/>
      <c r="IG18" s="169"/>
      <c r="IH18" s="169"/>
      <c r="II18" s="169"/>
      <c r="IJ18" s="169"/>
      <c r="IK18" s="169"/>
      <c r="IL18" s="169"/>
      <c r="IM18" s="169"/>
      <c r="IN18" s="169"/>
      <c r="IO18" s="169"/>
      <c r="IP18" s="169"/>
      <c r="IQ18" s="169"/>
      <c r="IR18" s="169"/>
      <c r="IS18" s="169"/>
      <c r="IT18" s="169"/>
      <c r="IU18" s="169"/>
      <c r="IV18" s="169"/>
    </row>
    <row r="19" spans="1:256" ht="15" x14ac:dyDescent="0.25">
      <c r="A19" s="1490">
        <v>2</v>
      </c>
      <c r="B19" s="1491">
        <v>44712</v>
      </c>
      <c r="C19" s="1492">
        <f>+'CURVA S'!E16/1.18</f>
        <v>142315.31930731577</v>
      </c>
      <c r="D19" s="1493">
        <f>+VAL_RES.!F39</f>
        <v>142315.32</v>
      </c>
      <c r="E19" s="1494">
        <f>'COE_REAJ_OB. PUENTE'!P56-1</f>
        <v>7.2000000000000064E-2</v>
      </c>
      <c r="F19" s="1493">
        <f t="shared" ref="F19:F30" si="1">ROUND(C19*E19,2)</f>
        <v>10246.700000000001</v>
      </c>
      <c r="G19" s="1495">
        <f t="shared" si="0"/>
        <v>10246.700000000001</v>
      </c>
      <c r="H19" s="1496">
        <f>+F19</f>
        <v>10246.700000000001</v>
      </c>
      <c r="I19" s="1497">
        <f>+D_DIRECTO!I22</f>
        <v>1101.3346400935397</v>
      </c>
      <c r="J19" s="1497">
        <v>0</v>
      </c>
      <c r="K19" s="1498">
        <f t="shared" ref="K19" si="2">H19-I19-J19</f>
        <v>9145.3653599064601</v>
      </c>
      <c r="L19" s="300"/>
      <c r="M19" s="176"/>
      <c r="N19" s="176"/>
      <c r="O19" s="176"/>
      <c r="P19" s="169"/>
      <c r="Q19" s="169"/>
      <c r="R19" s="169"/>
      <c r="S19" s="169"/>
      <c r="T19" s="169"/>
      <c r="U19" s="169"/>
      <c r="V19" s="169"/>
      <c r="W19" s="169"/>
      <c r="X19" s="169"/>
      <c r="Y19" s="169"/>
      <c r="Z19" s="169"/>
      <c r="AA19" s="169"/>
      <c r="AB19" s="169"/>
      <c r="AC19" s="169"/>
      <c r="AD19" s="169"/>
      <c r="AE19" s="169"/>
      <c r="AF19" s="169"/>
      <c r="AG19" s="169"/>
      <c r="AH19" s="169"/>
      <c r="AI19" s="169"/>
      <c r="AJ19" s="169"/>
      <c r="AK19" s="169"/>
      <c r="AL19" s="169"/>
      <c r="AM19" s="169"/>
      <c r="AN19" s="169"/>
      <c r="AO19" s="169"/>
      <c r="AP19" s="169"/>
      <c r="AQ19" s="169"/>
      <c r="AR19" s="169"/>
      <c r="AS19" s="169"/>
      <c r="AT19" s="169"/>
      <c r="AU19" s="169"/>
      <c r="AV19" s="169"/>
      <c r="AW19" s="169"/>
      <c r="AX19" s="169"/>
      <c r="AY19" s="169"/>
      <c r="AZ19" s="169"/>
      <c r="BA19" s="169"/>
      <c r="BB19" s="169"/>
      <c r="BC19" s="169"/>
      <c r="BD19" s="169"/>
      <c r="BE19" s="169"/>
      <c r="BF19" s="169"/>
      <c r="BG19" s="169"/>
      <c r="BH19" s="169"/>
      <c r="BI19" s="169"/>
      <c r="BJ19" s="169"/>
      <c r="BK19" s="169"/>
      <c r="BL19" s="169"/>
      <c r="BM19" s="169"/>
      <c r="BN19" s="169"/>
      <c r="BO19" s="169"/>
      <c r="BP19" s="169"/>
      <c r="BQ19" s="169"/>
      <c r="BR19" s="169"/>
      <c r="BS19" s="169"/>
      <c r="BT19" s="169"/>
      <c r="BU19" s="169"/>
      <c r="BV19" s="169"/>
      <c r="BW19" s="169"/>
      <c r="BX19" s="169"/>
      <c r="BY19" s="169"/>
      <c r="BZ19" s="169"/>
      <c r="CA19" s="169"/>
      <c r="CB19" s="169"/>
      <c r="CC19" s="169"/>
      <c r="CD19" s="169"/>
      <c r="CE19" s="169"/>
      <c r="CF19" s="169"/>
      <c r="CG19" s="169"/>
      <c r="CH19" s="169"/>
      <c r="CI19" s="169"/>
      <c r="CJ19" s="169"/>
      <c r="CK19" s="169"/>
      <c r="CL19" s="169"/>
      <c r="CM19" s="169"/>
      <c r="CN19" s="169"/>
      <c r="CO19" s="169"/>
      <c r="CP19" s="169"/>
      <c r="CQ19" s="169"/>
      <c r="CR19" s="169"/>
      <c r="CS19" s="169"/>
      <c r="CT19" s="169"/>
      <c r="CU19" s="169"/>
      <c r="CV19" s="169"/>
      <c r="CW19" s="169"/>
      <c r="CX19" s="169"/>
      <c r="CY19" s="169"/>
      <c r="CZ19" s="169"/>
      <c r="DA19" s="169"/>
      <c r="DB19" s="169"/>
      <c r="DC19" s="169"/>
      <c r="DD19" s="169"/>
      <c r="DE19" s="169"/>
      <c r="DF19" s="169"/>
      <c r="DG19" s="169"/>
      <c r="DH19" s="169"/>
      <c r="DI19" s="169"/>
      <c r="DJ19" s="169"/>
      <c r="DK19" s="169"/>
      <c r="DL19" s="169"/>
      <c r="DM19" s="169"/>
      <c r="DN19" s="169"/>
      <c r="DO19" s="169"/>
      <c r="DP19" s="169"/>
      <c r="DQ19" s="169"/>
      <c r="DR19" s="169"/>
      <c r="DS19" s="169"/>
      <c r="DT19" s="169"/>
      <c r="DU19" s="169"/>
      <c r="DV19" s="169"/>
      <c r="DW19" s="169"/>
      <c r="DX19" s="169"/>
      <c r="DY19" s="169"/>
      <c r="DZ19" s="169"/>
      <c r="EA19" s="169"/>
      <c r="EB19" s="169"/>
      <c r="EC19" s="169"/>
      <c r="ED19" s="169"/>
      <c r="EE19" s="169"/>
      <c r="EF19" s="169"/>
      <c r="EG19" s="169"/>
      <c r="EH19" s="169"/>
      <c r="EI19" s="169"/>
      <c r="EJ19" s="169"/>
      <c r="EK19" s="169"/>
      <c r="EL19" s="169"/>
      <c r="EM19" s="169"/>
      <c r="EN19" s="169"/>
      <c r="EO19" s="169"/>
      <c r="EP19" s="169"/>
      <c r="EQ19" s="169"/>
      <c r="ER19" s="169"/>
      <c r="ES19" s="169"/>
      <c r="ET19" s="169"/>
      <c r="EU19" s="169"/>
      <c r="EV19" s="169"/>
      <c r="EW19" s="169"/>
      <c r="EX19" s="169"/>
      <c r="EY19" s="169"/>
      <c r="EZ19" s="169"/>
      <c r="FA19" s="169"/>
      <c r="FB19" s="169"/>
      <c r="FC19" s="169"/>
      <c r="FD19" s="169"/>
      <c r="FE19" s="169"/>
      <c r="FF19" s="169"/>
      <c r="FG19" s="169"/>
      <c r="FH19" s="169"/>
      <c r="FI19" s="169"/>
      <c r="FJ19" s="169"/>
      <c r="FK19" s="169"/>
      <c r="FL19" s="169"/>
      <c r="FM19" s="169"/>
      <c r="FN19" s="169"/>
      <c r="FO19" s="169"/>
      <c r="FP19" s="169"/>
      <c r="FQ19" s="169"/>
      <c r="FR19" s="169"/>
      <c r="FS19" s="169"/>
      <c r="FT19" s="169"/>
      <c r="FU19" s="169"/>
      <c r="FV19" s="169"/>
      <c r="FW19" s="169"/>
      <c r="FX19" s="169"/>
      <c r="FY19" s="169"/>
      <c r="FZ19" s="169"/>
      <c r="GA19" s="169"/>
      <c r="GB19" s="169"/>
      <c r="GC19" s="169"/>
      <c r="GD19" s="169"/>
      <c r="GE19" s="169"/>
      <c r="GF19" s="169"/>
      <c r="GG19" s="169"/>
      <c r="GH19" s="169"/>
      <c r="GI19" s="169"/>
      <c r="GJ19" s="169"/>
      <c r="GK19" s="169"/>
      <c r="GL19" s="169"/>
      <c r="GM19" s="169"/>
      <c r="GN19" s="169"/>
      <c r="GO19" s="169"/>
      <c r="GP19" s="169"/>
      <c r="GQ19" s="169"/>
      <c r="GR19" s="169"/>
      <c r="GS19" s="169"/>
      <c r="GT19" s="169"/>
      <c r="GU19" s="169"/>
      <c r="GV19" s="169"/>
      <c r="GW19" s="169"/>
      <c r="GX19" s="169"/>
      <c r="GY19" s="169"/>
      <c r="GZ19" s="169"/>
      <c r="HA19" s="169"/>
      <c r="HB19" s="169"/>
      <c r="HC19" s="169"/>
      <c r="HD19" s="169"/>
      <c r="HE19" s="169"/>
      <c r="HF19" s="169"/>
      <c r="HG19" s="169"/>
      <c r="HH19" s="169"/>
      <c r="HI19" s="169"/>
      <c r="HJ19" s="169"/>
      <c r="HK19" s="169"/>
      <c r="HL19" s="169"/>
      <c r="HM19" s="169"/>
      <c r="HN19" s="169"/>
      <c r="HO19" s="169"/>
      <c r="HP19" s="169"/>
      <c r="HQ19" s="169"/>
      <c r="HR19" s="169"/>
      <c r="HS19" s="169"/>
      <c r="HT19" s="169"/>
      <c r="HU19" s="169"/>
      <c r="HV19" s="169"/>
      <c r="HW19" s="169"/>
      <c r="HX19" s="169"/>
      <c r="HY19" s="169"/>
      <c r="HZ19" s="169"/>
      <c r="IA19" s="169"/>
      <c r="IB19" s="169"/>
      <c r="IC19" s="169"/>
      <c r="ID19" s="169"/>
      <c r="IE19" s="169"/>
      <c r="IF19" s="169"/>
      <c r="IG19" s="169"/>
      <c r="IH19" s="169"/>
      <c r="II19" s="169"/>
      <c r="IJ19" s="169"/>
      <c r="IK19" s="169"/>
      <c r="IL19" s="169"/>
      <c r="IM19" s="169"/>
      <c r="IN19" s="169"/>
      <c r="IO19" s="169"/>
      <c r="IP19" s="169"/>
      <c r="IQ19" s="169"/>
      <c r="IR19" s="169"/>
      <c r="IS19" s="169"/>
      <c r="IT19" s="169"/>
      <c r="IU19" s="169"/>
      <c r="IV19" s="169"/>
    </row>
    <row r="20" spans="1:256" ht="15" x14ac:dyDescent="0.25">
      <c r="A20" s="1490">
        <v>3</v>
      </c>
      <c r="B20" s="1491">
        <v>44742</v>
      </c>
      <c r="C20" s="1492">
        <f>+'CURVA S'!F16/1.18</f>
        <v>174129.62771616722</v>
      </c>
      <c r="D20" s="1493">
        <f>+VAL_RES.!G39</f>
        <v>174129.63</v>
      </c>
      <c r="E20" s="1499">
        <f>'COE_REAJ_OB. PUENTE'!R56-1</f>
        <v>0.10400000000000009</v>
      </c>
      <c r="F20" s="1493">
        <f t="shared" si="1"/>
        <v>18109.48</v>
      </c>
      <c r="G20" s="1495">
        <f t="shared" si="0"/>
        <v>18109.48</v>
      </c>
      <c r="H20" s="1496">
        <f>+G20</f>
        <v>18109.48</v>
      </c>
      <c r="I20" s="1497">
        <f>+D_DIRECTO!I23</f>
        <v>1907.5507256390981</v>
      </c>
      <c r="J20" s="1497">
        <v>2545.0300000000002</v>
      </c>
      <c r="K20" s="1498">
        <f>H20-I20-J20</f>
        <v>13656.899274360901</v>
      </c>
      <c r="L20" s="300"/>
      <c r="M20" s="302"/>
      <c r="N20" s="176"/>
      <c r="O20" s="176"/>
      <c r="P20" s="169"/>
      <c r="Q20" s="169"/>
      <c r="R20" s="169"/>
      <c r="S20" s="169"/>
      <c r="T20" s="169"/>
      <c r="U20" s="169"/>
      <c r="V20" s="169"/>
      <c r="W20" s="169"/>
      <c r="X20" s="169"/>
      <c r="Y20" s="169"/>
      <c r="Z20" s="169"/>
      <c r="AA20" s="169"/>
      <c r="AB20" s="169"/>
      <c r="AC20" s="169"/>
      <c r="AD20" s="169"/>
      <c r="AE20" s="169"/>
      <c r="AF20" s="169"/>
      <c r="AG20" s="169"/>
      <c r="AH20" s="169"/>
      <c r="AI20" s="169"/>
      <c r="AJ20" s="169"/>
      <c r="AK20" s="169"/>
      <c r="AL20" s="169"/>
      <c r="AM20" s="169"/>
      <c r="AN20" s="169"/>
      <c r="AO20" s="169"/>
      <c r="AP20" s="169"/>
      <c r="AQ20" s="169"/>
      <c r="AR20" s="169"/>
      <c r="AS20" s="169"/>
      <c r="AT20" s="169"/>
      <c r="AU20" s="169"/>
      <c r="AV20" s="169"/>
      <c r="AW20" s="169"/>
      <c r="AX20" s="169"/>
      <c r="AY20" s="169"/>
      <c r="AZ20" s="169"/>
      <c r="BA20" s="169"/>
      <c r="BB20" s="169"/>
      <c r="BC20" s="169"/>
      <c r="BD20" s="169"/>
      <c r="BE20" s="169"/>
      <c r="BF20" s="169"/>
      <c r="BG20" s="169"/>
      <c r="BH20" s="169"/>
      <c r="BI20" s="169"/>
      <c r="BJ20" s="169"/>
      <c r="BK20" s="169"/>
      <c r="BL20" s="169"/>
      <c r="BM20" s="169"/>
      <c r="BN20" s="169"/>
      <c r="BO20" s="169"/>
      <c r="BP20" s="169"/>
      <c r="BQ20" s="169"/>
      <c r="BR20" s="169"/>
      <c r="BS20" s="169"/>
      <c r="BT20" s="169"/>
      <c r="BU20" s="169"/>
      <c r="BV20" s="169"/>
      <c r="BW20" s="169"/>
      <c r="BX20" s="169"/>
      <c r="BY20" s="169"/>
      <c r="BZ20" s="169"/>
      <c r="CA20" s="169"/>
      <c r="CB20" s="169"/>
      <c r="CC20" s="169"/>
      <c r="CD20" s="169"/>
      <c r="CE20" s="169"/>
      <c r="CF20" s="169"/>
      <c r="CG20" s="169"/>
      <c r="CH20" s="169"/>
      <c r="CI20" s="169"/>
      <c r="CJ20" s="169"/>
      <c r="CK20" s="169"/>
      <c r="CL20" s="169"/>
      <c r="CM20" s="169"/>
      <c r="CN20" s="169"/>
      <c r="CO20" s="169"/>
      <c r="CP20" s="169"/>
      <c r="CQ20" s="169"/>
      <c r="CR20" s="169"/>
      <c r="CS20" s="169"/>
      <c r="CT20" s="169"/>
      <c r="CU20" s="169"/>
      <c r="CV20" s="169"/>
      <c r="CW20" s="169"/>
      <c r="CX20" s="169"/>
      <c r="CY20" s="169"/>
      <c r="CZ20" s="169"/>
      <c r="DA20" s="169"/>
      <c r="DB20" s="169"/>
      <c r="DC20" s="169"/>
      <c r="DD20" s="169"/>
      <c r="DE20" s="169"/>
      <c r="DF20" s="169"/>
      <c r="DG20" s="169"/>
      <c r="DH20" s="169"/>
      <c r="DI20" s="169"/>
      <c r="DJ20" s="169"/>
      <c r="DK20" s="169"/>
      <c r="DL20" s="169"/>
      <c r="DM20" s="169"/>
      <c r="DN20" s="169"/>
      <c r="DO20" s="169"/>
      <c r="DP20" s="169"/>
      <c r="DQ20" s="169"/>
      <c r="DR20" s="169"/>
      <c r="DS20" s="169"/>
      <c r="DT20" s="169"/>
      <c r="DU20" s="169"/>
      <c r="DV20" s="169"/>
      <c r="DW20" s="169"/>
      <c r="DX20" s="169"/>
      <c r="DY20" s="169"/>
      <c r="DZ20" s="169"/>
      <c r="EA20" s="169"/>
      <c r="EB20" s="169"/>
      <c r="EC20" s="169"/>
      <c r="ED20" s="169"/>
      <c r="EE20" s="169"/>
      <c r="EF20" s="169"/>
      <c r="EG20" s="169"/>
      <c r="EH20" s="169"/>
      <c r="EI20" s="169"/>
      <c r="EJ20" s="169"/>
      <c r="EK20" s="169"/>
      <c r="EL20" s="169"/>
      <c r="EM20" s="169"/>
      <c r="EN20" s="169"/>
      <c r="EO20" s="169"/>
      <c r="EP20" s="169"/>
      <c r="EQ20" s="169"/>
      <c r="ER20" s="169"/>
      <c r="ES20" s="169"/>
      <c r="ET20" s="169"/>
      <c r="EU20" s="169"/>
      <c r="EV20" s="169"/>
      <c r="EW20" s="169"/>
      <c r="EX20" s="169"/>
      <c r="EY20" s="169"/>
      <c r="EZ20" s="169"/>
      <c r="FA20" s="169"/>
      <c r="FB20" s="169"/>
      <c r="FC20" s="169"/>
      <c r="FD20" s="169"/>
      <c r="FE20" s="169"/>
      <c r="FF20" s="169"/>
      <c r="FG20" s="169"/>
      <c r="FH20" s="169"/>
      <c r="FI20" s="169"/>
      <c r="FJ20" s="169"/>
      <c r="FK20" s="169"/>
      <c r="FL20" s="169"/>
      <c r="FM20" s="169"/>
      <c r="FN20" s="169"/>
      <c r="FO20" s="169"/>
      <c r="FP20" s="169"/>
      <c r="FQ20" s="169"/>
      <c r="FR20" s="169"/>
      <c r="FS20" s="169"/>
      <c r="FT20" s="169"/>
      <c r="FU20" s="169"/>
      <c r="FV20" s="169"/>
      <c r="FW20" s="169"/>
      <c r="FX20" s="169"/>
      <c r="FY20" s="169"/>
      <c r="FZ20" s="169"/>
      <c r="GA20" s="169"/>
      <c r="GB20" s="169"/>
      <c r="GC20" s="169"/>
      <c r="GD20" s="169"/>
      <c r="GE20" s="169"/>
      <c r="GF20" s="169"/>
      <c r="GG20" s="169"/>
      <c r="GH20" s="169"/>
      <c r="GI20" s="169"/>
      <c r="GJ20" s="169"/>
      <c r="GK20" s="169"/>
      <c r="GL20" s="169"/>
      <c r="GM20" s="169"/>
      <c r="GN20" s="169"/>
      <c r="GO20" s="169"/>
      <c r="GP20" s="169"/>
      <c r="GQ20" s="169"/>
      <c r="GR20" s="169"/>
      <c r="GS20" s="169"/>
      <c r="GT20" s="169"/>
      <c r="GU20" s="169"/>
      <c r="GV20" s="169"/>
      <c r="GW20" s="169"/>
      <c r="GX20" s="169"/>
      <c r="GY20" s="169"/>
      <c r="GZ20" s="169"/>
      <c r="HA20" s="169"/>
      <c r="HB20" s="169"/>
      <c r="HC20" s="169"/>
      <c r="HD20" s="169"/>
      <c r="HE20" s="169"/>
      <c r="HF20" s="169"/>
      <c r="HG20" s="169"/>
      <c r="HH20" s="169"/>
      <c r="HI20" s="169"/>
      <c r="HJ20" s="169"/>
      <c r="HK20" s="169"/>
      <c r="HL20" s="169"/>
      <c r="HM20" s="169"/>
      <c r="HN20" s="169"/>
      <c r="HO20" s="169"/>
      <c r="HP20" s="169"/>
      <c r="HQ20" s="169"/>
      <c r="HR20" s="169"/>
      <c r="HS20" s="169"/>
      <c r="HT20" s="169"/>
      <c r="HU20" s="169"/>
      <c r="HV20" s="169"/>
      <c r="HW20" s="169"/>
      <c r="HX20" s="169"/>
      <c r="HY20" s="169"/>
      <c r="HZ20" s="169"/>
      <c r="IA20" s="169"/>
      <c r="IB20" s="169"/>
      <c r="IC20" s="169"/>
      <c r="ID20" s="169"/>
      <c r="IE20" s="169"/>
      <c r="IF20" s="169"/>
      <c r="IG20" s="169"/>
      <c r="IH20" s="169"/>
      <c r="II20" s="169"/>
      <c r="IJ20" s="169"/>
      <c r="IK20" s="169"/>
      <c r="IL20" s="169"/>
      <c r="IM20" s="169"/>
      <c r="IN20" s="169"/>
      <c r="IO20" s="169"/>
      <c r="IP20" s="169"/>
      <c r="IQ20" s="169"/>
      <c r="IR20" s="169"/>
      <c r="IS20" s="169"/>
      <c r="IT20" s="169"/>
      <c r="IU20" s="169"/>
      <c r="IV20" s="169"/>
    </row>
    <row r="21" spans="1:256" ht="15" x14ac:dyDescent="0.25">
      <c r="A21" s="1490">
        <v>4</v>
      </c>
      <c r="B21" s="1491">
        <v>44773</v>
      </c>
      <c r="C21" s="1492">
        <f>+'CURVA S'!G16/1.18</f>
        <v>680701.44699101371</v>
      </c>
      <c r="D21" s="1493">
        <v>680701.45</v>
      </c>
      <c r="E21" s="1499">
        <f>'COE_REAJ_OB. PUENTE'!T56-1</f>
        <v>6.800000000000006E-2</v>
      </c>
      <c r="F21" s="1493">
        <f t="shared" si="1"/>
        <v>46287.7</v>
      </c>
      <c r="G21" s="1495">
        <f t="shared" ref="G21:G26" si="3">ROUND(D21*E21,2)</f>
        <v>46287.7</v>
      </c>
      <c r="H21" s="1496">
        <f>+G21</f>
        <v>46287.7</v>
      </c>
      <c r="I21" s="1497">
        <f>+D_DIRECTO!I37</f>
        <v>-643.35934428565088</v>
      </c>
      <c r="J21" s="1497">
        <f>+D_MAT!M92</f>
        <v>-12887.779999999999</v>
      </c>
      <c r="K21" s="1498">
        <f t="shared" ref="K21" si="4">H21-I21-J21</f>
        <v>59818.839344285647</v>
      </c>
      <c r="L21" s="300"/>
      <c r="M21" s="629">
        <f>SUM(C18:C23)</f>
        <v>4228497.1304535409</v>
      </c>
      <c r="N21" s="629">
        <f>SUM(D18:D23)</f>
        <v>2772782.1999999997</v>
      </c>
      <c r="O21" s="629">
        <f>+M21-N21</f>
        <v>1455714.9304535412</v>
      </c>
      <c r="P21" s="628"/>
      <c r="Q21" s="628"/>
      <c r="R21" s="628"/>
      <c r="S21" s="628"/>
      <c r="T21" s="628"/>
      <c r="U21" s="628"/>
      <c r="V21" s="628"/>
      <c r="W21" s="628"/>
      <c r="X21" s="628"/>
      <c r="Y21" s="628"/>
      <c r="Z21" s="628"/>
      <c r="AA21" s="628"/>
      <c r="AB21" s="628"/>
      <c r="AC21" s="628"/>
      <c r="AD21" s="628"/>
      <c r="AE21" s="628"/>
      <c r="AF21" s="628"/>
      <c r="AG21" s="628"/>
      <c r="AH21" s="628"/>
      <c r="AI21" s="628"/>
      <c r="AJ21" s="628"/>
      <c r="AK21" s="628"/>
      <c r="AL21" s="628"/>
      <c r="AM21" s="628"/>
      <c r="AN21" s="628"/>
      <c r="AO21" s="628"/>
      <c r="AP21" s="628"/>
      <c r="AQ21" s="628"/>
      <c r="AR21" s="628"/>
      <c r="AS21" s="628"/>
      <c r="AT21" s="628"/>
      <c r="AU21" s="628"/>
      <c r="AV21" s="628"/>
      <c r="AW21" s="628"/>
      <c r="AX21" s="628"/>
      <c r="AY21" s="628"/>
      <c r="AZ21" s="628"/>
      <c r="BA21" s="628"/>
      <c r="BB21" s="628"/>
      <c r="BC21" s="628"/>
      <c r="BD21" s="628"/>
      <c r="BE21" s="628"/>
      <c r="BF21" s="628"/>
      <c r="BG21" s="628"/>
      <c r="BH21" s="628"/>
      <c r="BI21" s="628"/>
      <c r="BJ21" s="628"/>
      <c r="BK21" s="628"/>
      <c r="BL21" s="628"/>
      <c r="BM21" s="628"/>
      <c r="BN21" s="628"/>
      <c r="BO21" s="628"/>
      <c r="BP21" s="628"/>
      <c r="BQ21" s="628"/>
      <c r="BR21" s="628"/>
      <c r="BS21" s="628"/>
      <c r="BT21" s="628"/>
      <c r="BU21" s="628"/>
      <c r="BV21" s="628"/>
      <c r="BW21" s="628"/>
      <c r="BX21" s="628"/>
      <c r="BY21" s="628"/>
      <c r="BZ21" s="628"/>
      <c r="CA21" s="628"/>
      <c r="CB21" s="628"/>
      <c r="CC21" s="628"/>
      <c r="CD21" s="628"/>
      <c r="CE21" s="628"/>
      <c r="CF21" s="628"/>
      <c r="CG21" s="628"/>
      <c r="CH21" s="628"/>
      <c r="CI21" s="628"/>
      <c r="CJ21" s="628"/>
      <c r="CK21" s="628"/>
      <c r="CL21" s="628"/>
      <c r="CM21" s="628"/>
      <c r="CN21" s="628"/>
      <c r="CO21" s="628"/>
      <c r="CP21" s="628"/>
      <c r="CQ21" s="628"/>
      <c r="CR21" s="628"/>
      <c r="CS21" s="628"/>
      <c r="CT21" s="628"/>
      <c r="CU21" s="628"/>
      <c r="CV21" s="628"/>
      <c r="CW21" s="628"/>
      <c r="CX21" s="628"/>
      <c r="CY21" s="628"/>
      <c r="CZ21" s="628"/>
      <c r="DA21" s="628"/>
      <c r="DB21" s="628"/>
      <c r="DC21" s="628"/>
      <c r="DD21" s="628"/>
      <c r="DE21" s="628"/>
      <c r="DF21" s="628"/>
      <c r="DG21" s="628"/>
      <c r="DH21" s="628"/>
      <c r="DI21" s="628"/>
      <c r="DJ21" s="628"/>
      <c r="DK21" s="628"/>
      <c r="DL21" s="628"/>
      <c r="DM21" s="628"/>
      <c r="DN21" s="628"/>
      <c r="DO21" s="628"/>
      <c r="DP21" s="628"/>
      <c r="DQ21" s="628"/>
      <c r="DR21" s="628"/>
      <c r="DS21" s="628"/>
      <c r="DT21" s="628"/>
      <c r="DU21" s="628"/>
      <c r="DV21" s="628"/>
      <c r="DW21" s="628"/>
      <c r="DX21" s="628"/>
      <c r="DY21" s="628"/>
      <c r="DZ21" s="628"/>
      <c r="EA21" s="628"/>
      <c r="EB21" s="628"/>
      <c r="EC21" s="628"/>
      <c r="ED21" s="628"/>
      <c r="EE21" s="628"/>
      <c r="EF21" s="628"/>
      <c r="EG21" s="628"/>
      <c r="EH21" s="628"/>
      <c r="EI21" s="628"/>
      <c r="EJ21" s="628"/>
      <c r="EK21" s="628"/>
      <c r="EL21" s="628"/>
      <c r="EM21" s="628"/>
      <c r="EN21" s="628"/>
      <c r="EO21" s="628"/>
      <c r="EP21" s="628"/>
      <c r="EQ21" s="628"/>
      <c r="ER21" s="628"/>
      <c r="ES21" s="628"/>
      <c r="ET21" s="628"/>
      <c r="EU21" s="628"/>
      <c r="EV21" s="628"/>
      <c r="EW21" s="628"/>
      <c r="EX21" s="628"/>
      <c r="EY21" s="628"/>
      <c r="EZ21" s="628"/>
      <c r="FA21" s="628"/>
      <c r="FB21" s="628"/>
      <c r="FC21" s="628"/>
      <c r="FD21" s="628"/>
      <c r="FE21" s="628"/>
      <c r="FF21" s="628"/>
      <c r="FG21" s="628"/>
      <c r="FH21" s="628"/>
      <c r="FI21" s="628"/>
      <c r="FJ21" s="628"/>
      <c r="FK21" s="628"/>
      <c r="FL21" s="628"/>
      <c r="FM21" s="628"/>
      <c r="FN21" s="628"/>
      <c r="FO21" s="628"/>
      <c r="FP21" s="628"/>
      <c r="FQ21" s="628"/>
      <c r="FR21" s="628"/>
      <c r="FS21" s="628"/>
      <c r="FT21" s="628"/>
      <c r="FU21" s="628"/>
      <c r="FV21" s="628"/>
      <c r="FW21" s="628"/>
      <c r="FX21" s="628"/>
      <c r="FY21" s="628"/>
      <c r="FZ21" s="628"/>
      <c r="GA21" s="628"/>
      <c r="GB21" s="628"/>
      <c r="GC21" s="628"/>
      <c r="GD21" s="628"/>
      <c r="GE21" s="628"/>
      <c r="GF21" s="628"/>
      <c r="GG21" s="628"/>
      <c r="GH21" s="628"/>
      <c r="GI21" s="628"/>
      <c r="GJ21" s="628"/>
      <c r="GK21" s="628"/>
      <c r="GL21" s="628"/>
      <c r="GM21" s="628"/>
      <c r="GN21" s="628"/>
      <c r="GO21" s="628"/>
      <c r="GP21" s="628"/>
      <c r="GQ21" s="628"/>
      <c r="GR21" s="628"/>
      <c r="GS21" s="628"/>
      <c r="GT21" s="628"/>
      <c r="GU21" s="628"/>
      <c r="GV21" s="628"/>
      <c r="GW21" s="628"/>
      <c r="GX21" s="628"/>
      <c r="GY21" s="628"/>
      <c r="GZ21" s="628"/>
      <c r="HA21" s="628"/>
      <c r="HB21" s="628"/>
      <c r="HC21" s="628"/>
      <c r="HD21" s="628"/>
      <c r="HE21" s="628"/>
      <c r="HF21" s="628"/>
      <c r="HG21" s="628"/>
      <c r="HH21" s="628"/>
      <c r="HI21" s="628"/>
      <c r="HJ21" s="628"/>
      <c r="HK21" s="628"/>
      <c r="HL21" s="628"/>
      <c r="HM21" s="628"/>
      <c r="HN21" s="628"/>
      <c r="HO21" s="628"/>
      <c r="HP21" s="628"/>
      <c r="HQ21" s="628"/>
      <c r="HR21" s="628"/>
      <c r="HS21" s="628"/>
      <c r="HT21" s="628"/>
      <c r="HU21" s="628"/>
      <c r="HV21" s="628"/>
      <c r="HW21" s="628"/>
      <c r="HX21" s="628"/>
      <c r="HY21" s="628"/>
      <c r="HZ21" s="628"/>
      <c r="IA21" s="628"/>
      <c r="IB21" s="628"/>
      <c r="IC21" s="628"/>
      <c r="ID21" s="628"/>
      <c r="IE21" s="628"/>
      <c r="IF21" s="628"/>
      <c r="IG21" s="628"/>
      <c r="IH21" s="628"/>
      <c r="II21" s="628"/>
      <c r="IJ21" s="628"/>
      <c r="IK21" s="628"/>
      <c r="IL21" s="628"/>
      <c r="IM21" s="628"/>
      <c r="IN21" s="628"/>
      <c r="IO21" s="628"/>
      <c r="IP21" s="628"/>
      <c r="IQ21" s="628"/>
      <c r="IR21" s="628"/>
      <c r="IS21" s="628"/>
      <c r="IT21" s="628"/>
      <c r="IU21" s="628"/>
      <c r="IV21" s="628"/>
    </row>
    <row r="22" spans="1:256" ht="15" x14ac:dyDescent="0.25">
      <c r="A22" s="1490">
        <v>5</v>
      </c>
      <c r="B22" s="1491">
        <v>44804</v>
      </c>
      <c r="C22" s="1492">
        <f>+'CURVA S'!H16/1.18</f>
        <v>1560353.1424390441</v>
      </c>
      <c r="D22" s="1493">
        <v>1560353.15</v>
      </c>
      <c r="E22" s="1500">
        <f>'COE_REAJ_OB. PUENTE'!T56-1</f>
        <v>6.800000000000006E-2</v>
      </c>
      <c r="F22" s="1493">
        <f>ROUND(C22*E22,2)</f>
        <v>106104.01</v>
      </c>
      <c r="G22" s="1495">
        <f>ROUND(D22*E22,2)</f>
        <v>106104.01</v>
      </c>
      <c r="H22" s="1496">
        <f>G22</f>
        <v>106104.01</v>
      </c>
      <c r="I22" s="1497">
        <v>0</v>
      </c>
      <c r="J22" s="1497">
        <v>0</v>
      </c>
      <c r="K22" s="1498">
        <f t="shared" ref="K22" si="5">H22-I22-J22</f>
        <v>106104.01</v>
      </c>
      <c r="L22" s="300"/>
      <c r="M22" s="629"/>
      <c r="N22" s="629"/>
      <c r="O22" s="629"/>
      <c r="P22" s="628"/>
      <c r="Q22" s="628"/>
      <c r="R22" s="628"/>
      <c r="S22" s="628"/>
      <c r="T22" s="628"/>
      <c r="U22" s="628"/>
      <c r="V22" s="628"/>
      <c r="W22" s="628"/>
      <c r="X22" s="628"/>
      <c r="Y22" s="628"/>
      <c r="Z22" s="628"/>
      <c r="AA22" s="628"/>
      <c r="AB22" s="628"/>
      <c r="AC22" s="628"/>
      <c r="AD22" s="628"/>
      <c r="AE22" s="628"/>
      <c r="AF22" s="628"/>
      <c r="AG22" s="628"/>
      <c r="AH22" s="628"/>
      <c r="AI22" s="628"/>
      <c r="AJ22" s="628"/>
      <c r="AK22" s="628"/>
      <c r="AL22" s="628"/>
      <c r="AM22" s="628"/>
      <c r="AN22" s="628"/>
      <c r="AO22" s="628"/>
      <c r="AP22" s="628"/>
      <c r="AQ22" s="628"/>
      <c r="AR22" s="628"/>
      <c r="AS22" s="628"/>
      <c r="AT22" s="628"/>
      <c r="AU22" s="628"/>
      <c r="AV22" s="628"/>
      <c r="AW22" s="628"/>
      <c r="AX22" s="628"/>
      <c r="AY22" s="628"/>
      <c r="AZ22" s="628"/>
      <c r="BA22" s="628"/>
      <c r="BB22" s="628"/>
      <c r="BC22" s="628"/>
      <c r="BD22" s="628"/>
      <c r="BE22" s="628"/>
      <c r="BF22" s="628"/>
      <c r="BG22" s="628"/>
      <c r="BH22" s="628"/>
      <c r="BI22" s="628"/>
      <c r="BJ22" s="628"/>
      <c r="BK22" s="628"/>
      <c r="BL22" s="628"/>
      <c r="BM22" s="628"/>
      <c r="BN22" s="628"/>
      <c r="BO22" s="628"/>
      <c r="BP22" s="628"/>
      <c r="BQ22" s="628"/>
      <c r="BR22" s="628"/>
      <c r="BS22" s="628"/>
      <c r="BT22" s="628"/>
      <c r="BU22" s="628"/>
      <c r="BV22" s="628"/>
      <c r="BW22" s="628"/>
      <c r="BX22" s="628"/>
      <c r="BY22" s="628"/>
      <c r="BZ22" s="628"/>
      <c r="CA22" s="628"/>
      <c r="CB22" s="628"/>
      <c r="CC22" s="628"/>
      <c r="CD22" s="628"/>
      <c r="CE22" s="628"/>
      <c r="CF22" s="628"/>
      <c r="CG22" s="628"/>
      <c r="CH22" s="628"/>
      <c r="CI22" s="628"/>
      <c r="CJ22" s="628"/>
      <c r="CK22" s="628"/>
      <c r="CL22" s="628"/>
      <c r="CM22" s="628"/>
      <c r="CN22" s="628"/>
      <c r="CO22" s="628"/>
      <c r="CP22" s="628"/>
      <c r="CQ22" s="628"/>
      <c r="CR22" s="628"/>
      <c r="CS22" s="628"/>
      <c r="CT22" s="628"/>
      <c r="CU22" s="628"/>
      <c r="CV22" s="628"/>
      <c r="CW22" s="628"/>
      <c r="CX22" s="628"/>
      <c r="CY22" s="628"/>
      <c r="CZ22" s="628"/>
      <c r="DA22" s="628"/>
      <c r="DB22" s="628"/>
      <c r="DC22" s="628"/>
      <c r="DD22" s="628"/>
      <c r="DE22" s="628"/>
      <c r="DF22" s="628"/>
      <c r="DG22" s="628"/>
      <c r="DH22" s="628"/>
      <c r="DI22" s="628"/>
      <c r="DJ22" s="628"/>
      <c r="DK22" s="628"/>
      <c r="DL22" s="628"/>
      <c r="DM22" s="628"/>
      <c r="DN22" s="628"/>
      <c r="DO22" s="628"/>
      <c r="DP22" s="628"/>
      <c r="DQ22" s="628"/>
      <c r="DR22" s="628"/>
      <c r="DS22" s="628"/>
      <c r="DT22" s="628"/>
      <c r="DU22" s="628"/>
      <c r="DV22" s="628"/>
      <c r="DW22" s="628"/>
      <c r="DX22" s="628"/>
      <c r="DY22" s="628"/>
      <c r="DZ22" s="628"/>
      <c r="EA22" s="628"/>
      <c r="EB22" s="628"/>
      <c r="EC22" s="628"/>
      <c r="ED22" s="628"/>
      <c r="EE22" s="628"/>
      <c r="EF22" s="628"/>
      <c r="EG22" s="628"/>
      <c r="EH22" s="628"/>
      <c r="EI22" s="628"/>
      <c r="EJ22" s="628"/>
      <c r="EK22" s="628"/>
      <c r="EL22" s="628"/>
      <c r="EM22" s="628"/>
      <c r="EN22" s="628"/>
      <c r="EO22" s="628"/>
      <c r="EP22" s="628"/>
      <c r="EQ22" s="628"/>
      <c r="ER22" s="628"/>
      <c r="ES22" s="628"/>
      <c r="ET22" s="628"/>
      <c r="EU22" s="628"/>
      <c r="EV22" s="628"/>
      <c r="EW22" s="628"/>
      <c r="EX22" s="628"/>
      <c r="EY22" s="628"/>
      <c r="EZ22" s="628"/>
      <c r="FA22" s="628"/>
      <c r="FB22" s="628"/>
      <c r="FC22" s="628"/>
      <c r="FD22" s="628"/>
      <c r="FE22" s="628"/>
      <c r="FF22" s="628"/>
      <c r="FG22" s="628"/>
      <c r="FH22" s="628"/>
      <c r="FI22" s="628"/>
      <c r="FJ22" s="628"/>
      <c r="FK22" s="628"/>
      <c r="FL22" s="628"/>
      <c r="FM22" s="628"/>
      <c r="FN22" s="628"/>
      <c r="FO22" s="628"/>
      <c r="FP22" s="628"/>
      <c r="FQ22" s="628"/>
      <c r="FR22" s="628"/>
      <c r="FS22" s="628"/>
      <c r="FT22" s="628"/>
      <c r="FU22" s="628"/>
      <c r="FV22" s="628"/>
      <c r="FW22" s="628"/>
      <c r="FX22" s="628"/>
      <c r="FY22" s="628"/>
      <c r="FZ22" s="628"/>
      <c r="GA22" s="628"/>
      <c r="GB22" s="628"/>
      <c r="GC22" s="628"/>
      <c r="GD22" s="628"/>
      <c r="GE22" s="628"/>
      <c r="GF22" s="628"/>
      <c r="GG22" s="628"/>
      <c r="GH22" s="628"/>
      <c r="GI22" s="628"/>
      <c r="GJ22" s="628"/>
      <c r="GK22" s="628"/>
      <c r="GL22" s="628"/>
      <c r="GM22" s="628"/>
      <c r="GN22" s="628"/>
      <c r="GO22" s="628"/>
      <c r="GP22" s="628"/>
      <c r="GQ22" s="628"/>
      <c r="GR22" s="628"/>
      <c r="GS22" s="628"/>
      <c r="GT22" s="628"/>
      <c r="GU22" s="628"/>
      <c r="GV22" s="628"/>
      <c r="GW22" s="628"/>
      <c r="GX22" s="628"/>
      <c r="GY22" s="628"/>
      <c r="GZ22" s="628"/>
      <c r="HA22" s="628"/>
      <c r="HB22" s="628"/>
      <c r="HC22" s="628"/>
      <c r="HD22" s="628"/>
      <c r="HE22" s="628"/>
      <c r="HF22" s="628"/>
      <c r="HG22" s="628"/>
      <c r="HH22" s="628"/>
      <c r="HI22" s="628"/>
      <c r="HJ22" s="628"/>
      <c r="HK22" s="628"/>
      <c r="HL22" s="628"/>
      <c r="HM22" s="628"/>
      <c r="HN22" s="628"/>
      <c r="HO22" s="628"/>
      <c r="HP22" s="628"/>
      <c r="HQ22" s="628"/>
      <c r="HR22" s="628"/>
      <c r="HS22" s="628"/>
      <c r="HT22" s="628"/>
      <c r="HU22" s="628"/>
      <c r="HV22" s="628"/>
      <c r="HW22" s="628"/>
      <c r="HX22" s="628"/>
      <c r="HY22" s="628"/>
      <c r="HZ22" s="628"/>
      <c r="IA22" s="628"/>
      <c r="IB22" s="628"/>
      <c r="IC22" s="628"/>
      <c r="ID22" s="628"/>
      <c r="IE22" s="628"/>
      <c r="IF22" s="628"/>
      <c r="IG22" s="628"/>
      <c r="IH22" s="628"/>
      <c r="II22" s="628"/>
      <c r="IJ22" s="628"/>
      <c r="IK22" s="628"/>
      <c r="IL22" s="628"/>
      <c r="IM22" s="628"/>
      <c r="IN22" s="628"/>
      <c r="IO22" s="628"/>
      <c r="IP22" s="628"/>
      <c r="IQ22" s="628"/>
      <c r="IR22" s="628"/>
      <c r="IS22" s="628"/>
      <c r="IT22" s="628"/>
      <c r="IU22" s="628"/>
      <c r="IV22" s="628"/>
    </row>
    <row r="23" spans="1:256" ht="15" x14ac:dyDescent="0.25">
      <c r="A23" s="1490">
        <v>6</v>
      </c>
      <c r="B23" s="1491">
        <v>44834</v>
      </c>
      <c r="C23" s="1492">
        <f>+'CURVA S'!I16/1.18</f>
        <v>1669307.7410000002</v>
      </c>
      <c r="D23" s="1493">
        <f>'PUENTE CCANCHI'!J127</f>
        <v>213592.8</v>
      </c>
      <c r="E23" s="1500">
        <f>'COE_REAJ_OB. PUENTE'!T56-1</f>
        <v>6.800000000000006E-2</v>
      </c>
      <c r="F23" s="1493">
        <f>ROUND(C23*E23,2)</f>
        <v>113512.93</v>
      </c>
      <c r="G23" s="1495">
        <f>ROUND(D23*E23,2)</f>
        <v>14524.31</v>
      </c>
      <c r="H23" s="1496">
        <f>G23</f>
        <v>14524.31</v>
      </c>
      <c r="I23" s="1497">
        <v>0</v>
      </c>
      <c r="J23" s="1497">
        <v>0</v>
      </c>
      <c r="K23" s="1498">
        <f t="shared" ref="K23" si="6">H23-I23-J23</f>
        <v>14524.31</v>
      </c>
      <c r="L23" s="300"/>
      <c r="M23" s="629"/>
      <c r="N23" s="629"/>
      <c r="O23" s="629"/>
      <c r="P23" s="628"/>
      <c r="Q23" s="628"/>
      <c r="R23" s="628"/>
      <c r="S23" s="628"/>
      <c r="T23" s="628"/>
      <c r="U23" s="628"/>
      <c r="V23" s="628"/>
      <c r="W23" s="628"/>
      <c r="X23" s="628"/>
      <c r="Y23" s="628"/>
      <c r="Z23" s="628"/>
      <c r="AA23" s="628"/>
      <c r="AB23" s="628"/>
      <c r="AC23" s="628"/>
      <c r="AD23" s="628"/>
      <c r="AE23" s="628"/>
      <c r="AF23" s="628"/>
      <c r="AG23" s="628"/>
      <c r="AH23" s="628"/>
      <c r="AI23" s="628"/>
      <c r="AJ23" s="628"/>
      <c r="AK23" s="628"/>
      <c r="AL23" s="628"/>
      <c r="AM23" s="628"/>
      <c r="AN23" s="628"/>
      <c r="AO23" s="628"/>
      <c r="AP23" s="628"/>
      <c r="AQ23" s="628"/>
      <c r="AR23" s="628"/>
      <c r="AS23" s="628"/>
      <c r="AT23" s="628"/>
      <c r="AU23" s="628"/>
      <c r="AV23" s="628"/>
      <c r="AW23" s="628"/>
      <c r="AX23" s="628"/>
      <c r="AY23" s="628"/>
      <c r="AZ23" s="628"/>
      <c r="BA23" s="628"/>
      <c r="BB23" s="628"/>
      <c r="BC23" s="628"/>
      <c r="BD23" s="628"/>
      <c r="BE23" s="628"/>
      <c r="BF23" s="628"/>
      <c r="BG23" s="628"/>
      <c r="BH23" s="628"/>
      <c r="BI23" s="628"/>
      <c r="BJ23" s="628"/>
      <c r="BK23" s="628"/>
      <c r="BL23" s="628"/>
      <c r="BM23" s="628"/>
      <c r="BN23" s="628"/>
      <c r="BO23" s="628"/>
      <c r="BP23" s="628"/>
      <c r="BQ23" s="628"/>
      <c r="BR23" s="628"/>
      <c r="BS23" s="628"/>
      <c r="BT23" s="628"/>
      <c r="BU23" s="628"/>
      <c r="BV23" s="628"/>
      <c r="BW23" s="628"/>
      <c r="BX23" s="628"/>
      <c r="BY23" s="628"/>
      <c r="BZ23" s="628"/>
      <c r="CA23" s="628"/>
      <c r="CB23" s="628"/>
      <c r="CC23" s="628"/>
      <c r="CD23" s="628"/>
      <c r="CE23" s="628"/>
      <c r="CF23" s="628"/>
      <c r="CG23" s="628"/>
      <c r="CH23" s="628"/>
      <c r="CI23" s="628"/>
      <c r="CJ23" s="628"/>
      <c r="CK23" s="628"/>
      <c r="CL23" s="628"/>
      <c r="CM23" s="628"/>
      <c r="CN23" s="628"/>
      <c r="CO23" s="628"/>
      <c r="CP23" s="628"/>
      <c r="CQ23" s="628"/>
      <c r="CR23" s="628"/>
      <c r="CS23" s="628"/>
      <c r="CT23" s="628"/>
      <c r="CU23" s="628"/>
      <c r="CV23" s="628"/>
      <c r="CW23" s="628"/>
      <c r="CX23" s="628"/>
      <c r="CY23" s="628"/>
      <c r="CZ23" s="628"/>
      <c r="DA23" s="628"/>
      <c r="DB23" s="628"/>
      <c r="DC23" s="628"/>
      <c r="DD23" s="628"/>
      <c r="DE23" s="628"/>
      <c r="DF23" s="628"/>
      <c r="DG23" s="628"/>
      <c r="DH23" s="628"/>
      <c r="DI23" s="628"/>
      <c r="DJ23" s="628"/>
      <c r="DK23" s="628"/>
      <c r="DL23" s="628"/>
      <c r="DM23" s="628"/>
      <c r="DN23" s="628"/>
      <c r="DO23" s="628"/>
      <c r="DP23" s="628"/>
      <c r="DQ23" s="628"/>
      <c r="DR23" s="628"/>
      <c r="DS23" s="628"/>
      <c r="DT23" s="628"/>
      <c r="DU23" s="628"/>
      <c r="DV23" s="628"/>
      <c r="DW23" s="628"/>
      <c r="DX23" s="628"/>
      <c r="DY23" s="628"/>
      <c r="DZ23" s="628"/>
      <c r="EA23" s="628"/>
      <c r="EB23" s="628"/>
      <c r="EC23" s="628"/>
      <c r="ED23" s="628"/>
      <c r="EE23" s="628"/>
      <c r="EF23" s="628"/>
      <c r="EG23" s="628"/>
      <c r="EH23" s="628"/>
      <c r="EI23" s="628"/>
      <c r="EJ23" s="628"/>
      <c r="EK23" s="628"/>
      <c r="EL23" s="628"/>
      <c r="EM23" s="628"/>
      <c r="EN23" s="628"/>
      <c r="EO23" s="628"/>
      <c r="EP23" s="628"/>
      <c r="EQ23" s="628"/>
      <c r="ER23" s="628"/>
      <c r="ES23" s="628"/>
      <c r="ET23" s="628"/>
      <c r="EU23" s="628"/>
      <c r="EV23" s="628"/>
      <c r="EW23" s="628"/>
      <c r="EX23" s="628"/>
      <c r="EY23" s="628"/>
      <c r="EZ23" s="628"/>
      <c r="FA23" s="628"/>
      <c r="FB23" s="628"/>
      <c r="FC23" s="628"/>
      <c r="FD23" s="628"/>
      <c r="FE23" s="628"/>
      <c r="FF23" s="628"/>
      <c r="FG23" s="628"/>
      <c r="FH23" s="628"/>
      <c r="FI23" s="628"/>
      <c r="FJ23" s="628"/>
      <c r="FK23" s="628"/>
      <c r="FL23" s="628"/>
      <c r="FM23" s="628"/>
      <c r="FN23" s="628"/>
      <c r="FO23" s="628"/>
      <c r="FP23" s="628"/>
      <c r="FQ23" s="628"/>
      <c r="FR23" s="628"/>
      <c r="FS23" s="628"/>
      <c r="FT23" s="628"/>
      <c r="FU23" s="628"/>
      <c r="FV23" s="628"/>
      <c r="FW23" s="628"/>
      <c r="FX23" s="628"/>
      <c r="FY23" s="628"/>
      <c r="FZ23" s="628"/>
      <c r="GA23" s="628"/>
      <c r="GB23" s="628"/>
      <c r="GC23" s="628"/>
      <c r="GD23" s="628"/>
      <c r="GE23" s="628"/>
      <c r="GF23" s="628"/>
      <c r="GG23" s="628"/>
      <c r="GH23" s="628"/>
      <c r="GI23" s="628"/>
      <c r="GJ23" s="628"/>
      <c r="GK23" s="628"/>
      <c r="GL23" s="628"/>
      <c r="GM23" s="628"/>
      <c r="GN23" s="628"/>
      <c r="GO23" s="628"/>
      <c r="GP23" s="628"/>
      <c r="GQ23" s="628"/>
      <c r="GR23" s="628"/>
      <c r="GS23" s="628"/>
      <c r="GT23" s="628"/>
      <c r="GU23" s="628"/>
      <c r="GV23" s="628"/>
      <c r="GW23" s="628"/>
      <c r="GX23" s="628"/>
      <c r="GY23" s="628"/>
      <c r="GZ23" s="628"/>
      <c r="HA23" s="628"/>
      <c r="HB23" s="628"/>
      <c r="HC23" s="628"/>
      <c r="HD23" s="628"/>
      <c r="HE23" s="628"/>
      <c r="HF23" s="628"/>
      <c r="HG23" s="628"/>
      <c r="HH23" s="628"/>
      <c r="HI23" s="628"/>
      <c r="HJ23" s="628"/>
      <c r="HK23" s="628"/>
      <c r="HL23" s="628"/>
      <c r="HM23" s="628"/>
      <c r="HN23" s="628"/>
      <c r="HO23" s="628"/>
      <c r="HP23" s="628"/>
      <c r="HQ23" s="628"/>
      <c r="HR23" s="628"/>
      <c r="HS23" s="628"/>
      <c r="HT23" s="628"/>
      <c r="HU23" s="628"/>
      <c r="HV23" s="628"/>
      <c r="HW23" s="628"/>
      <c r="HX23" s="628"/>
      <c r="HY23" s="628"/>
      <c r="HZ23" s="628"/>
      <c r="IA23" s="628"/>
      <c r="IB23" s="628"/>
      <c r="IC23" s="628"/>
      <c r="ID23" s="628"/>
      <c r="IE23" s="628"/>
      <c r="IF23" s="628"/>
      <c r="IG23" s="628"/>
      <c r="IH23" s="628"/>
      <c r="II23" s="628"/>
      <c r="IJ23" s="628"/>
      <c r="IK23" s="628"/>
      <c r="IL23" s="628"/>
      <c r="IM23" s="628"/>
      <c r="IN23" s="628"/>
      <c r="IO23" s="628"/>
      <c r="IP23" s="628"/>
      <c r="IQ23" s="628"/>
      <c r="IR23" s="628"/>
      <c r="IS23" s="628"/>
      <c r="IT23" s="628"/>
      <c r="IU23" s="628"/>
      <c r="IV23" s="628"/>
    </row>
    <row r="24" spans="1:256" ht="15" x14ac:dyDescent="0.25">
      <c r="A24" s="1490">
        <v>7</v>
      </c>
      <c r="B24" s="1491">
        <v>44865</v>
      </c>
      <c r="C24" s="1492">
        <f>+'CURVA S'!J16/1.18</f>
        <v>134499.09599999999</v>
      </c>
      <c r="D24" s="1493">
        <f>+VAL_RES.!K39</f>
        <v>134499.1</v>
      </c>
      <c r="E24" s="1500"/>
      <c r="F24" s="1493">
        <f t="shared" si="1"/>
        <v>0</v>
      </c>
      <c r="G24" s="1495">
        <f t="shared" si="3"/>
        <v>0</v>
      </c>
      <c r="H24" s="1496">
        <v>0</v>
      </c>
      <c r="I24" s="1497">
        <v>0</v>
      </c>
      <c r="J24" s="1497">
        <v>0</v>
      </c>
      <c r="K24" s="1498">
        <f t="shared" ref="K24" si="7">H24-I24-J24</f>
        <v>0</v>
      </c>
      <c r="L24" s="300"/>
      <c r="M24" s="629"/>
      <c r="N24" s="629"/>
      <c r="O24" s="629"/>
      <c r="P24" s="628"/>
      <c r="Q24" s="628"/>
      <c r="R24" s="628"/>
      <c r="S24" s="628"/>
      <c r="T24" s="628"/>
      <c r="U24" s="628"/>
      <c r="V24" s="628"/>
      <c r="W24" s="628"/>
      <c r="X24" s="628"/>
      <c r="Y24" s="628"/>
      <c r="Z24" s="628"/>
      <c r="AA24" s="628"/>
      <c r="AB24" s="628"/>
      <c r="AC24" s="628"/>
      <c r="AD24" s="628"/>
      <c r="AE24" s="628"/>
      <c r="AF24" s="628"/>
      <c r="AG24" s="628"/>
      <c r="AH24" s="628"/>
      <c r="AI24" s="628"/>
      <c r="AJ24" s="628"/>
      <c r="AK24" s="628"/>
      <c r="AL24" s="628"/>
      <c r="AM24" s="628"/>
      <c r="AN24" s="628"/>
      <c r="AO24" s="628"/>
      <c r="AP24" s="628"/>
      <c r="AQ24" s="628"/>
      <c r="AR24" s="628"/>
      <c r="AS24" s="628"/>
      <c r="AT24" s="628"/>
      <c r="AU24" s="628"/>
      <c r="AV24" s="628"/>
      <c r="AW24" s="628"/>
      <c r="AX24" s="628"/>
      <c r="AY24" s="628"/>
      <c r="AZ24" s="628"/>
      <c r="BA24" s="628"/>
      <c r="BB24" s="628"/>
      <c r="BC24" s="628"/>
      <c r="BD24" s="628"/>
      <c r="BE24" s="628"/>
      <c r="BF24" s="628"/>
      <c r="BG24" s="628"/>
      <c r="BH24" s="628"/>
      <c r="BI24" s="628"/>
      <c r="BJ24" s="628"/>
      <c r="BK24" s="628"/>
      <c r="BL24" s="628"/>
      <c r="BM24" s="628"/>
      <c r="BN24" s="628"/>
      <c r="BO24" s="628"/>
      <c r="BP24" s="628"/>
      <c r="BQ24" s="628"/>
      <c r="BR24" s="628"/>
      <c r="BS24" s="628"/>
      <c r="BT24" s="628"/>
      <c r="BU24" s="628"/>
      <c r="BV24" s="628"/>
      <c r="BW24" s="628"/>
      <c r="BX24" s="628"/>
      <c r="BY24" s="628"/>
      <c r="BZ24" s="628"/>
      <c r="CA24" s="628"/>
      <c r="CB24" s="628"/>
      <c r="CC24" s="628"/>
      <c r="CD24" s="628"/>
      <c r="CE24" s="628"/>
      <c r="CF24" s="628"/>
      <c r="CG24" s="628"/>
      <c r="CH24" s="628"/>
      <c r="CI24" s="628"/>
      <c r="CJ24" s="628"/>
      <c r="CK24" s="628"/>
      <c r="CL24" s="628"/>
      <c r="CM24" s="628"/>
      <c r="CN24" s="628"/>
      <c r="CO24" s="628"/>
      <c r="CP24" s="628"/>
      <c r="CQ24" s="628"/>
      <c r="CR24" s="628"/>
      <c r="CS24" s="628"/>
      <c r="CT24" s="628"/>
      <c r="CU24" s="628"/>
      <c r="CV24" s="628"/>
      <c r="CW24" s="628"/>
      <c r="CX24" s="628"/>
      <c r="CY24" s="628"/>
      <c r="CZ24" s="628"/>
      <c r="DA24" s="628"/>
      <c r="DB24" s="628"/>
      <c r="DC24" s="628"/>
      <c r="DD24" s="628"/>
      <c r="DE24" s="628"/>
      <c r="DF24" s="628"/>
      <c r="DG24" s="628"/>
      <c r="DH24" s="628"/>
      <c r="DI24" s="628"/>
      <c r="DJ24" s="628"/>
      <c r="DK24" s="628"/>
      <c r="DL24" s="628"/>
      <c r="DM24" s="628"/>
      <c r="DN24" s="628"/>
      <c r="DO24" s="628"/>
      <c r="DP24" s="628"/>
      <c r="DQ24" s="628"/>
      <c r="DR24" s="628"/>
      <c r="DS24" s="628"/>
      <c r="DT24" s="628"/>
      <c r="DU24" s="628"/>
      <c r="DV24" s="628"/>
      <c r="DW24" s="628"/>
      <c r="DX24" s="628"/>
      <c r="DY24" s="628"/>
      <c r="DZ24" s="628"/>
      <c r="EA24" s="628"/>
      <c r="EB24" s="628"/>
      <c r="EC24" s="628"/>
      <c r="ED24" s="628"/>
      <c r="EE24" s="628"/>
      <c r="EF24" s="628"/>
      <c r="EG24" s="628"/>
      <c r="EH24" s="628"/>
      <c r="EI24" s="628"/>
      <c r="EJ24" s="628"/>
      <c r="EK24" s="628"/>
      <c r="EL24" s="628"/>
      <c r="EM24" s="628"/>
      <c r="EN24" s="628"/>
      <c r="EO24" s="628"/>
      <c r="EP24" s="628"/>
      <c r="EQ24" s="628"/>
      <c r="ER24" s="628"/>
      <c r="ES24" s="628"/>
      <c r="ET24" s="628"/>
      <c r="EU24" s="628"/>
      <c r="EV24" s="628"/>
      <c r="EW24" s="628"/>
      <c r="EX24" s="628"/>
      <c r="EY24" s="628"/>
      <c r="EZ24" s="628"/>
      <c r="FA24" s="628"/>
      <c r="FB24" s="628"/>
      <c r="FC24" s="628"/>
      <c r="FD24" s="628"/>
      <c r="FE24" s="628"/>
      <c r="FF24" s="628"/>
      <c r="FG24" s="628"/>
      <c r="FH24" s="628"/>
      <c r="FI24" s="628"/>
      <c r="FJ24" s="628"/>
      <c r="FK24" s="628"/>
      <c r="FL24" s="628"/>
      <c r="FM24" s="628"/>
      <c r="FN24" s="628"/>
      <c r="FO24" s="628"/>
      <c r="FP24" s="628"/>
      <c r="FQ24" s="628"/>
      <c r="FR24" s="628"/>
      <c r="FS24" s="628"/>
      <c r="FT24" s="628"/>
      <c r="FU24" s="628"/>
      <c r="FV24" s="628"/>
      <c r="FW24" s="628"/>
      <c r="FX24" s="628"/>
      <c r="FY24" s="628"/>
      <c r="FZ24" s="628"/>
      <c r="GA24" s="628"/>
      <c r="GB24" s="628"/>
      <c r="GC24" s="628"/>
      <c r="GD24" s="628"/>
      <c r="GE24" s="628"/>
      <c r="GF24" s="628"/>
      <c r="GG24" s="628"/>
      <c r="GH24" s="628"/>
      <c r="GI24" s="628"/>
      <c r="GJ24" s="628"/>
      <c r="GK24" s="628"/>
      <c r="GL24" s="628"/>
      <c r="GM24" s="628"/>
      <c r="GN24" s="628"/>
      <c r="GO24" s="628"/>
      <c r="GP24" s="628"/>
      <c r="GQ24" s="628"/>
      <c r="GR24" s="628"/>
      <c r="GS24" s="628"/>
      <c r="GT24" s="628"/>
      <c r="GU24" s="628"/>
      <c r="GV24" s="628"/>
      <c r="GW24" s="628"/>
      <c r="GX24" s="628"/>
      <c r="GY24" s="628"/>
      <c r="GZ24" s="628"/>
      <c r="HA24" s="628"/>
      <c r="HB24" s="628"/>
      <c r="HC24" s="628"/>
      <c r="HD24" s="628"/>
      <c r="HE24" s="628"/>
      <c r="HF24" s="628"/>
      <c r="HG24" s="628"/>
      <c r="HH24" s="628"/>
      <c r="HI24" s="628"/>
      <c r="HJ24" s="628"/>
      <c r="HK24" s="628"/>
      <c r="HL24" s="628"/>
      <c r="HM24" s="628"/>
      <c r="HN24" s="628"/>
      <c r="HO24" s="628"/>
      <c r="HP24" s="628"/>
      <c r="HQ24" s="628"/>
      <c r="HR24" s="628"/>
      <c r="HS24" s="628"/>
      <c r="HT24" s="628"/>
      <c r="HU24" s="628"/>
      <c r="HV24" s="628"/>
      <c r="HW24" s="628"/>
      <c r="HX24" s="628"/>
      <c r="HY24" s="628"/>
      <c r="HZ24" s="628"/>
      <c r="IA24" s="628"/>
      <c r="IB24" s="628"/>
      <c r="IC24" s="628"/>
      <c r="ID24" s="628"/>
      <c r="IE24" s="628"/>
      <c r="IF24" s="628"/>
      <c r="IG24" s="628"/>
      <c r="IH24" s="628"/>
      <c r="II24" s="628"/>
      <c r="IJ24" s="628"/>
      <c r="IK24" s="628"/>
      <c r="IL24" s="628"/>
      <c r="IM24" s="628"/>
      <c r="IN24" s="628"/>
      <c r="IO24" s="628"/>
      <c r="IP24" s="628"/>
      <c r="IQ24" s="628"/>
      <c r="IR24" s="628"/>
      <c r="IS24" s="628"/>
      <c r="IT24" s="628"/>
      <c r="IU24" s="628"/>
      <c r="IV24" s="628"/>
    </row>
    <row r="25" spans="1:256" ht="15" x14ac:dyDescent="0.25">
      <c r="A25" s="1490">
        <v>8</v>
      </c>
      <c r="B25" s="1491">
        <v>44895</v>
      </c>
      <c r="C25" s="1492">
        <f>+'CURVA S'!K16/1.18</f>
        <v>1413649.9661016949</v>
      </c>
      <c r="D25" s="1493">
        <f>+VAL_RES.!L39</f>
        <v>1413649.97</v>
      </c>
      <c r="E25" s="1500"/>
      <c r="F25" s="1493">
        <f t="shared" si="1"/>
        <v>0</v>
      </c>
      <c r="G25" s="1495">
        <f t="shared" si="3"/>
        <v>0</v>
      </c>
      <c r="H25" s="1496">
        <v>0</v>
      </c>
      <c r="I25" s="1497">
        <v>0</v>
      </c>
      <c r="J25" s="1497">
        <v>0</v>
      </c>
      <c r="K25" s="1498">
        <f t="shared" ref="K25" si="8">H25-I25-J25</f>
        <v>0</v>
      </c>
      <c r="L25" s="300"/>
      <c r="M25" s="629">
        <f>SUM(H18:H24)</f>
        <v>195390.49</v>
      </c>
      <c r="N25" s="629"/>
      <c r="O25" s="629"/>
      <c r="P25" s="628"/>
      <c r="Q25" s="628"/>
      <c r="R25" s="628"/>
      <c r="S25" s="628"/>
      <c r="T25" s="628"/>
      <c r="U25" s="628"/>
      <c r="V25" s="628"/>
      <c r="W25" s="628"/>
      <c r="X25" s="628"/>
      <c r="Y25" s="628"/>
      <c r="Z25" s="628"/>
      <c r="AA25" s="628"/>
      <c r="AB25" s="628"/>
      <c r="AC25" s="628"/>
      <c r="AD25" s="628"/>
      <c r="AE25" s="628"/>
      <c r="AF25" s="628"/>
      <c r="AG25" s="628"/>
      <c r="AH25" s="628"/>
      <c r="AI25" s="628"/>
      <c r="AJ25" s="628"/>
      <c r="AK25" s="628"/>
      <c r="AL25" s="628"/>
      <c r="AM25" s="628"/>
      <c r="AN25" s="628"/>
      <c r="AO25" s="628"/>
      <c r="AP25" s="628"/>
      <c r="AQ25" s="628"/>
      <c r="AR25" s="628"/>
      <c r="AS25" s="628"/>
      <c r="AT25" s="628"/>
      <c r="AU25" s="628"/>
      <c r="AV25" s="628"/>
      <c r="AW25" s="628"/>
      <c r="AX25" s="628"/>
      <c r="AY25" s="628"/>
      <c r="AZ25" s="628"/>
      <c r="BA25" s="628"/>
      <c r="BB25" s="628"/>
      <c r="BC25" s="628"/>
      <c r="BD25" s="628"/>
      <c r="BE25" s="628"/>
      <c r="BF25" s="628"/>
      <c r="BG25" s="628"/>
      <c r="BH25" s="628"/>
      <c r="BI25" s="628"/>
      <c r="BJ25" s="628"/>
      <c r="BK25" s="628"/>
      <c r="BL25" s="628"/>
      <c r="BM25" s="628"/>
      <c r="BN25" s="628"/>
      <c r="BO25" s="628"/>
      <c r="BP25" s="628"/>
      <c r="BQ25" s="628"/>
      <c r="BR25" s="628"/>
      <c r="BS25" s="628"/>
      <c r="BT25" s="628"/>
      <c r="BU25" s="628"/>
      <c r="BV25" s="628"/>
      <c r="BW25" s="628"/>
      <c r="BX25" s="628"/>
      <c r="BY25" s="628"/>
      <c r="BZ25" s="628"/>
      <c r="CA25" s="628"/>
      <c r="CB25" s="628"/>
      <c r="CC25" s="628"/>
      <c r="CD25" s="628"/>
      <c r="CE25" s="628"/>
      <c r="CF25" s="628"/>
      <c r="CG25" s="628"/>
      <c r="CH25" s="628"/>
      <c r="CI25" s="628"/>
      <c r="CJ25" s="628"/>
      <c r="CK25" s="628"/>
      <c r="CL25" s="628"/>
      <c r="CM25" s="628"/>
      <c r="CN25" s="628"/>
      <c r="CO25" s="628"/>
      <c r="CP25" s="628"/>
      <c r="CQ25" s="628"/>
      <c r="CR25" s="628"/>
      <c r="CS25" s="628"/>
      <c r="CT25" s="628"/>
      <c r="CU25" s="628"/>
      <c r="CV25" s="628"/>
      <c r="CW25" s="628"/>
      <c r="CX25" s="628"/>
      <c r="CY25" s="628"/>
      <c r="CZ25" s="628"/>
      <c r="DA25" s="628"/>
      <c r="DB25" s="628"/>
      <c r="DC25" s="628"/>
      <c r="DD25" s="628"/>
      <c r="DE25" s="628"/>
      <c r="DF25" s="628"/>
      <c r="DG25" s="628"/>
      <c r="DH25" s="628"/>
      <c r="DI25" s="628"/>
      <c r="DJ25" s="628"/>
      <c r="DK25" s="628"/>
      <c r="DL25" s="628"/>
      <c r="DM25" s="628"/>
      <c r="DN25" s="628"/>
      <c r="DO25" s="628"/>
      <c r="DP25" s="628"/>
      <c r="DQ25" s="628"/>
      <c r="DR25" s="628"/>
      <c r="DS25" s="628"/>
      <c r="DT25" s="628"/>
      <c r="DU25" s="628"/>
      <c r="DV25" s="628"/>
      <c r="DW25" s="628"/>
      <c r="DX25" s="628"/>
      <c r="DY25" s="628"/>
      <c r="DZ25" s="628"/>
      <c r="EA25" s="628"/>
      <c r="EB25" s="628"/>
      <c r="EC25" s="628"/>
      <c r="ED25" s="628"/>
      <c r="EE25" s="628"/>
      <c r="EF25" s="628"/>
      <c r="EG25" s="628"/>
      <c r="EH25" s="628"/>
      <c r="EI25" s="628"/>
      <c r="EJ25" s="628"/>
      <c r="EK25" s="628"/>
      <c r="EL25" s="628"/>
      <c r="EM25" s="628"/>
      <c r="EN25" s="628"/>
      <c r="EO25" s="628"/>
      <c r="EP25" s="628"/>
      <c r="EQ25" s="628"/>
      <c r="ER25" s="628"/>
      <c r="ES25" s="628"/>
      <c r="ET25" s="628"/>
      <c r="EU25" s="628"/>
      <c r="EV25" s="628"/>
      <c r="EW25" s="628"/>
      <c r="EX25" s="628"/>
      <c r="EY25" s="628"/>
      <c r="EZ25" s="628"/>
      <c r="FA25" s="628"/>
      <c r="FB25" s="628"/>
      <c r="FC25" s="628"/>
      <c r="FD25" s="628"/>
      <c r="FE25" s="628"/>
      <c r="FF25" s="628"/>
      <c r="FG25" s="628"/>
      <c r="FH25" s="628"/>
      <c r="FI25" s="628"/>
      <c r="FJ25" s="628"/>
      <c r="FK25" s="628"/>
      <c r="FL25" s="628"/>
      <c r="FM25" s="628"/>
      <c r="FN25" s="628"/>
      <c r="FO25" s="628"/>
      <c r="FP25" s="628"/>
      <c r="FQ25" s="628"/>
      <c r="FR25" s="628"/>
      <c r="FS25" s="628"/>
      <c r="FT25" s="628"/>
      <c r="FU25" s="628"/>
      <c r="FV25" s="628"/>
      <c r="FW25" s="628"/>
      <c r="FX25" s="628"/>
      <c r="FY25" s="628"/>
      <c r="FZ25" s="628"/>
      <c r="GA25" s="628"/>
      <c r="GB25" s="628"/>
      <c r="GC25" s="628"/>
      <c r="GD25" s="628"/>
      <c r="GE25" s="628"/>
      <c r="GF25" s="628"/>
      <c r="GG25" s="628"/>
      <c r="GH25" s="628"/>
      <c r="GI25" s="628"/>
      <c r="GJ25" s="628"/>
      <c r="GK25" s="628"/>
      <c r="GL25" s="628"/>
      <c r="GM25" s="628"/>
      <c r="GN25" s="628"/>
      <c r="GO25" s="628"/>
      <c r="GP25" s="628"/>
      <c r="GQ25" s="628"/>
      <c r="GR25" s="628"/>
      <c r="GS25" s="628"/>
      <c r="GT25" s="628"/>
      <c r="GU25" s="628"/>
      <c r="GV25" s="628"/>
      <c r="GW25" s="628"/>
      <c r="GX25" s="628"/>
      <c r="GY25" s="628"/>
      <c r="GZ25" s="628"/>
      <c r="HA25" s="628"/>
      <c r="HB25" s="628"/>
      <c r="HC25" s="628"/>
      <c r="HD25" s="628"/>
      <c r="HE25" s="628"/>
      <c r="HF25" s="628"/>
      <c r="HG25" s="628"/>
      <c r="HH25" s="628"/>
      <c r="HI25" s="628"/>
      <c r="HJ25" s="628"/>
      <c r="HK25" s="628"/>
      <c r="HL25" s="628"/>
      <c r="HM25" s="628"/>
      <c r="HN25" s="628"/>
      <c r="HO25" s="628"/>
      <c r="HP25" s="628"/>
      <c r="HQ25" s="628"/>
      <c r="HR25" s="628"/>
      <c r="HS25" s="628"/>
      <c r="HT25" s="628"/>
      <c r="HU25" s="628"/>
      <c r="HV25" s="628"/>
      <c r="HW25" s="628"/>
      <c r="HX25" s="628"/>
      <c r="HY25" s="628"/>
      <c r="HZ25" s="628"/>
      <c r="IA25" s="628"/>
      <c r="IB25" s="628"/>
      <c r="IC25" s="628"/>
      <c r="ID25" s="628"/>
      <c r="IE25" s="628"/>
      <c r="IF25" s="628"/>
      <c r="IG25" s="628"/>
      <c r="IH25" s="628"/>
      <c r="II25" s="628"/>
      <c r="IJ25" s="628"/>
      <c r="IK25" s="628"/>
      <c r="IL25" s="628"/>
      <c r="IM25" s="628"/>
      <c r="IN25" s="628"/>
      <c r="IO25" s="628"/>
      <c r="IP25" s="628"/>
      <c r="IQ25" s="628"/>
      <c r="IR25" s="628"/>
      <c r="IS25" s="628"/>
      <c r="IT25" s="628"/>
      <c r="IU25" s="628"/>
      <c r="IV25" s="628"/>
    </row>
    <row r="26" spans="1:256" ht="15" x14ac:dyDescent="0.25">
      <c r="A26" s="1490">
        <v>9</v>
      </c>
      <c r="B26" s="1491">
        <v>44926</v>
      </c>
      <c r="C26" s="1492">
        <f>+'CURVA S'!L16/1.18</f>
        <v>122934.97457627118</v>
      </c>
      <c r="D26" s="1493">
        <f>+VAL_RES.!M39</f>
        <v>213592.8</v>
      </c>
      <c r="E26" s="1500"/>
      <c r="F26" s="1493">
        <f t="shared" si="1"/>
        <v>0</v>
      </c>
      <c r="G26" s="1495">
        <f t="shared" si="3"/>
        <v>0</v>
      </c>
      <c r="H26" s="1496">
        <v>0</v>
      </c>
      <c r="I26" s="1497">
        <v>0</v>
      </c>
      <c r="J26" s="1497">
        <v>0</v>
      </c>
      <c r="K26" s="1498">
        <f t="shared" ref="K26" si="9">H26-I26-J26</f>
        <v>0</v>
      </c>
      <c r="L26" s="300"/>
      <c r="M26" s="629"/>
      <c r="N26" s="629"/>
      <c r="O26" s="629"/>
      <c r="P26" s="628"/>
      <c r="Q26" s="628"/>
      <c r="R26" s="628"/>
      <c r="S26" s="628"/>
      <c r="T26" s="628"/>
      <c r="U26" s="628"/>
      <c r="V26" s="628"/>
      <c r="W26" s="628"/>
      <c r="X26" s="628"/>
      <c r="Y26" s="628"/>
      <c r="Z26" s="628"/>
      <c r="AA26" s="628"/>
      <c r="AB26" s="628"/>
      <c r="AC26" s="628"/>
      <c r="AD26" s="628"/>
      <c r="AE26" s="628"/>
      <c r="AF26" s="628"/>
      <c r="AG26" s="628"/>
      <c r="AH26" s="628"/>
      <c r="AI26" s="628"/>
      <c r="AJ26" s="628"/>
      <c r="AK26" s="628"/>
      <c r="AL26" s="628"/>
      <c r="AM26" s="628"/>
      <c r="AN26" s="628"/>
      <c r="AO26" s="628"/>
      <c r="AP26" s="628"/>
      <c r="AQ26" s="628"/>
      <c r="AR26" s="628"/>
      <c r="AS26" s="628"/>
      <c r="AT26" s="628"/>
      <c r="AU26" s="628"/>
      <c r="AV26" s="628"/>
      <c r="AW26" s="628"/>
      <c r="AX26" s="628"/>
      <c r="AY26" s="628"/>
      <c r="AZ26" s="628"/>
      <c r="BA26" s="628"/>
      <c r="BB26" s="628"/>
      <c r="BC26" s="628"/>
      <c r="BD26" s="628"/>
      <c r="BE26" s="628"/>
      <c r="BF26" s="628"/>
      <c r="BG26" s="628"/>
      <c r="BH26" s="628"/>
      <c r="BI26" s="628"/>
      <c r="BJ26" s="628"/>
      <c r="BK26" s="628"/>
      <c r="BL26" s="628"/>
      <c r="BM26" s="628"/>
      <c r="BN26" s="628"/>
      <c r="BO26" s="628"/>
      <c r="BP26" s="628"/>
      <c r="BQ26" s="628"/>
      <c r="BR26" s="628"/>
      <c r="BS26" s="628"/>
      <c r="BT26" s="628"/>
      <c r="BU26" s="628"/>
      <c r="BV26" s="628"/>
      <c r="BW26" s="628"/>
      <c r="BX26" s="628"/>
      <c r="BY26" s="628"/>
      <c r="BZ26" s="628"/>
      <c r="CA26" s="628"/>
      <c r="CB26" s="628"/>
      <c r="CC26" s="628"/>
      <c r="CD26" s="628"/>
      <c r="CE26" s="628"/>
      <c r="CF26" s="628"/>
      <c r="CG26" s="628"/>
      <c r="CH26" s="628"/>
      <c r="CI26" s="628"/>
      <c r="CJ26" s="628"/>
      <c r="CK26" s="628"/>
      <c r="CL26" s="628"/>
      <c r="CM26" s="628"/>
      <c r="CN26" s="628"/>
      <c r="CO26" s="628"/>
      <c r="CP26" s="628"/>
      <c r="CQ26" s="628"/>
      <c r="CR26" s="628"/>
      <c r="CS26" s="628"/>
      <c r="CT26" s="628"/>
      <c r="CU26" s="628"/>
      <c r="CV26" s="628"/>
      <c r="CW26" s="628"/>
      <c r="CX26" s="628"/>
      <c r="CY26" s="628"/>
      <c r="CZ26" s="628"/>
      <c r="DA26" s="628"/>
      <c r="DB26" s="628"/>
      <c r="DC26" s="628"/>
      <c r="DD26" s="628"/>
      <c r="DE26" s="628"/>
      <c r="DF26" s="628"/>
      <c r="DG26" s="628"/>
      <c r="DH26" s="628"/>
      <c r="DI26" s="628"/>
      <c r="DJ26" s="628"/>
      <c r="DK26" s="628"/>
      <c r="DL26" s="628"/>
      <c r="DM26" s="628"/>
      <c r="DN26" s="628"/>
      <c r="DO26" s="628"/>
      <c r="DP26" s="628"/>
      <c r="DQ26" s="628"/>
      <c r="DR26" s="628"/>
      <c r="DS26" s="628"/>
      <c r="DT26" s="628"/>
      <c r="DU26" s="628"/>
      <c r="DV26" s="628"/>
      <c r="DW26" s="628"/>
      <c r="DX26" s="628"/>
      <c r="DY26" s="628"/>
      <c r="DZ26" s="628"/>
      <c r="EA26" s="628"/>
      <c r="EB26" s="628"/>
      <c r="EC26" s="628"/>
      <c r="ED26" s="628"/>
      <c r="EE26" s="628"/>
      <c r="EF26" s="628"/>
      <c r="EG26" s="628"/>
      <c r="EH26" s="628"/>
      <c r="EI26" s="628"/>
      <c r="EJ26" s="628"/>
      <c r="EK26" s="628"/>
      <c r="EL26" s="628"/>
      <c r="EM26" s="628"/>
      <c r="EN26" s="628"/>
      <c r="EO26" s="628"/>
      <c r="EP26" s="628"/>
      <c r="EQ26" s="628"/>
      <c r="ER26" s="628"/>
      <c r="ES26" s="628"/>
      <c r="ET26" s="628"/>
      <c r="EU26" s="628"/>
      <c r="EV26" s="628"/>
      <c r="EW26" s="628"/>
      <c r="EX26" s="628"/>
      <c r="EY26" s="628"/>
      <c r="EZ26" s="628"/>
      <c r="FA26" s="628"/>
      <c r="FB26" s="628"/>
      <c r="FC26" s="628"/>
      <c r="FD26" s="628"/>
      <c r="FE26" s="628"/>
      <c r="FF26" s="628"/>
      <c r="FG26" s="628"/>
      <c r="FH26" s="628"/>
      <c r="FI26" s="628"/>
      <c r="FJ26" s="628"/>
      <c r="FK26" s="628"/>
      <c r="FL26" s="628"/>
      <c r="FM26" s="628"/>
      <c r="FN26" s="628"/>
      <c r="FO26" s="628"/>
      <c r="FP26" s="628"/>
      <c r="FQ26" s="628"/>
      <c r="FR26" s="628"/>
      <c r="FS26" s="628"/>
      <c r="FT26" s="628"/>
      <c r="FU26" s="628"/>
      <c r="FV26" s="628"/>
      <c r="FW26" s="628"/>
      <c r="FX26" s="628"/>
      <c r="FY26" s="628"/>
      <c r="FZ26" s="628"/>
      <c r="GA26" s="628"/>
      <c r="GB26" s="628"/>
      <c r="GC26" s="628"/>
      <c r="GD26" s="628"/>
      <c r="GE26" s="628"/>
      <c r="GF26" s="628"/>
      <c r="GG26" s="628"/>
      <c r="GH26" s="628"/>
      <c r="GI26" s="628"/>
      <c r="GJ26" s="628"/>
      <c r="GK26" s="628"/>
      <c r="GL26" s="628"/>
      <c r="GM26" s="628"/>
      <c r="GN26" s="628"/>
      <c r="GO26" s="628"/>
      <c r="GP26" s="628"/>
      <c r="GQ26" s="628"/>
      <c r="GR26" s="628"/>
      <c r="GS26" s="628"/>
      <c r="GT26" s="628"/>
      <c r="GU26" s="628"/>
      <c r="GV26" s="628"/>
      <c r="GW26" s="628"/>
      <c r="GX26" s="628"/>
      <c r="GY26" s="628"/>
      <c r="GZ26" s="628"/>
      <c r="HA26" s="628"/>
      <c r="HB26" s="628"/>
      <c r="HC26" s="628"/>
      <c r="HD26" s="628"/>
      <c r="HE26" s="628"/>
      <c r="HF26" s="628"/>
      <c r="HG26" s="628"/>
      <c r="HH26" s="628"/>
      <c r="HI26" s="628"/>
      <c r="HJ26" s="628"/>
      <c r="HK26" s="628"/>
      <c r="HL26" s="628"/>
      <c r="HM26" s="628"/>
      <c r="HN26" s="628"/>
      <c r="HO26" s="628"/>
      <c r="HP26" s="628"/>
      <c r="HQ26" s="628"/>
      <c r="HR26" s="628"/>
      <c r="HS26" s="628"/>
      <c r="HT26" s="628"/>
      <c r="HU26" s="628"/>
      <c r="HV26" s="628"/>
      <c r="HW26" s="628"/>
      <c r="HX26" s="628"/>
      <c r="HY26" s="628"/>
      <c r="HZ26" s="628"/>
      <c r="IA26" s="628"/>
      <c r="IB26" s="628"/>
      <c r="IC26" s="628"/>
      <c r="ID26" s="628"/>
      <c r="IE26" s="628"/>
      <c r="IF26" s="628"/>
      <c r="IG26" s="628"/>
      <c r="IH26" s="628"/>
      <c r="II26" s="628"/>
      <c r="IJ26" s="628"/>
      <c r="IK26" s="628"/>
      <c r="IL26" s="628"/>
      <c r="IM26" s="628"/>
      <c r="IN26" s="628"/>
      <c r="IO26" s="628"/>
      <c r="IP26" s="628"/>
      <c r="IQ26" s="628"/>
      <c r="IR26" s="628"/>
      <c r="IS26" s="628"/>
      <c r="IT26" s="628"/>
      <c r="IU26" s="628"/>
      <c r="IV26" s="628"/>
    </row>
    <row r="27" spans="1:256" ht="15" x14ac:dyDescent="0.25">
      <c r="A27" s="1490">
        <v>10</v>
      </c>
      <c r="B27" s="1491">
        <v>44957</v>
      </c>
      <c r="C27" s="1492">
        <f>+'CURVA S'!M16/1.18</f>
        <v>924752.69491525425</v>
      </c>
      <c r="D27" s="1493">
        <f>+VAL_RES.!M39</f>
        <v>213592.8</v>
      </c>
      <c r="E27" s="1500"/>
      <c r="F27" s="1493">
        <f t="shared" si="1"/>
        <v>0</v>
      </c>
      <c r="G27" s="1495">
        <f>ROUND(D27*E27,2)</f>
        <v>0</v>
      </c>
      <c r="H27" s="1496">
        <v>0</v>
      </c>
      <c r="I27" s="1497">
        <v>0</v>
      </c>
      <c r="J27" s="1497">
        <v>0</v>
      </c>
      <c r="K27" s="1498">
        <f t="shared" ref="K27" si="10">H27-I27-J27</f>
        <v>0</v>
      </c>
      <c r="L27" s="300"/>
      <c r="M27" s="629"/>
      <c r="N27" s="629"/>
      <c r="O27" s="629">
        <f>+C32*0.1</f>
        <v>1149087.4641707779</v>
      </c>
      <c r="P27" s="628"/>
      <c r="Q27" s="628"/>
      <c r="R27" s="628"/>
      <c r="S27" s="628"/>
      <c r="T27" s="628"/>
      <c r="U27" s="628"/>
      <c r="V27" s="628"/>
      <c r="W27" s="628"/>
      <c r="X27" s="628"/>
      <c r="Y27" s="628"/>
      <c r="Z27" s="628"/>
      <c r="AA27" s="628"/>
      <c r="AB27" s="628"/>
      <c r="AC27" s="628"/>
      <c r="AD27" s="628"/>
      <c r="AE27" s="628"/>
      <c r="AF27" s="628"/>
      <c r="AG27" s="628"/>
      <c r="AH27" s="628"/>
      <c r="AI27" s="628"/>
      <c r="AJ27" s="628"/>
      <c r="AK27" s="628"/>
      <c r="AL27" s="628"/>
      <c r="AM27" s="628"/>
      <c r="AN27" s="628"/>
      <c r="AO27" s="628"/>
      <c r="AP27" s="628"/>
      <c r="AQ27" s="628"/>
      <c r="AR27" s="628"/>
      <c r="AS27" s="628"/>
      <c r="AT27" s="628"/>
      <c r="AU27" s="628"/>
      <c r="AV27" s="628"/>
      <c r="AW27" s="628"/>
      <c r="AX27" s="628"/>
      <c r="AY27" s="628"/>
      <c r="AZ27" s="628"/>
      <c r="BA27" s="628"/>
      <c r="BB27" s="628"/>
      <c r="BC27" s="628"/>
      <c r="BD27" s="628"/>
      <c r="BE27" s="628"/>
      <c r="BF27" s="628"/>
      <c r="BG27" s="628"/>
      <c r="BH27" s="628"/>
      <c r="BI27" s="628"/>
      <c r="BJ27" s="628"/>
      <c r="BK27" s="628"/>
      <c r="BL27" s="628"/>
      <c r="BM27" s="628"/>
      <c r="BN27" s="628"/>
      <c r="BO27" s="628"/>
      <c r="BP27" s="628"/>
      <c r="BQ27" s="628"/>
      <c r="BR27" s="628"/>
      <c r="BS27" s="628"/>
      <c r="BT27" s="628"/>
      <c r="BU27" s="628"/>
      <c r="BV27" s="628"/>
      <c r="BW27" s="628"/>
      <c r="BX27" s="628"/>
      <c r="BY27" s="628"/>
      <c r="BZ27" s="628"/>
      <c r="CA27" s="628"/>
      <c r="CB27" s="628"/>
      <c r="CC27" s="628"/>
      <c r="CD27" s="628"/>
      <c r="CE27" s="628"/>
      <c r="CF27" s="628"/>
      <c r="CG27" s="628"/>
      <c r="CH27" s="628"/>
      <c r="CI27" s="628"/>
      <c r="CJ27" s="628"/>
      <c r="CK27" s="628"/>
      <c r="CL27" s="628"/>
      <c r="CM27" s="628"/>
      <c r="CN27" s="628"/>
      <c r="CO27" s="628"/>
      <c r="CP27" s="628"/>
      <c r="CQ27" s="628"/>
      <c r="CR27" s="628"/>
      <c r="CS27" s="628"/>
      <c r="CT27" s="628"/>
      <c r="CU27" s="628"/>
      <c r="CV27" s="628"/>
      <c r="CW27" s="628"/>
      <c r="CX27" s="628"/>
      <c r="CY27" s="628"/>
      <c r="CZ27" s="628"/>
      <c r="DA27" s="628"/>
      <c r="DB27" s="628"/>
      <c r="DC27" s="628"/>
      <c r="DD27" s="628"/>
      <c r="DE27" s="628"/>
      <c r="DF27" s="628"/>
      <c r="DG27" s="628"/>
      <c r="DH27" s="628"/>
      <c r="DI27" s="628"/>
      <c r="DJ27" s="628"/>
      <c r="DK27" s="628"/>
      <c r="DL27" s="628"/>
      <c r="DM27" s="628"/>
      <c r="DN27" s="628"/>
      <c r="DO27" s="628"/>
      <c r="DP27" s="628"/>
      <c r="DQ27" s="628"/>
      <c r="DR27" s="628"/>
      <c r="DS27" s="628"/>
      <c r="DT27" s="628"/>
      <c r="DU27" s="628"/>
      <c r="DV27" s="628"/>
      <c r="DW27" s="628"/>
      <c r="DX27" s="628"/>
      <c r="DY27" s="628"/>
      <c r="DZ27" s="628"/>
      <c r="EA27" s="628"/>
      <c r="EB27" s="628"/>
      <c r="EC27" s="628"/>
      <c r="ED27" s="628"/>
      <c r="EE27" s="628"/>
      <c r="EF27" s="628"/>
      <c r="EG27" s="628"/>
      <c r="EH27" s="628"/>
      <c r="EI27" s="628"/>
      <c r="EJ27" s="628"/>
      <c r="EK27" s="628"/>
      <c r="EL27" s="628"/>
      <c r="EM27" s="628"/>
      <c r="EN27" s="628"/>
      <c r="EO27" s="628"/>
      <c r="EP27" s="628"/>
      <c r="EQ27" s="628"/>
      <c r="ER27" s="628"/>
      <c r="ES27" s="628"/>
      <c r="ET27" s="628"/>
      <c r="EU27" s="628"/>
      <c r="EV27" s="628"/>
      <c r="EW27" s="628"/>
      <c r="EX27" s="628"/>
      <c r="EY27" s="628"/>
      <c r="EZ27" s="628"/>
      <c r="FA27" s="628"/>
      <c r="FB27" s="628"/>
      <c r="FC27" s="628"/>
      <c r="FD27" s="628"/>
      <c r="FE27" s="628"/>
      <c r="FF27" s="628"/>
      <c r="FG27" s="628"/>
      <c r="FH27" s="628"/>
      <c r="FI27" s="628"/>
      <c r="FJ27" s="628"/>
      <c r="FK27" s="628"/>
      <c r="FL27" s="628"/>
      <c r="FM27" s="628"/>
      <c r="FN27" s="628"/>
      <c r="FO27" s="628"/>
      <c r="FP27" s="628"/>
      <c r="FQ27" s="628"/>
      <c r="FR27" s="628"/>
      <c r="FS27" s="628"/>
      <c r="FT27" s="628"/>
      <c r="FU27" s="628"/>
      <c r="FV27" s="628"/>
      <c r="FW27" s="628"/>
      <c r="FX27" s="628"/>
      <c r="FY27" s="628"/>
      <c r="FZ27" s="628"/>
      <c r="GA27" s="628"/>
      <c r="GB27" s="628"/>
      <c r="GC27" s="628"/>
      <c r="GD27" s="628"/>
      <c r="GE27" s="628"/>
      <c r="GF27" s="628"/>
      <c r="GG27" s="628"/>
      <c r="GH27" s="628"/>
      <c r="GI27" s="628"/>
      <c r="GJ27" s="628"/>
      <c r="GK27" s="628"/>
      <c r="GL27" s="628"/>
      <c r="GM27" s="628"/>
      <c r="GN27" s="628"/>
      <c r="GO27" s="628"/>
      <c r="GP27" s="628"/>
      <c r="GQ27" s="628"/>
      <c r="GR27" s="628"/>
      <c r="GS27" s="628"/>
      <c r="GT27" s="628"/>
      <c r="GU27" s="628"/>
      <c r="GV27" s="628"/>
      <c r="GW27" s="628"/>
      <c r="GX27" s="628"/>
      <c r="GY27" s="628"/>
      <c r="GZ27" s="628"/>
      <c r="HA27" s="628"/>
      <c r="HB27" s="628"/>
      <c r="HC27" s="628"/>
      <c r="HD27" s="628"/>
      <c r="HE27" s="628"/>
      <c r="HF27" s="628"/>
      <c r="HG27" s="628"/>
      <c r="HH27" s="628"/>
      <c r="HI27" s="628"/>
      <c r="HJ27" s="628"/>
      <c r="HK27" s="628"/>
      <c r="HL27" s="628"/>
      <c r="HM27" s="628"/>
      <c r="HN27" s="628"/>
      <c r="HO27" s="628"/>
      <c r="HP27" s="628"/>
      <c r="HQ27" s="628"/>
      <c r="HR27" s="628"/>
      <c r="HS27" s="628"/>
      <c r="HT27" s="628"/>
      <c r="HU27" s="628"/>
      <c r="HV27" s="628"/>
      <c r="HW27" s="628"/>
      <c r="HX27" s="628"/>
      <c r="HY27" s="628"/>
      <c r="HZ27" s="628"/>
      <c r="IA27" s="628"/>
      <c r="IB27" s="628"/>
      <c r="IC27" s="628"/>
      <c r="ID27" s="628"/>
      <c r="IE27" s="628"/>
      <c r="IF27" s="628"/>
      <c r="IG27" s="628"/>
      <c r="IH27" s="628"/>
      <c r="II27" s="628"/>
      <c r="IJ27" s="628"/>
      <c r="IK27" s="628"/>
      <c r="IL27" s="628"/>
      <c r="IM27" s="628"/>
      <c r="IN27" s="628"/>
      <c r="IO27" s="628"/>
      <c r="IP27" s="628"/>
      <c r="IQ27" s="628"/>
      <c r="IR27" s="628"/>
      <c r="IS27" s="628"/>
      <c r="IT27" s="628"/>
      <c r="IU27" s="628"/>
      <c r="IV27" s="628"/>
    </row>
    <row r="28" spans="1:256" ht="15" x14ac:dyDescent="0.25">
      <c r="A28" s="1490">
        <v>11</v>
      </c>
      <c r="B28" s="1491">
        <v>44985</v>
      </c>
      <c r="C28" s="1492">
        <f>+'CURVA S'!N16/1.18</f>
        <v>1504392.2711864407</v>
      </c>
      <c r="D28" s="1493">
        <f>+VAL_RES.!N39</f>
        <v>0</v>
      </c>
      <c r="E28" s="1500"/>
      <c r="F28" s="1493">
        <f t="shared" si="1"/>
        <v>0</v>
      </c>
      <c r="G28" s="1495">
        <f>ROUND(D28*E28,2)</f>
        <v>0</v>
      </c>
      <c r="H28" s="1496">
        <v>0</v>
      </c>
      <c r="I28" s="1497">
        <v>0</v>
      </c>
      <c r="J28" s="1497">
        <v>0</v>
      </c>
      <c r="K28" s="1498">
        <f t="shared" ref="K28" si="11">H28-I28-J28</f>
        <v>0</v>
      </c>
      <c r="L28" s="300"/>
      <c r="M28" s="629"/>
      <c r="N28" s="629"/>
      <c r="O28" s="629"/>
      <c r="P28" s="628"/>
      <c r="Q28" s="628"/>
      <c r="R28" s="628"/>
      <c r="S28" s="628"/>
      <c r="T28" s="628"/>
      <c r="U28" s="628"/>
      <c r="V28" s="628"/>
      <c r="W28" s="628"/>
      <c r="X28" s="628"/>
      <c r="Y28" s="628"/>
      <c r="Z28" s="628"/>
      <c r="AA28" s="628"/>
      <c r="AB28" s="628"/>
      <c r="AC28" s="628"/>
      <c r="AD28" s="628"/>
      <c r="AE28" s="628"/>
      <c r="AF28" s="628"/>
      <c r="AG28" s="628"/>
      <c r="AH28" s="628"/>
      <c r="AI28" s="628"/>
      <c r="AJ28" s="628"/>
      <c r="AK28" s="628"/>
      <c r="AL28" s="628"/>
      <c r="AM28" s="628"/>
      <c r="AN28" s="628"/>
      <c r="AO28" s="628"/>
      <c r="AP28" s="628"/>
      <c r="AQ28" s="628"/>
      <c r="AR28" s="628"/>
      <c r="AS28" s="628"/>
      <c r="AT28" s="628"/>
      <c r="AU28" s="628"/>
      <c r="AV28" s="628"/>
      <c r="AW28" s="628"/>
      <c r="AX28" s="628"/>
      <c r="AY28" s="628"/>
      <c r="AZ28" s="628"/>
      <c r="BA28" s="628"/>
      <c r="BB28" s="628"/>
      <c r="BC28" s="628"/>
      <c r="BD28" s="628"/>
      <c r="BE28" s="628"/>
      <c r="BF28" s="628"/>
      <c r="BG28" s="628"/>
      <c r="BH28" s="628"/>
      <c r="BI28" s="628"/>
      <c r="BJ28" s="628"/>
      <c r="BK28" s="628"/>
      <c r="BL28" s="628"/>
      <c r="BM28" s="628"/>
      <c r="BN28" s="628"/>
      <c r="BO28" s="628"/>
      <c r="BP28" s="628"/>
      <c r="BQ28" s="628"/>
      <c r="BR28" s="628"/>
      <c r="BS28" s="628"/>
      <c r="BT28" s="628"/>
      <c r="BU28" s="628"/>
      <c r="BV28" s="628"/>
      <c r="BW28" s="628"/>
      <c r="BX28" s="628"/>
      <c r="BY28" s="628"/>
      <c r="BZ28" s="628"/>
      <c r="CA28" s="628"/>
      <c r="CB28" s="628"/>
      <c r="CC28" s="628"/>
      <c r="CD28" s="628"/>
      <c r="CE28" s="628"/>
      <c r="CF28" s="628"/>
      <c r="CG28" s="628"/>
      <c r="CH28" s="628"/>
      <c r="CI28" s="628"/>
      <c r="CJ28" s="628"/>
      <c r="CK28" s="628"/>
      <c r="CL28" s="628"/>
      <c r="CM28" s="628"/>
      <c r="CN28" s="628"/>
      <c r="CO28" s="628"/>
      <c r="CP28" s="628"/>
      <c r="CQ28" s="628"/>
      <c r="CR28" s="628"/>
      <c r="CS28" s="628"/>
      <c r="CT28" s="628"/>
      <c r="CU28" s="628"/>
      <c r="CV28" s="628"/>
      <c r="CW28" s="628"/>
      <c r="CX28" s="628"/>
      <c r="CY28" s="628"/>
      <c r="CZ28" s="628"/>
      <c r="DA28" s="628"/>
      <c r="DB28" s="628"/>
      <c r="DC28" s="628"/>
      <c r="DD28" s="628"/>
      <c r="DE28" s="628"/>
      <c r="DF28" s="628"/>
      <c r="DG28" s="628"/>
      <c r="DH28" s="628"/>
      <c r="DI28" s="628"/>
      <c r="DJ28" s="628"/>
      <c r="DK28" s="628"/>
      <c r="DL28" s="628"/>
      <c r="DM28" s="628"/>
      <c r="DN28" s="628"/>
      <c r="DO28" s="628"/>
      <c r="DP28" s="628"/>
      <c r="DQ28" s="628"/>
      <c r="DR28" s="628"/>
      <c r="DS28" s="628"/>
      <c r="DT28" s="628"/>
      <c r="DU28" s="628"/>
      <c r="DV28" s="628"/>
      <c r="DW28" s="628"/>
      <c r="DX28" s="628"/>
      <c r="DY28" s="628"/>
      <c r="DZ28" s="628"/>
      <c r="EA28" s="628"/>
      <c r="EB28" s="628"/>
      <c r="EC28" s="628"/>
      <c r="ED28" s="628"/>
      <c r="EE28" s="628"/>
      <c r="EF28" s="628"/>
      <c r="EG28" s="628"/>
      <c r="EH28" s="628"/>
      <c r="EI28" s="628"/>
      <c r="EJ28" s="628"/>
      <c r="EK28" s="628"/>
      <c r="EL28" s="628"/>
      <c r="EM28" s="628"/>
      <c r="EN28" s="628"/>
      <c r="EO28" s="628"/>
      <c r="EP28" s="628"/>
      <c r="EQ28" s="628"/>
      <c r="ER28" s="628"/>
      <c r="ES28" s="628"/>
      <c r="ET28" s="628"/>
      <c r="EU28" s="628"/>
      <c r="EV28" s="628"/>
      <c r="EW28" s="628"/>
      <c r="EX28" s="628"/>
      <c r="EY28" s="628"/>
      <c r="EZ28" s="628"/>
      <c r="FA28" s="628"/>
      <c r="FB28" s="628"/>
      <c r="FC28" s="628"/>
      <c r="FD28" s="628"/>
      <c r="FE28" s="628"/>
      <c r="FF28" s="628"/>
      <c r="FG28" s="628"/>
      <c r="FH28" s="628"/>
      <c r="FI28" s="628"/>
      <c r="FJ28" s="628"/>
      <c r="FK28" s="628"/>
      <c r="FL28" s="628"/>
      <c r="FM28" s="628"/>
      <c r="FN28" s="628"/>
      <c r="FO28" s="628"/>
      <c r="FP28" s="628"/>
      <c r="FQ28" s="628"/>
      <c r="FR28" s="628"/>
      <c r="FS28" s="628"/>
      <c r="FT28" s="628"/>
      <c r="FU28" s="628"/>
      <c r="FV28" s="628"/>
      <c r="FW28" s="628"/>
      <c r="FX28" s="628"/>
      <c r="FY28" s="628"/>
      <c r="FZ28" s="628"/>
      <c r="GA28" s="628"/>
      <c r="GB28" s="628"/>
      <c r="GC28" s="628"/>
      <c r="GD28" s="628"/>
      <c r="GE28" s="628"/>
      <c r="GF28" s="628"/>
      <c r="GG28" s="628"/>
      <c r="GH28" s="628"/>
      <c r="GI28" s="628"/>
      <c r="GJ28" s="628"/>
      <c r="GK28" s="628"/>
      <c r="GL28" s="628"/>
      <c r="GM28" s="628"/>
      <c r="GN28" s="628"/>
      <c r="GO28" s="628"/>
      <c r="GP28" s="628"/>
      <c r="GQ28" s="628"/>
      <c r="GR28" s="628"/>
      <c r="GS28" s="628"/>
      <c r="GT28" s="628"/>
      <c r="GU28" s="628"/>
      <c r="GV28" s="628"/>
      <c r="GW28" s="628"/>
      <c r="GX28" s="628"/>
      <c r="GY28" s="628"/>
      <c r="GZ28" s="628"/>
      <c r="HA28" s="628"/>
      <c r="HB28" s="628"/>
      <c r="HC28" s="628"/>
      <c r="HD28" s="628"/>
      <c r="HE28" s="628"/>
      <c r="HF28" s="628"/>
      <c r="HG28" s="628"/>
      <c r="HH28" s="628"/>
      <c r="HI28" s="628"/>
      <c r="HJ28" s="628"/>
      <c r="HK28" s="628"/>
      <c r="HL28" s="628"/>
      <c r="HM28" s="628"/>
      <c r="HN28" s="628"/>
      <c r="HO28" s="628"/>
      <c r="HP28" s="628"/>
      <c r="HQ28" s="628"/>
      <c r="HR28" s="628"/>
      <c r="HS28" s="628"/>
      <c r="HT28" s="628"/>
      <c r="HU28" s="628"/>
      <c r="HV28" s="628"/>
      <c r="HW28" s="628"/>
      <c r="HX28" s="628"/>
      <c r="HY28" s="628"/>
      <c r="HZ28" s="628"/>
      <c r="IA28" s="628"/>
      <c r="IB28" s="628"/>
      <c r="IC28" s="628"/>
      <c r="ID28" s="628"/>
      <c r="IE28" s="628"/>
      <c r="IF28" s="628"/>
      <c r="IG28" s="628"/>
      <c r="IH28" s="628"/>
      <c r="II28" s="628"/>
      <c r="IJ28" s="628"/>
      <c r="IK28" s="628"/>
      <c r="IL28" s="628"/>
      <c r="IM28" s="628"/>
      <c r="IN28" s="628"/>
      <c r="IO28" s="628"/>
      <c r="IP28" s="628"/>
      <c r="IQ28" s="628"/>
      <c r="IR28" s="628"/>
      <c r="IS28" s="628"/>
      <c r="IT28" s="628"/>
      <c r="IU28" s="628"/>
      <c r="IV28" s="628"/>
    </row>
    <row r="29" spans="1:256" ht="15" x14ac:dyDescent="0.25">
      <c r="A29" s="1490">
        <v>12</v>
      </c>
      <c r="B29" s="1491">
        <v>45016</v>
      </c>
      <c r="C29" s="1492">
        <f>+'CURVA S'!O16/1.18</f>
        <v>1416758.6949152544</v>
      </c>
      <c r="D29" s="1493">
        <f>+VAL_RES.!O39</f>
        <v>0</v>
      </c>
      <c r="E29" s="1500"/>
      <c r="F29" s="1493">
        <f t="shared" si="1"/>
        <v>0</v>
      </c>
      <c r="G29" s="1495">
        <f t="shared" ref="G29:G30" si="12">ROUND(D29*E29,2)</f>
        <v>0</v>
      </c>
      <c r="H29" s="1496">
        <v>0</v>
      </c>
      <c r="I29" s="1497">
        <v>0</v>
      </c>
      <c r="J29" s="1497">
        <v>0</v>
      </c>
      <c r="K29" s="1498">
        <f t="shared" ref="K29:K30" si="13">H29-I29-J29</f>
        <v>0</v>
      </c>
      <c r="L29" s="300"/>
      <c r="M29" s="629"/>
      <c r="N29" s="629"/>
      <c r="O29" s="629"/>
      <c r="P29" s="628"/>
      <c r="Q29" s="628"/>
      <c r="R29" s="628"/>
      <c r="S29" s="628"/>
      <c r="T29" s="628"/>
      <c r="U29" s="628"/>
      <c r="V29" s="628"/>
      <c r="W29" s="628"/>
      <c r="X29" s="628"/>
      <c r="Y29" s="628"/>
      <c r="Z29" s="628"/>
      <c r="AA29" s="628"/>
      <c r="AB29" s="628"/>
      <c r="AC29" s="628"/>
      <c r="AD29" s="628"/>
      <c r="AE29" s="628"/>
      <c r="AF29" s="628"/>
      <c r="AG29" s="628"/>
      <c r="AH29" s="628"/>
      <c r="AI29" s="628"/>
      <c r="AJ29" s="628"/>
      <c r="AK29" s="628"/>
      <c r="AL29" s="628"/>
      <c r="AM29" s="628"/>
      <c r="AN29" s="628"/>
      <c r="AO29" s="628"/>
      <c r="AP29" s="628"/>
      <c r="AQ29" s="628"/>
      <c r="AR29" s="628"/>
      <c r="AS29" s="628"/>
      <c r="AT29" s="628"/>
      <c r="AU29" s="628"/>
      <c r="AV29" s="628"/>
      <c r="AW29" s="628"/>
      <c r="AX29" s="628"/>
      <c r="AY29" s="628"/>
      <c r="AZ29" s="628"/>
      <c r="BA29" s="628"/>
      <c r="BB29" s="628"/>
      <c r="BC29" s="628"/>
      <c r="BD29" s="628"/>
      <c r="BE29" s="628"/>
      <c r="BF29" s="628"/>
      <c r="BG29" s="628"/>
      <c r="BH29" s="628"/>
      <c r="BI29" s="628"/>
      <c r="BJ29" s="628"/>
      <c r="BK29" s="628"/>
      <c r="BL29" s="628"/>
      <c r="BM29" s="628"/>
      <c r="BN29" s="628"/>
      <c r="BO29" s="628"/>
      <c r="BP29" s="628"/>
      <c r="BQ29" s="628"/>
      <c r="BR29" s="628"/>
      <c r="BS29" s="628"/>
      <c r="BT29" s="628"/>
      <c r="BU29" s="628"/>
      <c r="BV29" s="628"/>
      <c r="BW29" s="628"/>
      <c r="BX29" s="628"/>
      <c r="BY29" s="628"/>
      <c r="BZ29" s="628"/>
      <c r="CA29" s="628"/>
      <c r="CB29" s="628"/>
      <c r="CC29" s="628"/>
      <c r="CD29" s="628"/>
      <c r="CE29" s="628"/>
      <c r="CF29" s="628"/>
      <c r="CG29" s="628"/>
      <c r="CH29" s="628"/>
      <c r="CI29" s="628"/>
      <c r="CJ29" s="628"/>
      <c r="CK29" s="628"/>
      <c r="CL29" s="628"/>
      <c r="CM29" s="628"/>
      <c r="CN29" s="628"/>
      <c r="CO29" s="628"/>
      <c r="CP29" s="628"/>
      <c r="CQ29" s="628"/>
      <c r="CR29" s="628"/>
      <c r="CS29" s="628"/>
      <c r="CT29" s="628"/>
      <c r="CU29" s="628"/>
      <c r="CV29" s="628"/>
      <c r="CW29" s="628"/>
      <c r="CX29" s="628"/>
      <c r="CY29" s="628"/>
      <c r="CZ29" s="628"/>
      <c r="DA29" s="628"/>
      <c r="DB29" s="628"/>
      <c r="DC29" s="628"/>
      <c r="DD29" s="628"/>
      <c r="DE29" s="628"/>
      <c r="DF29" s="628"/>
      <c r="DG29" s="628"/>
      <c r="DH29" s="628"/>
      <c r="DI29" s="628"/>
      <c r="DJ29" s="628"/>
      <c r="DK29" s="628"/>
      <c r="DL29" s="628"/>
      <c r="DM29" s="628"/>
      <c r="DN29" s="628"/>
      <c r="DO29" s="628"/>
      <c r="DP29" s="628"/>
      <c r="DQ29" s="628"/>
      <c r="DR29" s="628"/>
      <c r="DS29" s="628"/>
      <c r="DT29" s="628"/>
      <c r="DU29" s="628"/>
      <c r="DV29" s="628"/>
      <c r="DW29" s="628"/>
      <c r="DX29" s="628"/>
      <c r="DY29" s="628"/>
      <c r="DZ29" s="628"/>
      <c r="EA29" s="628"/>
      <c r="EB29" s="628"/>
      <c r="EC29" s="628"/>
      <c r="ED29" s="628"/>
      <c r="EE29" s="628"/>
      <c r="EF29" s="628"/>
      <c r="EG29" s="628"/>
      <c r="EH29" s="628"/>
      <c r="EI29" s="628"/>
      <c r="EJ29" s="628"/>
      <c r="EK29" s="628"/>
      <c r="EL29" s="628"/>
      <c r="EM29" s="628"/>
      <c r="EN29" s="628"/>
      <c r="EO29" s="628"/>
      <c r="EP29" s="628"/>
      <c r="EQ29" s="628"/>
      <c r="ER29" s="628"/>
      <c r="ES29" s="628"/>
      <c r="ET29" s="628"/>
      <c r="EU29" s="628"/>
      <c r="EV29" s="628"/>
      <c r="EW29" s="628"/>
      <c r="EX29" s="628"/>
      <c r="EY29" s="628"/>
      <c r="EZ29" s="628"/>
      <c r="FA29" s="628"/>
      <c r="FB29" s="628"/>
      <c r="FC29" s="628"/>
      <c r="FD29" s="628"/>
      <c r="FE29" s="628"/>
      <c r="FF29" s="628"/>
      <c r="FG29" s="628"/>
      <c r="FH29" s="628"/>
      <c r="FI29" s="628"/>
      <c r="FJ29" s="628"/>
      <c r="FK29" s="628"/>
      <c r="FL29" s="628"/>
      <c r="FM29" s="628"/>
      <c r="FN29" s="628"/>
      <c r="FO29" s="628"/>
      <c r="FP29" s="628"/>
      <c r="FQ29" s="628"/>
      <c r="FR29" s="628"/>
      <c r="FS29" s="628"/>
      <c r="FT29" s="628"/>
      <c r="FU29" s="628"/>
      <c r="FV29" s="628"/>
      <c r="FW29" s="628"/>
      <c r="FX29" s="628"/>
      <c r="FY29" s="628"/>
      <c r="FZ29" s="628"/>
      <c r="GA29" s="628"/>
      <c r="GB29" s="628"/>
      <c r="GC29" s="628"/>
      <c r="GD29" s="628"/>
      <c r="GE29" s="628"/>
      <c r="GF29" s="628"/>
      <c r="GG29" s="628"/>
      <c r="GH29" s="628"/>
      <c r="GI29" s="628"/>
      <c r="GJ29" s="628"/>
      <c r="GK29" s="628"/>
      <c r="GL29" s="628"/>
      <c r="GM29" s="628"/>
      <c r="GN29" s="628"/>
      <c r="GO29" s="628"/>
      <c r="GP29" s="628"/>
      <c r="GQ29" s="628"/>
      <c r="GR29" s="628"/>
      <c r="GS29" s="628"/>
      <c r="GT29" s="628"/>
      <c r="GU29" s="628"/>
      <c r="GV29" s="628"/>
      <c r="GW29" s="628"/>
      <c r="GX29" s="628"/>
      <c r="GY29" s="628"/>
      <c r="GZ29" s="628"/>
      <c r="HA29" s="628"/>
      <c r="HB29" s="628"/>
      <c r="HC29" s="628"/>
      <c r="HD29" s="628"/>
      <c r="HE29" s="628"/>
      <c r="HF29" s="628"/>
      <c r="HG29" s="628"/>
      <c r="HH29" s="628"/>
      <c r="HI29" s="628"/>
      <c r="HJ29" s="628"/>
      <c r="HK29" s="628"/>
      <c r="HL29" s="628"/>
      <c r="HM29" s="628"/>
      <c r="HN29" s="628"/>
      <c r="HO29" s="628"/>
      <c r="HP29" s="628"/>
      <c r="HQ29" s="628"/>
      <c r="HR29" s="628"/>
      <c r="HS29" s="628"/>
      <c r="HT29" s="628"/>
      <c r="HU29" s="628"/>
      <c r="HV29" s="628"/>
      <c r="HW29" s="628"/>
      <c r="HX29" s="628"/>
      <c r="HY29" s="628"/>
      <c r="HZ29" s="628"/>
      <c r="IA29" s="628"/>
      <c r="IB29" s="628"/>
      <c r="IC29" s="628"/>
      <c r="ID29" s="628"/>
      <c r="IE29" s="628"/>
      <c r="IF29" s="628"/>
      <c r="IG29" s="628"/>
      <c r="IH29" s="628"/>
      <c r="II29" s="628"/>
      <c r="IJ29" s="628"/>
      <c r="IK29" s="628"/>
      <c r="IL29" s="628"/>
      <c r="IM29" s="628"/>
      <c r="IN29" s="628"/>
      <c r="IO29" s="628"/>
      <c r="IP29" s="628"/>
      <c r="IQ29" s="628"/>
      <c r="IR29" s="628"/>
      <c r="IS29" s="628"/>
      <c r="IT29" s="628"/>
      <c r="IU29" s="628"/>
      <c r="IV29" s="628"/>
    </row>
    <row r="30" spans="1:256" ht="15" x14ac:dyDescent="0.25">
      <c r="A30" s="1490">
        <v>13</v>
      </c>
      <c r="B30" s="1491">
        <v>45046</v>
      </c>
      <c r="C30" s="1492">
        <f>+'CURVA S'!P16/1.18</f>
        <v>1745389.8135593222</v>
      </c>
      <c r="D30" s="1493">
        <f>+VAL_RES.!P39</f>
        <v>0</v>
      </c>
      <c r="E30" s="1500"/>
      <c r="F30" s="1493">
        <f t="shared" si="1"/>
        <v>0</v>
      </c>
      <c r="G30" s="1495">
        <f t="shared" si="12"/>
        <v>0</v>
      </c>
      <c r="H30" s="1496">
        <v>0</v>
      </c>
      <c r="I30" s="1497">
        <v>0</v>
      </c>
      <c r="J30" s="1497">
        <v>0</v>
      </c>
      <c r="K30" s="1498">
        <f t="shared" si="13"/>
        <v>0</v>
      </c>
      <c r="L30" s="300"/>
      <c r="M30" s="629"/>
      <c r="N30" s="629"/>
      <c r="O30" s="629"/>
      <c r="P30" s="628"/>
      <c r="Q30" s="628"/>
      <c r="R30" s="628"/>
      <c r="S30" s="628"/>
      <c r="T30" s="628"/>
      <c r="U30" s="628"/>
      <c r="V30" s="628"/>
      <c r="W30" s="628"/>
      <c r="X30" s="628"/>
      <c r="Y30" s="628"/>
      <c r="Z30" s="628"/>
      <c r="AA30" s="628"/>
      <c r="AB30" s="628"/>
      <c r="AC30" s="628"/>
      <c r="AD30" s="628"/>
      <c r="AE30" s="628"/>
      <c r="AF30" s="628"/>
      <c r="AG30" s="628"/>
      <c r="AH30" s="628"/>
      <c r="AI30" s="628"/>
      <c r="AJ30" s="628"/>
      <c r="AK30" s="628"/>
      <c r="AL30" s="628"/>
      <c r="AM30" s="628"/>
      <c r="AN30" s="628"/>
      <c r="AO30" s="628"/>
      <c r="AP30" s="628"/>
      <c r="AQ30" s="628"/>
      <c r="AR30" s="628"/>
      <c r="AS30" s="628"/>
      <c r="AT30" s="628"/>
      <c r="AU30" s="628"/>
      <c r="AV30" s="628"/>
      <c r="AW30" s="628"/>
      <c r="AX30" s="628"/>
      <c r="AY30" s="628"/>
      <c r="AZ30" s="628"/>
      <c r="BA30" s="628"/>
      <c r="BB30" s="628"/>
      <c r="BC30" s="628"/>
      <c r="BD30" s="628"/>
      <c r="BE30" s="628"/>
      <c r="BF30" s="628"/>
      <c r="BG30" s="628"/>
      <c r="BH30" s="628"/>
      <c r="BI30" s="628"/>
      <c r="BJ30" s="628"/>
      <c r="BK30" s="628"/>
      <c r="BL30" s="628"/>
      <c r="BM30" s="628"/>
      <c r="BN30" s="628"/>
      <c r="BO30" s="628"/>
      <c r="BP30" s="628"/>
      <c r="BQ30" s="628"/>
      <c r="BR30" s="628"/>
      <c r="BS30" s="628"/>
      <c r="BT30" s="628"/>
      <c r="BU30" s="628"/>
      <c r="BV30" s="628"/>
      <c r="BW30" s="628"/>
      <c r="BX30" s="628"/>
      <c r="BY30" s="628"/>
      <c r="BZ30" s="628"/>
      <c r="CA30" s="628"/>
      <c r="CB30" s="628"/>
      <c r="CC30" s="628"/>
      <c r="CD30" s="628"/>
      <c r="CE30" s="628"/>
      <c r="CF30" s="628"/>
      <c r="CG30" s="628"/>
      <c r="CH30" s="628"/>
      <c r="CI30" s="628"/>
      <c r="CJ30" s="628"/>
      <c r="CK30" s="628"/>
      <c r="CL30" s="628"/>
      <c r="CM30" s="628"/>
      <c r="CN30" s="628"/>
      <c r="CO30" s="628"/>
      <c r="CP30" s="628"/>
      <c r="CQ30" s="628"/>
      <c r="CR30" s="628"/>
      <c r="CS30" s="628"/>
      <c r="CT30" s="628"/>
      <c r="CU30" s="628"/>
      <c r="CV30" s="628"/>
      <c r="CW30" s="628"/>
      <c r="CX30" s="628"/>
      <c r="CY30" s="628"/>
      <c r="CZ30" s="628"/>
      <c r="DA30" s="628"/>
      <c r="DB30" s="628"/>
      <c r="DC30" s="628"/>
      <c r="DD30" s="628"/>
      <c r="DE30" s="628"/>
      <c r="DF30" s="628"/>
      <c r="DG30" s="628"/>
      <c r="DH30" s="628"/>
      <c r="DI30" s="628"/>
      <c r="DJ30" s="628"/>
      <c r="DK30" s="628"/>
      <c r="DL30" s="628"/>
      <c r="DM30" s="628"/>
      <c r="DN30" s="628"/>
      <c r="DO30" s="628"/>
      <c r="DP30" s="628"/>
      <c r="DQ30" s="628"/>
      <c r="DR30" s="628"/>
      <c r="DS30" s="628"/>
      <c r="DT30" s="628"/>
      <c r="DU30" s="628"/>
      <c r="DV30" s="628"/>
      <c r="DW30" s="628"/>
      <c r="DX30" s="628"/>
      <c r="DY30" s="628"/>
      <c r="DZ30" s="628"/>
      <c r="EA30" s="628"/>
      <c r="EB30" s="628"/>
      <c r="EC30" s="628"/>
      <c r="ED30" s="628"/>
      <c r="EE30" s="628"/>
      <c r="EF30" s="628"/>
      <c r="EG30" s="628"/>
      <c r="EH30" s="628"/>
      <c r="EI30" s="628"/>
      <c r="EJ30" s="628"/>
      <c r="EK30" s="628"/>
      <c r="EL30" s="628"/>
      <c r="EM30" s="628"/>
      <c r="EN30" s="628"/>
      <c r="EO30" s="628"/>
      <c r="EP30" s="628"/>
      <c r="EQ30" s="628"/>
      <c r="ER30" s="628"/>
      <c r="ES30" s="628"/>
      <c r="ET30" s="628"/>
      <c r="EU30" s="628"/>
      <c r="EV30" s="628"/>
      <c r="EW30" s="628"/>
      <c r="EX30" s="628"/>
      <c r="EY30" s="628"/>
      <c r="EZ30" s="628"/>
      <c r="FA30" s="628"/>
      <c r="FB30" s="628"/>
      <c r="FC30" s="628"/>
      <c r="FD30" s="628"/>
      <c r="FE30" s="628"/>
      <c r="FF30" s="628"/>
      <c r="FG30" s="628"/>
      <c r="FH30" s="628"/>
      <c r="FI30" s="628"/>
      <c r="FJ30" s="628"/>
      <c r="FK30" s="628"/>
      <c r="FL30" s="628"/>
      <c r="FM30" s="628"/>
      <c r="FN30" s="628"/>
      <c r="FO30" s="628"/>
      <c r="FP30" s="628"/>
      <c r="FQ30" s="628"/>
      <c r="FR30" s="628"/>
      <c r="FS30" s="628"/>
      <c r="FT30" s="628"/>
      <c r="FU30" s="628"/>
      <c r="FV30" s="628"/>
      <c r="FW30" s="628"/>
      <c r="FX30" s="628"/>
      <c r="FY30" s="628"/>
      <c r="FZ30" s="628"/>
      <c r="GA30" s="628"/>
      <c r="GB30" s="628"/>
      <c r="GC30" s="628"/>
      <c r="GD30" s="628"/>
      <c r="GE30" s="628"/>
      <c r="GF30" s="628"/>
      <c r="GG30" s="628"/>
      <c r="GH30" s="628"/>
      <c r="GI30" s="628"/>
      <c r="GJ30" s="628"/>
      <c r="GK30" s="628"/>
      <c r="GL30" s="628"/>
      <c r="GM30" s="628"/>
      <c r="GN30" s="628"/>
      <c r="GO30" s="628"/>
      <c r="GP30" s="628"/>
      <c r="GQ30" s="628"/>
      <c r="GR30" s="628"/>
      <c r="GS30" s="628"/>
      <c r="GT30" s="628"/>
      <c r="GU30" s="628"/>
      <c r="GV30" s="628"/>
      <c r="GW30" s="628"/>
      <c r="GX30" s="628"/>
      <c r="GY30" s="628"/>
      <c r="GZ30" s="628"/>
      <c r="HA30" s="628"/>
      <c r="HB30" s="628"/>
      <c r="HC30" s="628"/>
      <c r="HD30" s="628"/>
      <c r="HE30" s="628"/>
      <c r="HF30" s="628"/>
      <c r="HG30" s="628"/>
      <c r="HH30" s="628"/>
      <c r="HI30" s="628"/>
      <c r="HJ30" s="628"/>
      <c r="HK30" s="628"/>
      <c r="HL30" s="628"/>
      <c r="HM30" s="628"/>
      <c r="HN30" s="628"/>
      <c r="HO30" s="628"/>
      <c r="HP30" s="628"/>
      <c r="HQ30" s="628"/>
      <c r="HR30" s="628"/>
      <c r="HS30" s="628"/>
      <c r="HT30" s="628"/>
      <c r="HU30" s="628"/>
      <c r="HV30" s="628"/>
      <c r="HW30" s="628"/>
      <c r="HX30" s="628"/>
      <c r="HY30" s="628"/>
      <c r="HZ30" s="628"/>
      <c r="IA30" s="628"/>
      <c r="IB30" s="628"/>
      <c r="IC30" s="628"/>
      <c r="ID30" s="628"/>
      <c r="IE30" s="628"/>
      <c r="IF30" s="628"/>
      <c r="IG30" s="628"/>
      <c r="IH30" s="628"/>
      <c r="II30" s="628"/>
      <c r="IJ30" s="628"/>
      <c r="IK30" s="628"/>
      <c r="IL30" s="628"/>
      <c r="IM30" s="628"/>
      <c r="IN30" s="628"/>
      <c r="IO30" s="628"/>
      <c r="IP30" s="628"/>
      <c r="IQ30" s="628"/>
      <c r="IR30" s="628"/>
      <c r="IS30" s="628"/>
      <c r="IT30" s="628"/>
      <c r="IU30" s="628"/>
      <c r="IV30" s="628"/>
    </row>
    <row r="31" spans="1:256" ht="15" x14ac:dyDescent="0.25">
      <c r="A31" s="1218"/>
      <c r="B31" s="1219"/>
      <c r="C31" s="1220"/>
      <c r="D31" s="1221"/>
      <c r="E31" s="1222"/>
      <c r="F31" s="1221"/>
      <c r="G31" s="1221"/>
      <c r="H31" s="1221"/>
      <c r="I31" s="1223"/>
      <c r="J31" s="1223"/>
      <c r="K31" s="1224"/>
      <c r="L31" s="300"/>
      <c r="M31" s="629"/>
      <c r="N31" s="629"/>
      <c r="O31" s="629"/>
      <c r="P31" s="628"/>
      <c r="Q31" s="628"/>
      <c r="R31" s="628"/>
      <c r="S31" s="628"/>
      <c r="T31" s="628"/>
      <c r="U31" s="628"/>
      <c r="V31" s="628"/>
      <c r="W31" s="628"/>
      <c r="X31" s="628"/>
      <c r="Y31" s="628"/>
      <c r="Z31" s="628"/>
      <c r="AA31" s="628"/>
      <c r="AB31" s="628"/>
      <c r="AC31" s="628"/>
      <c r="AD31" s="628"/>
      <c r="AE31" s="628"/>
      <c r="AF31" s="628"/>
      <c r="AG31" s="628"/>
      <c r="AH31" s="628"/>
      <c r="AI31" s="628"/>
      <c r="AJ31" s="628"/>
      <c r="AK31" s="628"/>
      <c r="AL31" s="628"/>
      <c r="AM31" s="628"/>
      <c r="AN31" s="628"/>
      <c r="AO31" s="628"/>
      <c r="AP31" s="628"/>
      <c r="AQ31" s="628"/>
      <c r="AR31" s="628"/>
      <c r="AS31" s="628"/>
      <c r="AT31" s="628"/>
      <c r="AU31" s="628"/>
      <c r="AV31" s="628"/>
      <c r="AW31" s="628"/>
      <c r="AX31" s="628"/>
      <c r="AY31" s="628"/>
      <c r="AZ31" s="628"/>
      <c r="BA31" s="628"/>
      <c r="BB31" s="628"/>
      <c r="BC31" s="628"/>
      <c r="BD31" s="628"/>
      <c r="BE31" s="628"/>
      <c r="BF31" s="628"/>
      <c r="BG31" s="628"/>
      <c r="BH31" s="628"/>
      <c r="BI31" s="628"/>
      <c r="BJ31" s="628"/>
      <c r="BK31" s="628"/>
      <c r="BL31" s="628"/>
      <c r="BM31" s="628"/>
      <c r="BN31" s="628"/>
      <c r="BO31" s="628"/>
      <c r="BP31" s="628"/>
      <c r="BQ31" s="628"/>
      <c r="BR31" s="628"/>
      <c r="BS31" s="628"/>
      <c r="BT31" s="628"/>
      <c r="BU31" s="628"/>
      <c r="BV31" s="628"/>
      <c r="BW31" s="628"/>
      <c r="BX31" s="628"/>
      <c r="BY31" s="628"/>
      <c r="BZ31" s="628"/>
      <c r="CA31" s="628"/>
      <c r="CB31" s="628"/>
      <c r="CC31" s="628"/>
      <c r="CD31" s="628"/>
      <c r="CE31" s="628"/>
      <c r="CF31" s="628"/>
      <c r="CG31" s="628"/>
      <c r="CH31" s="628"/>
      <c r="CI31" s="628"/>
      <c r="CJ31" s="628"/>
      <c r="CK31" s="628"/>
      <c r="CL31" s="628"/>
      <c r="CM31" s="628"/>
      <c r="CN31" s="628"/>
      <c r="CO31" s="628"/>
      <c r="CP31" s="628"/>
      <c r="CQ31" s="628"/>
      <c r="CR31" s="628"/>
      <c r="CS31" s="628"/>
      <c r="CT31" s="628"/>
      <c r="CU31" s="628"/>
      <c r="CV31" s="628"/>
      <c r="CW31" s="628"/>
      <c r="CX31" s="628"/>
      <c r="CY31" s="628"/>
      <c r="CZ31" s="628"/>
      <c r="DA31" s="628"/>
      <c r="DB31" s="628"/>
      <c r="DC31" s="628"/>
      <c r="DD31" s="628"/>
      <c r="DE31" s="628"/>
      <c r="DF31" s="628"/>
      <c r="DG31" s="628"/>
      <c r="DH31" s="628"/>
      <c r="DI31" s="628"/>
      <c r="DJ31" s="628"/>
      <c r="DK31" s="628"/>
      <c r="DL31" s="628"/>
      <c r="DM31" s="628"/>
      <c r="DN31" s="628"/>
      <c r="DO31" s="628"/>
      <c r="DP31" s="628"/>
      <c r="DQ31" s="628"/>
      <c r="DR31" s="628"/>
      <c r="DS31" s="628"/>
      <c r="DT31" s="628"/>
      <c r="DU31" s="628"/>
      <c r="DV31" s="628"/>
      <c r="DW31" s="628"/>
      <c r="DX31" s="628"/>
      <c r="DY31" s="628"/>
      <c r="DZ31" s="628"/>
      <c r="EA31" s="628"/>
      <c r="EB31" s="628"/>
      <c r="EC31" s="628"/>
      <c r="ED31" s="628"/>
      <c r="EE31" s="628"/>
      <c r="EF31" s="628"/>
      <c r="EG31" s="628"/>
      <c r="EH31" s="628"/>
      <c r="EI31" s="628"/>
      <c r="EJ31" s="628"/>
      <c r="EK31" s="628"/>
      <c r="EL31" s="628"/>
      <c r="EM31" s="628"/>
      <c r="EN31" s="628"/>
      <c r="EO31" s="628"/>
      <c r="EP31" s="628"/>
      <c r="EQ31" s="628"/>
      <c r="ER31" s="628"/>
      <c r="ES31" s="628"/>
      <c r="ET31" s="628"/>
      <c r="EU31" s="628"/>
      <c r="EV31" s="628"/>
      <c r="EW31" s="628"/>
      <c r="EX31" s="628"/>
      <c r="EY31" s="628"/>
      <c r="EZ31" s="628"/>
      <c r="FA31" s="628"/>
      <c r="FB31" s="628"/>
      <c r="FC31" s="628"/>
      <c r="FD31" s="628"/>
      <c r="FE31" s="628"/>
      <c r="FF31" s="628"/>
      <c r="FG31" s="628"/>
      <c r="FH31" s="628"/>
      <c r="FI31" s="628"/>
      <c r="FJ31" s="628"/>
      <c r="FK31" s="628"/>
      <c r="FL31" s="628"/>
      <c r="FM31" s="628"/>
      <c r="FN31" s="628"/>
      <c r="FO31" s="628"/>
      <c r="FP31" s="628"/>
      <c r="FQ31" s="628"/>
      <c r="FR31" s="628"/>
      <c r="FS31" s="628"/>
      <c r="FT31" s="628"/>
      <c r="FU31" s="628"/>
      <c r="FV31" s="628"/>
      <c r="FW31" s="628"/>
      <c r="FX31" s="628"/>
      <c r="FY31" s="628"/>
      <c r="FZ31" s="628"/>
      <c r="GA31" s="628"/>
      <c r="GB31" s="628"/>
      <c r="GC31" s="628"/>
      <c r="GD31" s="628"/>
      <c r="GE31" s="628"/>
      <c r="GF31" s="628"/>
      <c r="GG31" s="628"/>
      <c r="GH31" s="628"/>
      <c r="GI31" s="628"/>
      <c r="GJ31" s="628"/>
      <c r="GK31" s="628"/>
      <c r="GL31" s="628"/>
      <c r="GM31" s="628"/>
      <c r="GN31" s="628"/>
      <c r="GO31" s="628"/>
      <c r="GP31" s="628"/>
      <c r="GQ31" s="628"/>
      <c r="GR31" s="628"/>
      <c r="GS31" s="628"/>
      <c r="GT31" s="628"/>
      <c r="GU31" s="628"/>
      <c r="GV31" s="628"/>
      <c r="GW31" s="628"/>
      <c r="GX31" s="628"/>
      <c r="GY31" s="628"/>
      <c r="GZ31" s="628"/>
      <c r="HA31" s="628"/>
      <c r="HB31" s="628"/>
      <c r="HC31" s="628"/>
      <c r="HD31" s="628"/>
      <c r="HE31" s="628"/>
      <c r="HF31" s="628"/>
      <c r="HG31" s="628"/>
      <c r="HH31" s="628"/>
      <c r="HI31" s="628"/>
      <c r="HJ31" s="628"/>
      <c r="HK31" s="628"/>
      <c r="HL31" s="628"/>
      <c r="HM31" s="628"/>
      <c r="HN31" s="628"/>
      <c r="HO31" s="628"/>
      <c r="HP31" s="628"/>
      <c r="HQ31" s="628"/>
      <c r="HR31" s="628"/>
      <c r="HS31" s="628"/>
      <c r="HT31" s="628"/>
      <c r="HU31" s="628"/>
      <c r="HV31" s="628"/>
      <c r="HW31" s="628"/>
      <c r="HX31" s="628"/>
      <c r="HY31" s="628"/>
      <c r="HZ31" s="628"/>
      <c r="IA31" s="628"/>
      <c r="IB31" s="628"/>
      <c r="IC31" s="628"/>
      <c r="ID31" s="628"/>
      <c r="IE31" s="628"/>
      <c r="IF31" s="628"/>
      <c r="IG31" s="628"/>
      <c r="IH31" s="628"/>
      <c r="II31" s="628"/>
      <c r="IJ31" s="628"/>
      <c r="IK31" s="628"/>
      <c r="IL31" s="628"/>
      <c r="IM31" s="628"/>
      <c r="IN31" s="628"/>
      <c r="IO31" s="628"/>
      <c r="IP31" s="628"/>
      <c r="IQ31" s="628"/>
      <c r="IR31" s="628"/>
      <c r="IS31" s="628"/>
      <c r="IT31" s="628"/>
      <c r="IU31" s="628"/>
      <c r="IV31" s="628"/>
    </row>
    <row r="32" spans="1:256" ht="15.6" x14ac:dyDescent="0.3">
      <c r="A32" s="975" t="s">
        <v>47</v>
      </c>
      <c r="B32" s="975"/>
      <c r="C32" s="976">
        <f>SUM(C18:C30)</f>
        <v>11490874.641707778</v>
      </c>
      <c r="D32" s="977">
        <f>SUM(D18:D30)</f>
        <v>4748116.8699999992</v>
      </c>
      <c r="E32" s="978"/>
      <c r="F32" s="979">
        <f>SUM(F18:F30)</f>
        <v>294379.11</v>
      </c>
      <c r="G32" s="979">
        <f>SUM(G18:G30)</f>
        <v>195390.49</v>
      </c>
      <c r="H32" s="979">
        <f>SUM(H18:H30)</f>
        <v>195390.49</v>
      </c>
      <c r="I32" s="979">
        <f>SUM(I18:I30)</f>
        <v>2378.2635842946856</v>
      </c>
      <c r="J32" s="979">
        <f>SUM(J18:J30)</f>
        <v>-10342.749999999998</v>
      </c>
      <c r="K32" s="979">
        <f>H32-I32-J32</f>
        <v>203354.97641570531</v>
      </c>
      <c r="L32" s="325"/>
      <c r="M32" s="176"/>
      <c r="N32" s="176"/>
      <c r="O32" s="176"/>
      <c r="P32" s="169"/>
      <c r="Q32" s="169"/>
      <c r="R32" s="169"/>
      <c r="S32" s="169"/>
      <c r="T32" s="169"/>
      <c r="U32" s="169"/>
      <c r="V32" s="169"/>
      <c r="W32" s="169"/>
      <c r="X32" s="169"/>
      <c r="Y32" s="169"/>
      <c r="Z32" s="169"/>
      <c r="AA32" s="169"/>
      <c r="AB32" s="169"/>
      <c r="AC32" s="169"/>
      <c r="AD32" s="169"/>
      <c r="AE32" s="169"/>
      <c r="AF32" s="169"/>
      <c r="AG32" s="169"/>
      <c r="AH32" s="169"/>
      <c r="AI32" s="169"/>
      <c r="AJ32" s="169"/>
      <c r="AK32" s="169"/>
      <c r="AL32" s="169"/>
      <c r="AM32" s="169"/>
      <c r="AN32" s="169"/>
      <c r="AO32" s="169"/>
      <c r="AP32" s="169"/>
      <c r="AQ32" s="169"/>
      <c r="AR32" s="169"/>
      <c r="AS32" s="169"/>
      <c r="AT32" s="169"/>
      <c r="AU32" s="169"/>
      <c r="AV32" s="169"/>
      <c r="AW32" s="169"/>
      <c r="AX32" s="169"/>
      <c r="AY32" s="169"/>
      <c r="AZ32" s="169"/>
      <c r="BA32" s="169"/>
      <c r="BB32" s="169"/>
      <c r="BC32" s="169"/>
      <c r="BD32" s="169"/>
      <c r="BE32" s="169"/>
      <c r="BF32" s="169"/>
      <c r="BG32" s="169"/>
      <c r="BH32" s="169"/>
      <c r="BI32" s="169"/>
      <c r="BJ32" s="169"/>
      <c r="BK32" s="169"/>
      <c r="BL32" s="169"/>
      <c r="BM32" s="169"/>
      <c r="BN32" s="169"/>
      <c r="BO32" s="169"/>
      <c r="BP32" s="169"/>
      <c r="BQ32" s="169"/>
      <c r="BR32" s="169"/>
      <c r="BS32" s="169"/>
      <c r="BT32" s="169"/>
      <c r="BU32" s="169"/>
      <c r="BV32" s="169"/>
      <c r="BW32" s="169"/>
      <c r="BX32" s="169"/>
      <c r="BY32" s="169"/>
      <c r="BZ32" s="169"/>
      <c r="CA32" s="169"/>
      <c r="CB32" s="169"/>
      <c r="CC32" s="169"/>
      <c r="CD32" s="169"/>
      <c r="CE32" s="169"/>
      <c r="CF32" s="169"/>
      <c r="CG32" s="169"/>
      <c r="CH32" s="169"/>
      <c r="CI32" s="169"/>
      <c r="CJ32" s="169"/>
      <c r="CK32" s="169"/>
      <c r="CL32" s="169"/>
      <c r="CM32" s="169"/>
      <c r="CN32" s="169"/>
      <c r="CO32" s="169"/>
      <c r="CP32" s="169"/>
      <c r="CQ32" s="169"/>
      <c r="CR32" s="169"/>
      <c r="CS32" s="169"/>
      <c r="CT32" s="169"/>
      <c r="CU32" s="169"/>
      <c r="CV32" s="169"/>
      <c r="CW32" s="169"/>
      <c r="CX32" s="169"/>
      <c r="CY32" s="169"/>
      <c r="CZ32" s="169"/>
      <c r="DA32" s="169"/>
      <c r="DB32" s="169"/>
      <c r="DC32" s="169"/>
      <c r="DD32" s="169"/>
      <c r="DE32" s="169"/>
      <c r="DF32" s="169"/>
      <c r="DG32" s="169"/>
      <c r="DH32" s="169"/>
      <c r="DI32" s="169"/>
      <c r="DJ32" s="169"/>
      <c r="DK32" s="169"/>
      <c r="DL32" s="169"/>
      <c r="DM32" s="169"/>
      <c r="DN32" s="169"/>
      <c r="DO32" s="169"/>
      <c r="DP32" s="169"/>
      <c r="DQ32" s="169"/>
      <c r="DR32" s="169"/>
      <c r="DS32" s="169"/>
      <c r="DT32" s="169"/>
      <c r="DU32" s="169"/>
      <c r="DV32" s="169"/>
      <c r="DW32" s="169"/>
      <c r="DX32" s="169"/>
      <c r="DY32" s="169"/>
      <c r="DZ32" s="169"/>
      <c r="EA32" s="169"/>
      <c r="EB32" s="169"/>
      <c r="EC32" s="169"/>
      <c r="ED32" s="169"/>
      <c r="EE32" s="169"/>
      <c r="EF32" s="169"/>
      <c r="EG32" s="169"/>
      <c r="EH32" s="169"/>
      <c r="EI32" s="169"/>
      <c r="EJ32" s="169"/>
      <c r="EK32" s="169"/>
      <c r="EL32" s="169"/>
      <c r="EM32" s="169"/>
      <c r="EN32" s="169"/>
      <c r="EO32" s="169"/>
      <c r="EP32" s="169"/>
      <c r="EQ32" s="169"/>
      <c r="ER32" s="169"/>
      <c r="ES32" s="169"/>
      <c r="ET32" s="169"/>
      <c r="EU32" s="169"/>
      <c r="EV32" s="169"/>
      <c r="EW32" s="169"/>
      <c r="EX32" s="169"/>
      <c r="EY32" s="169"/>
      <c r="EZ32" s="169"/>
      <c r="FA32" s="169"/>
      <c r="FB32" s="169"/>
      <c r="FC32" s="169"/>
      <c r="FD32" s="169"/>
      <c r="FE32" s="169"/>
      <c r="FF32" s="169"/>
      <c r="FG32" s="169"/>
      <c r="FH32" s="169"/>
      <c r="FI32" s="169"/>
      <c r="FJ32" s="169"/>
      <c r="FK32" s="169"/>
      <c r="FL32" s="169"/>
      <c r="FM32" s="169"/>
      <c r="FN32" s="169"/>
      <c r="FO32" s="169"/>
      <c r="FP32" s="169"/>
      <c r="FQ32" s="169"/>
      <c r="FR32" s="169"/>
      <c r="FS32" s="169"/>
      <c r="FT32" s="169"/>
      <c r="FU32" s="169"/>
      <c r="FV32" s="169"/>
      <c r="FW32" s="169"/>
      <c r="FX32" s="169"/>
      <c r="FY32" s="169"/>
      <c r="FZ32" s="169"/>
      <c r="GA32" s="169"/>
      <c r="GB32" s="169"/>
      <c r="GC32" s="169"/>
      <c r="GD32" s="169"/>
      <c r="GE32" s="169"/>
      <c r="GF32" s="169"/>
      <c r="GG32" s="169"/>
      <c r="GH32" s="169"/>
      <c r="GI32" s="169"/>
      <c r="GJ32" s="169"/>
      <c r="GK32" s="169"/>
      <c r="GL32" s="169"/>
      <c r="GM32" s="169"/>
      <c r="GN32" s="169"/>
      <c r="GO32" s="169"/>
      <c r="GP32" s="169"/>
      <c r="GQ32" s="169"/>
      <c r="GR32" s="169"/>
      <c r="GS32" s="169"/>
      <c r="GT32" s="169"/>
      <c r="GU32" s="169"/>
      <c r="GV32" s="169"/>
      <c r="GW32" s="169"/>
      <c r="GX32" s="169"/>
      <c r="GY32" s="169"/>
      <c r="GZ32" s="169"/>
      <c r="HA32" s="169"/>
      <c r="HB32" s="169"/>
      <c r="HC32" s="169"/>
      <c r="HD32" s="169"/>
      <c r="HE32" s="169"/>
      <c r="HF32" s="169"/>
      <c r="HG32" s="169"/>
      <c r="HH32" s="169"/>
      <c r="HI32" s="169"/>
      <c r="HJ32" s="169"/>
      <c r="HK32" s="169"/>
      <c r="HL32" s="169"/>
      <c r="HM32" s="169"/>
      <c r="HN32" s="169"/>
      <c r="HO32" s="169"/>
      <c r="HP32" s="169"/>
      <c r="HQ32" s="169"/>
      <c r="HR32" s="169"/>
      <c r="HS32" s="169"/>
      <c r="HT32" s="169"/>
      <c r="HU32" s="169"/>
      <c r="HV32" s="169"/>
      <c r="HW32" s="169"/>
      <c r="HX32" s="169"/>
      <c r="HY32" s="169"/>
      <c r="HZ32" s="169"/>
      <c r="IA32" s="169"/>
      <c r="IB32" s="169"/>
      <c r="IC32" s="169"/>
      <c r="ID32" s="169"/>
      <c r="IE32" s="169"/>
      <c r="IF32" s="169"/>
      <c r="IG32" s="169"/>
      <c r="IH32" s="169"/>
      <c r="II32" s="169"/>
      <c r="IJ32" s="169"/>
      <c r="IK32" s="169"/>
      <c r="IL32" s="169"/>
      <c r="IM32" s="169"/>
      <c r="IN32" s="169"/>
      <c r="IO32" s="169"/>
      <c r="IP32" s="169"/>
      <c r="IQ32" s="169"/>
      <c r="IR32" s="169"/>
      <c r="IS32" s="169"/>
      <c r="IT32" s="169"/>
      <c r="IU32" s="169"/>
      <c r="IV32" s="169"/>
    </row>
    <row r="33" spans="1:256" ht="15.6" x14ac:dyDescent="0.3">
      <c r="A33" s="170"/>
      <c r="B33" s="170"/>
      <c r="C33" s="1365"/>
      <c r="D33" s="1366"/>
      <c r="E33" s="1371" t="s">
        <v>1664</v>
      </c>
      <c r="F33" s="1362"/>
      <c r="G33" s="1362"/>
      <c r="H33" s="979">
        <f>+H32</f>
        <v>195390.49</v>
      </c>
      <c r="I33" s="1362"/>
      <c r="J33" s="1362"/>
      <c r="K33" s="979"/>
      <c r="L33" s="325"/>
      <c r="M33" s="176"/>
      <c r="N33" s="176"/>
      <c r="O33" s="176"/>
      <c r="P33" s="169"/>
      <c r="Q33" s="169"/>
      <c r="R33" s="169"/>
      <c r="S33" s="169"/>
      <c r="T33" s="169"/>
      <c r="U33" s="169"/>
      <c r="V33" s="169"/>
      <c r="W33" s="169"/>
      <c r="X33" s="169"/>
      <c r="Y33" s="169"/>
      <c r="Z33" s="169"/>
      <c r="AA33" s="169"/>
      <c r="AB33" s="169"/>
      <c r="AC33" s="169"/>
      <c r="AD33" s="169"/>
      <c r="AE33" s="169"/>
      <c r="AF33" s="169"/>
      <c r="AG33" s="169"/>
      <c r="AH33" s="169"/>
      <c r="AI33" s="169"/>
      <c r="AJ33" s="169"/>
      <c r="AK33" s="169"/>
      <c r="AL33" s="169"/>
      <c r="AM33" s="169"/>
      <c r="AN33" s="169"/>
      <c r="AO33" s="169"/>
      <c r="AP33" s="169"/>
      <c r="AQ33" s="169"/>
      <c r="AR33" s="169"/>
      <c r="AS33" s="169"/>
      <c r="AT33" s="169"/>
      <c r="AU33" s="169"/>
      <c r="AV33" s="169"/>
      <c r="AW33" s="169"/>
      <c r="AX33" s="169"/>
      <c r="AY33" s="169"/>
      <c r="AZ33" s="169"/>
      <c r="BA33" s="169"/>
      <c r="BB33" s="169"/>
      <c r="BC33" s="169"/>
      <c r="BD33" s="169"/>
      <c r="BE33" s="169"/>
      <c r="BF33" s="169"/>
      <c r="BG33" s="169"/>
      <c r="BH33" s="169"/>
      <c r="BI33" s="169"/>
      <c r="BJ33" s="169"/>
      <c r="BK33" s="169"/>
      <c r="BL33" s="169"/>
      <c r="BM33" s="169"/>
      <c r="BN33" s="169"/>
      <c r="BO33" s="169"/>
      <c r="BP33" s="169"/>
      <c r="BQ33" s="169"/>
      <c r="BR33" s="169"/>
      <c r="BS33" s="169"/>
      <c r="BT33" s="169"/>
      <c r="BU33" s="169"/>
      <c r="BV33" s="169"/>
      <c r="BW33" s="169"/>
      <c r="BX33" s="169"/>
      <c r="BY33" s="169"/>
      <c r="BZ33" s="169"/>
      <c r="CA33" s="169"/>
      <c r="CB33" s="169"/>
      <c r="CC33" s="169"/>
      <c r="CD33" s="169"/>
      <c r="CE33" s="169"/>
      <c r="CF33" s="169"/>
      <c r="CG33" s="169"/>
      <c r="CH33" s="169"/>
      <c r="CI33" s="169"/>
      <c r="CJ33" s="169"/>
      <c r="CK33" s="169"/>
      <c r="CL33" s="169"/>
      <c r="CM33" s="169"/>
      <c r="CN33" s="169"/>
      <c r="CO33" s="169"/>
      <c r="CP33" s="169"/>
      <c r="CQ33" s="169"/>
      <c r="CR33" s="169"/>
      <c r="CS33" s="169"/>
      <c r="CT33" s="169"/>
      <c r="CU33" s="169"/>
      <c r="CV33" s="169"/>
      <c r="CW33" s="169"/>
      <c r="CX33" s="169"/>
      <c r="CY33" s="169"/>
      <c r="CZ33" s="169"/>
      <c r="DA33" s="169"/>
      <c r="DB33" s="169"/>
      <c r="DC33" s="169"/>
      <c r="DD33" s="169"/>
      <c r="DE33" s="169"/>
      <c r="DF33" s="169"/>
      <c r="DG33" s="169"/>
      <c r="DH33" s="169"/>
      <c r="DI33" s="169"/>
      <c r="DJ33" s="169"/>
      <c r="DK33" s="169"/>
      <c r="DL33" s="169"/>
      <c r="DM33" s="169"/>
      <c r="DN33" s="169"/>
      <c r="DO33" s="169"/>
      <c r="DP33" s="169"/>
      <c r="DQ33" s="169"/>
      <c r="DR33" s="169"/>
      <c r="DS33" s="169"/>
      <c r="DT33" s="169"/>
      <c r="DU33" s="169"/>
      <c r="DV33" s="169"/>
      <c r="DW33" s="169"/>
      <c r="DX33" s="169"/>
      <c r="DY33" s="169"/>
      <c r="DZ33" s="169"/>
      <c r="EA33" s="169"/>
      <c r="EB33" s="169"/>
      <c r="EC33" s="169"/>
      <c r="ED33" s="169"/>
      <c r="EE33" s="169"/>
      <c r="EF33" s="169"/>
      <c r="EG33" s="169"/>
      <c r="EH33" s="169"/>
      <c r="EI33" s="169"/>
      <c r="EJ33" s="169"/>
      <c r="EK33" s="169"/>
      <c r="EL33" s="169"/>
      <c r="EM33" s="169"/>
      <c r="EN33" s="169"/>
      <c r="EO33" s="169"/>
      <c r="EP33" s="169"/>
      <c r="EQ33" s="169"/>
      <c r="ER33" s="169"/>
      <c r="ES33" s="169"/>
      <c r="ET33" s="169"/>
      <c r="EU33" s="169"/>
      <c r="EV33" s="169"/>
      <c r="EW33" s="169"/>
      <c r="EX33" s="169"/>
      <c r="EY33" s="169"/>
      <c r="EZ33" s="169"/>
      <c r="FA33" s="169"/>
      <c r="FB33" s="169"/>
      <c r="FC33" s="169"/>
      <c r="FD33" s="169"/>
      <c r="FE33" s="169"/>
      <c r="FF33" s="169"/>
      <c r="FG33" s="169"/>
      <c r="FH33" s="169"/>
      <c r="FI33" s="169"/>
      <c r="FJ33" s="169"/>
      <c r="FK33" s="169"/>
      <c r="FL33" s="169"/>
      <c r="FM33" s="169"/>
      <c r="FN33" s="169"/>
      <c r="FO33" s="169"/>
      <c r="FP33" s="169"/>
      <c r="FQ33" s="169"/>
      <c r="FR33" s="169"/>
      <c r="FS33" s="169"/>
      <c r="FT33" s="169"/>
      <c r="FU33" s="169"/>
      <c r="FV33" s="169"/>
      <c r="FW33" s="169"/>
      <c r="FX33" s="169"/>
      <c r="FY33" s="169"/>
      <c r="FZ33" s="169"/>
      <c r="GA33" s="169"/>
      <c r="GB33" s="169"/>
      <c r="GC33" s="169"/>
      <c r="GD33" s="169"/>
      <c r="GE33" s="169"/>
      <c r="GF33" s="169"/>
      <c r="GG33" s="169"/>
      <c r="GH33" s="169"/>
      <c r="GI33" s="169"/>
      <c r="GJ33" s="169"/>
      <c r="GK33" s="169"/>
      <c r="GL33" s="169"/>
      <c r="GM33" s="169"/>
      <c r="GN33" s="169"/>
      <c r="GO33" s="169"/>
      <c r="GP33" s="169"/>
      <c r="GQ33" s="169"/>
      <c r="GR33" s="169"/>
      <c r="GS33" s="169"/>
      <c r="GT33" s="169"/>
      <c r="GU33" s="169"/>
      <c r="GV33" s="169"/>
      <c r="GW33" s="169"/>
      <c r="GX33" s="169"/>
      <c r="GY33" s="169"/>
      <c r="GZ33" s="169"/>
      <c r="HA33" s="169"/>
      <c r="HB33" s="169"/>
      <c r="HC33" s="169"/>
      <c r="HD33" s="169"/>
      <c r="HE33" s="169"/>
      <c r="HF33" s="169"/>
      <c r="HG33" s="169"/>
      <c r="HH33" s="169"/>
      <c r="HI33" s="169"/>
      <c r="HJ33" s="169"/>
      <c r="HK33" s="169"/>
      <c r="HL33" s="169"/>
      <c r="HM33" s="169"/>
      <c r="HN33" s="169"/>
      <c r="HO33" s="169"/>
      <c r="HP33" s="169"/>
      <c r="HQ33" s="169"/>
      <c r="HR33" s="169"/>
      <c r="HS33" s="169"/>
      <c r="HT33" s="169"/>
      <c r="HU33" s="169"/>
      <c r="HV33" s="169"/>
      <c r="HW33" s="169"/>
      <c r="HX33" s="169"/>
      <c r="HY33" s="169"/>
      <c r="HZ33" s="169"/>
      <c r="IA33" s="169"/>
      <c r="IB33" s="169"/>
      <c r="IC33" s="169"/>
      <c r="ID33" s="169"/>
      <c r="IE33" s="169"/>
      <c r="IF33" s="169"/>
      <c r="IG33" s="169"/>
      <c r="IH33" s="169"/>
      <c r="II33" s="169"/>
      <c r="IJ33" s="169"/>
      <c r="IK33" s="169"/>
      <c r="IL33" s="169"/>
      <c r="IM33" s="169"/>
      <c r="IN33" s="169"/>
      <c r="IO33" s="169"/>
      <c r="IP33" s="169"/>
      <c r="IQ33" s="169"/>
      <c r="IR33" s="169"/>
      <c r="IS33" s="169"/>
      <c r="IT33" s="169"/>
      <c r="IU33" s="169"/>
      <c r="IV33" s="169"/>
    </row>
    <row r="34" spans="1:256" ht="16.2" thickBot="1" x14ac:dyDescent="0.35">
      <c r="A34" s="304"/>
      <c r="B34" s="173"/>
      <c r="C34" s="300"/>
      <c r="D34" s="300"/>
      <c r="E34" s="1371" t="s">
        <v>1456</v>
      </c>
      <c r="F34" s="303"/>
      <c r="G34" s="303"/>
      <c r="H34" s="979">
        <v>259619.95</v>
      </c>
      <c r="I34" s="303"/>
      <c r="J34" s="303"/>
      <c r="K34" s="979">
        <f>+H34</f>
        <v>259619.95</v>
      </c>
      <c r="L34" s="303"/>
      <c r="M34" s="176"/>
      <c r="N34" s="176"/>
      <c r="O34" s="169"/>
      <c r="P34" s="169"/>
      <c r="Q34" s="169"/>
      <c r="R34" s="169"/>
      <c r="S34" s="169"/>
      <c r="T34" s="169"/>
      <c r="U34" s="169"/>
      <c r="V34" s="169"/>
      <c r="W34" s="169"/>
      <c r="X34" s="169"/>
      <c r="Y34" s="169"/>
      <c r="Z34" s="169"/>
      <c r="AA34" s="169"/>
      <c r="AB34" s="169"/>
      <c r="AC34" s="169"/>
      <c r="AD34" s="169"/>
      <c r="AE34" s="169"/>
      <c r="AF34" s="169"/>
      <c r="AG34" s="169"/>
      <c r="AH34" s="169"/>
      <c r="AI34" s="169"/>
      <c r="AJ34" s="169"/>
      <c r="AK34" s="169"/>
      <c r="AL34" s="169"/>
      <c r="AM34" s="169"/>
      <c r="AN34" s="169"/>
      <c r="AO34" s="169"/>
      <c r="AP34" s="169"/>
      <c r="AQ34" s="169"/>
      <c r="AR34" s="169"/>
      <c r="AS34" s="169"/>
      <c r="AT34" s="169"/>
      <c r="AU34" s="169"/>
      <c r="AV34" s="169"/>
      <c r="AW34" s="169"/>
      <c r="AX34" s="169"/>
      <c r="AY34" s="169"/>
      <c r="AZ34" s="169"/>
      <c r="BA34" s="169"/>
      <c r="BB34" s="169"/>
      <c r="BC34" s="169"/>
      <c r="BD34" s="169"/>
      <c r="BE34" s="169"/>
      <c r="BF34" s="169"/>
      <c r="BG34" s="169"/>
      <c r="BH34" s="169"/>
      <c r="BI34" s="169"/>
      <c r="BJ34" s="169"/>
      <c r="BK34" s="169"/>
      <c r="BL34" s="169"/>
      <c r="BM34" s="169"/>
      <c r="BN34" s="169"/>
      <c r="BO34" s="169"/>
      <c r="BP34" s="169"/>
      <c r="BQ34" s="169"/>
      <c r="BR34" s="169"/>
      <c r="BS34" s="169"/>
      <c r="BT34" s="169"/>
      <c r="BU34" s="169"/>
      <c r="BV34" s="169"/>
      <c r="BW34" s="169"/>
      <c r="BX34" s="169"/>
      <c r="BY34" s="169"/>
      <c r="BZ34" s="169"/>
      <c r="CA34" s="169"/>
      <c r="CB34" s="169"/>
      <c r="CC34" s="169"/>
      <c r="CD34" s="169"/>
      <c r="CE34" s="169"/>
      <c r="CF34" s="169"/>
      <c r="CG34" s="169"/>
      <c r="CH34" s="169"/>
      <c r="CI34" s="169"/>
      <c r="CJ34" s="169"/>
      <c r="CK34" s="169"/>
      <c r="CL34" s="169"/>
      <c r="CM34" s="169"/>
      <c r="CN34" s="169"/>
      <c r="CO34" s="169"/>
      <c r="CP34" s="169"/>
      <c r="CQ34" s="169"/>
      <c r="CR34" s="169"/>
      <c r="CS34" s="169"/>
      <c r="CT34" s="169"/>
      <c r="CU34" s="169"/>
      <c r="CV34" s="169"/>
      <c r="CW34" s="169"/>
      <c r="CX34" s="169"/>
      <c r="CY34" s="169"/>
      <c r="CZ34" s="169"/>
      <c r="DA34" s="169"/>
      <c r="DB34" s="169"/>
      <c r="DC34" s="169"/>
      <c r="DD34" s="169"/>
      <c r="DE34" s="169"/>
      <c r="DF34" s="169"/>
      <c r="DG34" s="169"/>
      <c r="DH34" s="169"/>
      <c r="DI34" s="169"/>
      <c r="DJ34" s="169"/>
      <c r="DK34" s="169"/>
      <c r="DL34" s="169"/>
      <c r="DM34" s="169"/>
      <c r="DN34" s="169"/>
      <c r="DO34" s="169"/>
      <c r="DP34" s="169"/>
      <c r="DQ34" s="169"/>
      <c r="DR34" s="169"/>
      <c r="DS34" s="169"/>
      <c r="DT34" s="169"/>
      <c r="DU34" s="169"/>
      <c r="DV34" s="169"/>
      <c r="DW34" s="169"/>
      <c r="DX34" s="169"/>
      <c r="DY34" s="169"/>
      <c r="DZ34" s="169"/>
      <c r="EA34" s="169"/>
      <c r="EB34" s="169"/>
      <c r="EC34" s="169"/>
      <c r="ED34" s="169"/>
      <c r="EE34" s="169"/>
      <c r="EF34" s="169"/>
      <c r="EG34" s="169"/>
      <c r="EH34" s="169"/>
      <c r="EI34" s="169"/>
      <c r="EJ34" s="169"/>
      <c r="EK34" s="169"/>
      <c r="EL34" s="169"/>
      <c r="EM34" s="169"/>
      <c r="EN34" s="169"/>
      <c r="EO34" s="169"/>
      <c r="EP34" s="169"/>
      <c r="EQ34" s="169"/>
      <c r="ER34" s="169"/>
      <c r="ES34" s="169"/>
      <c r="ET34" s="169"/>
      <c r="EU34" s="169"/>
      <c r="EV34" s="169"/>
      <c r="EW34" s="169"/>
      <c r="EX34" s="169"/>
      <c r="EY34" s="169"/>
      <c r="EZ34" s="169"/>
      <c r="FA34" s="169"/>
      <c r="FB34" s="169"/>
      <c r="FC34" s="169"/>
      <c r="FD34" s="169"/>
      <c r="FE34" s="169"/>
      <c r="FF34" s="169"/>
      <c r="FG34" s="169"/>
      <c r="FH34" s="169"/>
      <c r="FI34" s="169"/>
      <c r="FJ34" s="169"/>
      <c r="FK34" s="169"/>
      <c r="FL34" s="169"/>
      <c r="FM34" s="169"/>
      <c r="FN34" s="169"/>
      <c r="FO34" s="169"/>
      <c r="FP34" s="169"/>
      <c r="FQ34" s="169"/>
      <c r="FR34" s="169"/>
      <c r="FS34" s="169"/>
      <c r="FT34" s="169"/>
      <c r="FU34" s="169"/>
      <c r="FV34" s="169"/>
      <c r="FW34" s="169"/>
      <c r="FX34" s="169"/>
      <c r="FY34" s="169"/>
      <c r="FZ34" s="169"/>
      <c r="GA34" s="169"/>
      <c r="GB34" s="169"/>
      <c r="GC34" s="169"/>
      <c r="GD34" s="169"/>
      <c r="GE34" s="169"/>
      <c r="GF34" s="169"/>
      <c r="GG34" s="169"/>
      <c r="GH34" s="169"/>
      <c r="GI34" s="169"/>
      <c r="GJ34" s="169"/>
      <c r="GK34" s="169"/>
      <c r="GL34" s="169"/>
      <c r="GM34" s="169"/>
      <c r="GN34" s="169"/>
      <c r="GO34" s="169"/>
      <c r="GP34" s="169"/>
      <c r="GQ34" s="169"/>
      <c r="GR34" s="169"/>
      <c r="GS34" s="169"/>
      <c r="GT34" s="169"/>
      <c r="GU34" s="169"/>
      <c r="GV34" s="169"/>
      <c r="GW34" s="169"/>
      <c r="GX34" s="169"/>
      <c r="GY34" s="169"/>
      <c r="GZ34" s="169"/>
      <c r="HA34" s="169"/>
      <c r="HB34" s="169"/>
      <c r="HC34" s="169"/>
      <c r="HD34" s="169"/>
      <c r="HE34" s="169"/>
      <c r="HF34" s="169"/>
      <c r="HG34" s="169"/>
      <c r="HH34" s="169"/>
      <c r="HI34" s="169"/>
      <c r="HJ34" s="169"/>
      <c r="HK34" s="169"/>
      <c r="HL34" s="169"/>
      <c r="HM34" s="169"/>
      <c r="HN34" s="169"/>
      <c r="HO34" s="169"/>
      <c r="HP34" s="169"/>
      <c r="HQ34" s="169"/>
      <c r="HR34" s="169"/>
      <c r="HS34" s="169"/>
      <c r="HT34" s="169"/>
      <c r="HU34" s="169"/>
      <c r="HV34" s="169"/>
      <c r="HW34" s="169"/>
      <c r="HX34" s="169"/>
      <c r="HY34" s="169"/>
      <c r="HZ34" s="169"/>
      <c r="IA34" s="169"/>
      <c r="IB34" s="169"/>
      <c r="IC34" s="169"/>
      <c r="ID34" s="169"/>
      <c r="IE34" s="169"/>
      <c r="IF34" s="169"/>
      <c r="IG34" s="169"/>
      <c r="IH34" s="169"/>
      <c r="II34" s="169"/>
      <c r="IJ34" s="169"/>
      <c r="IK34" s="169"/>
      <c r="IL34" s="169"/>
      <c r="IM34" s="169"/>
      <c r="IN34" s="169"/>
      <c r="IO34" s="169"/>
      <c r="IP34" s="169"/>
      <c r="IQ34" s="169"/>
      <c r="IR34" s="169"/>
      <c r="IS34" s="169"/>
      <c r="IT34" s="169"/>
      <c r="IU34" s="169"/>
      <c r="IV34" s="169"/>
    </row>
    <row r="35" spans="1:256" ht="16.2" thickBot="1" x14ac:dyDescent="0.35">
      <c r="A35" s="305"/>
      <c r="B35" s="306"/>
      <c r="C35" s="307"/>
      <c r="D35" s="490"/>
      <c r="E35" s="1376" t="s">
        <v>1665</v>
      </c>
      <c r="F35" s="308"/>
      <c r="G35" s="308"/>
      <c r="H35" s="1323">
        <f>+H32-H34</f>
        <v>-64229.460000000021</v>
      </c>
      <c r="I35" s="1324">
        <f>+I32</f>
        <v>2378.2635842946856</v>
      </c>
      <c r="J35" s="1325"/>
      <c r="K35" s="1326">
        <f>+K32-K34</f>
        <v>-56264.973584294698</v>
      </c>
      <c r="L35" s="169"/>
      <c r="M35" s="169"/>
      <c r="N35" s="309"/>
      <c r="O35" s="169"/>
      <c r="P35" s="169"/>
      <c r="Q35" s="169"/>
      <c r="R35" s="169"/>
      <c r="S35" s="169"/>
      <c r="T35" s="169"/>
      <c r="U35" s="169"/>
      <c r="V35" s="169"/>
      <c r="W35" s="169"/>
      <c r="X35" s="169"/>
      <c r="Y35" s="169"/>
      <c r="Z35" s="169"/>
      <c r="AA35" s="169"/>
      <c r="AB35" s="169"/>
      <c r="AC35" s="169"/>
      <c r="AD35" s="169"/>
      <c r="AE35" s="169"/>
      <c r="AF35" s="169"/>
      <c r="AG35" s="169"/>
      <c r="AH35" s="169"/>
      <c r="AI35" s="169"/>
      <c r="AJ35" s="169"/>
      <c r="AK35" s="169"/>
      <c r="AL35" s="169"/>
      <c r="AM35" s="169"/>
      <c r="AN35" s="169"/>
      <c r="AO35" s="169"/>
      <c r="AP35" s="169"/>
      <c r="AQ35" s="169"/>
      <c r="AR35" s="169"/>
      <c r="AS35" s="169"/>
      <c r="AT35" s="169"/>
      <c r="AU35" s="169"/>
      <c r="AV35" s="169"/>
      <c r="AW35" s="169"/>
      <c r="AX35" s="169"/>
      <c r="AY35" s="169"/>
      <c r="AZ35" s="169"/>
      <c r="BA35" s="169"/>
      <c r="BB35" s="169"/>
      <c r="BC35" s="169"/>
      <c r="BD35" s="169"/>
      <c r="BE35" s="169"/>
      <c r="BF35" s="169"/>
      <c r="BG35" s="169"/>
      <c r="BH35" s="169"/>
      <c r="BI35" s="169"/>
      <c r="BJ35" s="169"/>
      <c r="BK35" s="169"/>
      <c r="BL35" s="169"/>
      <c r="BM35" s="169"/>
      <c r="BN35" s="169"/>
      <c r="BO35" s="169"/>
      <c r="BP35" s="169"/>
      <c r="BQ35" s="169"/>
      <c r="BR35" s="169"/>
      <c r="BS35" s="169"/>
      <c r="BT35" s="169"/>
      <c r="BU35" s="169"/>
      <c r="BV35" s="169"/>
      <c r="BW35" s="169"/>
      <c r="BX35" s="169"/>
      <c r="BY35" s="169"/>
      <c r="BZ35" s="169"/>
      <c r="CA35" s="169"/>
      <c r="CB35" s="169"/>
      <c r="CC35" s="169"/>
      <c r="CD35" s="169"/>
      <c r="CE35" s="169"/>
      <c r="CF35" s="169"/>
      <c r="CG35" s="169"/>
      <c r="CH35" s="169"/>
      <c r="CI35" s="169"/>
      <c r="CJ35" s="169"/>
      <c r="CK35" s="169"/>
      <c r="CL35" s="169"/>
      <c r="CM35" s="169"/>
      <c r="CN35" s="169"/>
      <c r="CO35" s="169"/>
      <c r="CP35" s="169"/>
      <c r="CQ35" s="169"/>
      <c r="CR35" s="169"/>
      <c r="CS35" s="169"/>
      <c r="CT35" s="169"/>
      <c r="CU35" s="169"/>
      <c r="CV35" s="169"/>
      <c r="CW35" s="169"/>
      <c r="CX35" s="169"/>
      <c r="CY35" s="169"/>
      <c r="CZ35" s="169"/>
      <c r="DA35" s="169"/>
      <c r="DB35" s="169"/>
      <c r="DC35" s="169"/>
      <c r="DD35" s="169"/>
      <c r="DE35" s="169"/>
      <c r="DF35" s="169"/>
      <c r="DG35" s="169"/>
      <c r="DH35" s="169"/>
      <c r="DI35" s="169"/>
      <c r="DJ35" s="169"/>
      <c r="DK35" s="169"/>
      <c r="DL35" s="169"/>
      <c r="DM35" s="169"/>
      <c r="DN35" s="169"/>
      <c r="DO35" s="169"/>
      <c r="DP35" s="169"/>
      <c r="DQ35" s="169"/>
      <c r="DR35" s="169"/>
      <c r="DS35" s="169"/>
      <c r="DT35" s="169"/>
      <c r="DU35" s="169"/>
      <c r="DV35" s="169"/>
      <c r="DW35" s="169"/>
      <c r="DX35" s="169"/>
      <c r="DY35" s="169"/>
      <c r="DZ35" s="169"/>
      <c r="EA35" s="169"/>
      <c r="EB35" s="169"/>
      <c r="EC35" s="169"/>
      <c r="ED35" s="169"/>
      <c r="EE35" s="169"/>
      <c r="EF35" s="169"/>
      <c r="EG35" s="169"/>
      <c r="EH35" s="169"/>
      <c r="EI35" s="169"/>
      <c r="EJ35" s="169"/>
      <c r="EK35" s="169"/>
      <c r="EL35" s="169"/>
      <c r="EM35" s="169"/>
      <c r="EN35" s="169"/>
      <c r="EO35" s="169"/>
      <c r="EP35" s="169"/>
      <c r="EQ35" s="169"/>
      <c r="ER35" s="169"/>
      <c r="ES35" s="169"/>
      <c r="ET35" s="169"/>
      <c r="EU35" s="169"/>
      <c r="EV35" s="169"/>
      <c r="EW35" s="169"/>
      <c r="EX35" s="169"/>
      <c r="EY35" s="169"/>
      <c r="EZ35" s="169"/>
      <c r="FA35" s="169"/>
      <c r="FB35" s="169"/>
      <c r="FC35" s="169"/>
      <c r="FD35" s="169"/>
      <c r="FE35" s="169"/>
      <c r="FF35" s="169"/>
      <c r="FG35" s="169"/>
      <c r="FH35" s="169"/>
      <c r="FI35" s="169"/>
      <c r="FJ35" s="169"/>
      <c r="FK35" s="169"/>
      <c r="FL35" s="169"/>
      <c r="FM35" s="169"/>
      <c r="FN35" s="169"/>
      <c r="FO35" s="169"/>
      <c r="FP35" s="169"/>
      <c r="FQ35" s="169"/>
      <c r="FR35" s="169"/>
      <c r="FS35" s="169"/>
      <c r="FT35" s="169"/>
      <c r="FU35" s="169"/>
      <c r="FV35" s="169"/>
      <c r="FW35" s="169"/>
      <c r="FX35" s="169"/>
      <c r="FY35" s="169"/>
      <c r="FZ35" s="169"/>
      <c r="GA35" s="169"/>
      <c r="GB35" s="169"/>
      <c r="GC35" s="169"/>
      <c r="GD35" s="169"/>
      <c r="GE35" s="169"/>
      <c r="GF35" s="169"/>
      <c r="GG35" s="169"/>
      <c r="GH35" s="169"/>
      <c r="GI35" s="169"/>
      <c r="GJ35" s="169"/>
      <c r="GK35" s="169"/>
      <c r="GL35" s="169"/>
      <c r="GM35" s="169"/>
      <c r="GN35" s="169"/>
      <c r="GO35" s="169"/>
      <c r="GP35" s="169"/>
      <c r="GQ35" s="169"/>
      <c r="GR35" s="169"/>
      <c r="GS35" s="169"/>
      <c r="GT35" s="169"/>
      <c r="GU35" s="169"/>
      <c r="GV35" s="169"/>
      <c r="GW35" s="169"/>
      <c r="GX35" s="169"/>
      <c r="GY35" s="169"/>
      <c r="GZ35" s="169"/>
      <c r="HA35" s="169"/>
      <c r="HB35" s="169"/>
      <c r="HC35" s="169"/>
      <c r="HD35" s="169"/>
      <c r="HE35" s="169"/>
      <c r="HF35" s="169"/>
      <c r="HG35" s="169"/>
      <c r="HH35" s="169"/>
      <c r="HI35" s="169"/>
      <c r="HJ35" s="169"/>
      <c r="HK35" s="169"/>
      <c r="HL35" s="169"/>
      <c r="HM35" s="169"/>
      <c r="HN35" s="169"/>
      <c r="HO35" s="169"/>
      <c r="HP35" s="169"/>
      <c r="HQ35" s="169"/>
      <c r="HR35" s="169"/>
      <c r="HS35" s="169"/>
      <c r="HT35" s="169"/>
      <c r="HU35" s="169"/>
      <c r="HV35" s="169"/>
      <c r="HW35" s="169"/>
      <c r="HX35" s="169"/>
      <c r="HY35" s="169"/>
      <c r="HZ35" s="169"/>
      <c r="IA35" s="169"/>
      <c r="IB35" s="169"/>
      <c r="IC35" s="169"/>
      <c r="ID35" s="169"/>
      <c r="IE35" s="169"/>
      <c r="IF35" s="169"/>
      <c r="IG35" s="169"/>
      <c r="IH35" s="169"/>
      <c r="II35" s="169"/>
      <c r="IJ35" s="169"/>
      <c r="IK35" s="169"/>
      <c r="IL35" s="169"/>
      <c r="IM35" s="169"/>
      <c r="IN35" s="169"/>
      <c r="IO35" s="169"/>
      <c r="IP35" s="169"/>
      <c r="IQ35" s="169"/>
      <c r="IR35" s="169"/>
      <c r="IS35" s="169"/>
      <c r="IT35" s="169"/>
      <c r="IU35" s="169"/>
      <c r="IV35" s="169"/>
    </row>
    <row r="37" spans="1:256" x14ac:dyDescent="0.25">
      <c r="C37" s="179">
        <f>+CALEND_!G23</f>
        <v>15151078.059999999</v>
      </c>
    </row>
    <row r="38" spans="1:256" x14ac:dyDescent="0.25">
      <c r="C38" s="177">
        <f>+C35-C37</f>
        <v>-15151078.059999999</v>
      </c>
      <c r="F38" s="326"/>
      <c r="G38" s="179"/>
      <c r="H38" s="340" t="e">
        <f>+#REF!+#REF!+H21</f>
        <v>#REF!</v>
      </c>
      <c r="I38" s="340" t="e">
        <f>+#REF!+#REF!+I21</f>
        <v>#REF!</v>
      </c>
    </row>
    <row r="39" spans="1:256" x14ac:dyDescent="0.25">
      <c r="C39" s="179"/>
      <c r="D39" s="178"/>
      <c r="F39" s="179"/>
      <c r="G39" s="179"/>
      <c r="H39" s="327"/>
      <c r="K39" s="178"/>
    </row>
    <row r="40" spans="1:256" x14ac:dyDescent="0.25">
      <c r="C40" s="179"/>
      <c r="D40" s="179"/>
      <c r="F40" s="179"/>
      <c r="G40" s="179"/>
      <c r="H40" s="327"/>
    </row>
    <row r="41" spans="1:256" x14ac:dyDescent="0.25">
      <c r="C41" s="179"/>
      <c r="D41" s="179"/>
      <c r="F41" s="328"/>
      <c r="G41" s="328"/>
      <c r="H41" s="343" t="e">
        <f>+#REF!+#REF!+#REF!</f>
        <v>#REF!</v>
      </c>
      <c r="K41" s="178"/>
    </row>
    <row r="42" spans="1:256" x14ac:dyDescent="0.25">
      <c r="C42" s="179"/>
      <c r="D42" s="179"/>
      <c r="K42" s="178"/>
    </row>
    <row r="43" spans="1:256" x14ac:dyDescent="0.25">
      <c r="C43" s="179"/>
      <c r="D43" s="179"/>
      <c r="K43" s="178"/>
    </row>
    <row r="44" spans="1:256" x14ac:dyDescent="0.25">
      <c r="C44" s="179"/>
    </row>
    <row r="45" spans="1:256" x14ac:dyDescent="0.25">
      <c r="C45" s="179"/>
    </row>
  </sheetData>
  <mergeCells count="8">
    <mergeCell ref="A1:D1"/>
    <mergeCell ref="A5:K5"/>
    <mergeCell ref="D8:K9"/>
    <mergeCell ref="C14:D14"/>
    <mergeCell ref="F14:G14"/>
    <mergeCell ref="I14:J14"/>
    <mergeCell ref="A2:K2"/>
    <mergeCell ref="A3:K3"/>
  </mergeCells>
  <phoneticPr fontId="29" type="noConversion"/>
  <hyperlinks>
    <hyperlink ref="A7" r:id="rId1" display=" L.P.I.N  °"/>
  </hyperlinks>
  <printOptions horizontalCentered="1"/>
  <pageMargins left="0.23622047244094491" right="0.11811023622047245" top="0.98425196850393704" bottom="0.51181102362204722" header="0.51181102362204722" footer="0.51181102362204722"/>
  <pageSetup paperSize="9" scale="60" firstPageNumber="0" orientation="portrait" horizontalDpi="4294967293" verticalDpi="4294967294" r:id="rId2"/>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99"/>
  </sheetPr>
  <dimension ref="A1:IX48"/>
  <sheetViews>
    <sheetView view="pageBreakPreview" zoomScale="75" zoomScaleNormal="75" zoomScaleSheetLayoutView="75" workbookViewId="0">
      <selection activeCell="G39" sqref="G39"/>
    </sheetView>
  </sheetViews>
  <sheetFormatPr baseColWidth="10" defaultColWidth="10.5546875" defaultRowHeight="13.2" x14ac:dyDescent="0.25"/>
  <cols>
    <col min="1" max="1" width="4.33203125" style="193" customWidth="1"/>
    <col min="2" max="2" width="11" style="193" customWidth="1"/>
    <col min="3" max="3" width="16.6640625" style="193" customWidth="1"/>
    <col min="4" max="4" width="17.44140625" style="193" customWidth="1"/>
    <col min="5" max="5" width="16.88671875" style="193" customWidth="1"/>
    <col min="6" max="6" width="16.109375" style="193" customWidth="1"/>
    <col min="7" max="7" width="11.44140625" style="193" customWidth="1"/>
    <col min="8" max="9" width="14.33203125" style="193" customWidth="1"/>
    <col min="10" max="12" width="14.44140625" style="193" customWidth="1"/>
    <col min="13" max="15" width="15.109375" style="193" customWidth="1"/>
    <col min="16" max="16" width="12.109375" style="193" customWidth="1"/>
    <col min="17" max="17" width="12.88671875" style="193" bestFit="1" customWidth="1"/>
    <col min="18" max="21" width="10.6640625" style="193" bestFit="1" customWidth="1"/>
    <col min="22" max="16384" width="10.5546875" style="193"/>
  </cols>
  <sheetData>
    <row r="1" spans="1:258" x14ac:dyDescent="0.25">
      <c r="A1" s="2021"/>
      <c r="B1" s="2021"/>
      <c r="C1" s="2021"/>
      <c r="D1" s="2021"/>
      <c r="E1" s="2021"/>
      <c r="F1" s="1344"/>
      <c r="G1" s="169"/>
      <c r="H1" s="169"/>
      <c r="I1" s="169"/>
      <c r="J1" s="169"/>
      <c r="K1" s="169"/>
      <c r="L1" s="169"/>
      <c r="M1" s="169"/>
      <c r="N1" s="169"/>
      <c r="O1" s="169"/>
      <c r="P1" s="169"/>
      <c r="Q1" s="169"/>
      <c r="R1" s="169"/>
      <c r="S1" s="169"/>
      <c r="T1" s="169"/>
      <c r="U1" s="169"/>
      <c r="V1" s="169"/>
      <c r="W1" s="169"/>
      <c r="X1" s="169"/>
      <c r="Y1" s="169"/>
      <c r="Z1" s="169"/>
      <c r="AA1" s="169"/>
      <c r="AB1" s="169"/>
      <c r="AC1" s="169"/>
      <c r="AD1" s="169"/>
      <c r="AE1" s="169"/>
      <c r="AF1" s="169"/>
      <c r="AG1" s="169"/>
      <c r="AH1" s="169"/>
      <c r="AI1" s="169"/>
      <c r="AJ1" s="169"/>
      <c r="AK1" s="169"/>
      <c r="AL1" s="169"/>
      <c r="AM1" s="169"/>
      <c r="AN1" s="169"/>
      <c r="AO1" s="169"/>
      <c r="AP1" s="169"/>
      <c r="AQ1" s="169"/>
      <c r="AR1" s="169"/>
      <c r="AS1" s="169"/>
      <c r="AT1" s="169"/>
      <c r="AU1" s="169"/>
      <c r="AV1" s="169"/>
      <c r="AW1" s="169"/>
      <c r="AX1" s="169"/>
      <c r="AY1" s="169"/>
      <c r="AZ1" s="169"/>
      <c r="BA1" s="169"/>
      <c r="BB1" s="169"/>
      <c r="BC1" s="169"/>
      <c r="BD1" s="169"/>
      <c r="BE1" s="169"/>
      <c r="BF1" s="169"/>
      <c r="BG1" s="169"/>
      <c r="BH1" s="169"/>
      <c r="BI1" s="169"/>
      <c r="BJ1" s="169"/>
      <c r="BK1" s="169"/>
      <c r="BL1" s="169"/>
      <c r="BM1" s="169"/>
      <c r="BN1" s="169"/>
      <c r="BO1" s="169"/>
      <c r="BP1" s="169"/>
      <c r="BQ1" s="169"/>
      <c r="BR1" s="169"/>
      <c r="BS1" s="169"/>
      <c r="BT1" s="169"/>
      <c r="BU1" s="169"/>
      <c r="BV1" s="169"/>
      <c r="BW1" s="169"/>
      <c r="BX1" s="169"/>
      <c r="BY1" s="169"/>
      <c r="BZ1" s="169"/>
      <c r="CA1" s="169"/>
      <c r="CB1" s="169"/>
      <c r="CC1" s="169"/>
      <c r="CD1" s="169"/>
      <c r="CE1" s="169"/>
      <c r="CF1" s="169"/>
      <c r="CG1" s="169"/>
      <c r="CH1" s="169"/>
      <c r="CI1" s="169"/>
      <c r="CJ1" s="169"/>
      <c r="CK1" s="169"/>
      <c r="CL1" s="169"/>
      <c r="CM1" s="169"/>
      <c r="CN1" s="169"/>
      <c r="CO1" s="169"/>
      <c r="CP1" s="169"/>
      <c r="CQ1" s="169"/>
      <c r="CR1" s="169"/>
      <c r="CS1" s="169"/>
      <c r="CT1" s="169"/>
      <c r="CU1" s="169"/>
      <c r="CV1" s="169"/>
      <c r="CW1" s="169"/>
      <c r="CX1" s="169"/>
      <c r="CY1" s="169"/>
      <c r="CZ1" s="169"/>
      <c r="DA1" s="169"/>
      <c r="DB1" s="169"/>
      <c r="DC1" s="169"/>
      <c r="DD1" s="169"/>
      <c r="DE1" s="169"/>
      <c r="DF1" s="169"/>
      <c r="DG1" s="169"/>
      <c r="DH1" s="169"/>
      <c r="DI1" s="169"/>
      <c r="DJ1" s="169"/>
      <c r="DK1" s="169"/>
      <c r="DL1" s="169"/>
      <c r="DM1" s="169"/>
      <c r="DN1" s="169"/>
      <c r="DO1" s="169"/>
      <c r="DP1" s="169"/>
      <c r="DQ1" s="169"/>
      <c r="DR1" s="169"/>
      <c r="DS1" s="169"/>
      <c r="DT1" s="169"/>
      <c r="DU1" s="169"/>
      <c r="DV1" s="169"/>
      <c r="DW1" s="169"/>
      <c r="DX1" s="169"/>
      <c r="DY1" s="169"/>
      <c r="DZ1" s="169"/>
      <c r="EA1" s="169"/>
      <c r="EB1" s="169"/>
      <c r="EC1" s="169"/>
      <c r="ED1" s="169"/>
      <c r="EE1" s="169"/>
      <c r="EF1" s="169"/>
      <c r="EG1" s="169"/>
      <c r="EH1" s="169"/>
      <c r="EI1" s="169"/>
      <c r="EJ1" s="169"/>
      <c r="EK1" s="169"/>
      <c r="EL1" s="169"/>
      <c r="EM1" s="169"/>
      <c r="EN1" s="169"/>
      <c r="EO1" s="169"/>
      <c r="EP1" s="169"/>
      <c r="EQ1" s="169"/>
      <c r="ER1" s="169"/>
      <c r="ES1" s="169"/>
      <c r="ET1" s="169"/>
      <c r="EU1" s="169"/>
      <c r="EV1" s="169"/>
      <c r="EW1" s="169"/>
      <c r="EX1" s="169"/>
      <c r="EY1" s="169"/>
      <c r="EZ1" s="169"/>
      <c r="FA1" s="169"/>
      <c r="FB1" s="169"/>
      <c r="FC1" s="169"/>
      <c r="FD1" s="169"/>
      <c r="FE1" s="169"/>
      <c r="FF1" s="169"/>
      <c r="FG1" s="169"/>
      <c r="FH1" s="169"/>
      <c r="FI1" s="169"/>
      <c r="FJ1" s="169"/>
      <c r="FK1" s="169"/>
      <c r="FL1" s="169"/>
      <c r="FM1" s="169"/>
      <c r="FN1" s="169"/>
      <c r="FO1" s="169"/>
      <c r="FP1" s="169"/>
      <c r="FQ1" s="169"/>
      <c r="FR1" s="169"/>
      <c r="FS1" s="169"/>
      <c r="FT1" s="169"/>
      <c r="FU1" s="169"/>
      <c r="FV1" s="169"/>
      <c r="FW1" s="169"/>
      <c r="FX1" s="169"/>
      <c r="FY1" s="169"/>
      <c r="FZ1" s="169"/>
      <c r="GA1" s="169"/>
      <c r="GB1" s="169"/>
      <c r="GC1" s="169"/>
      <c r="GD1" s="169"/>
      <c r="GE1" s="169"/>
      <c r="GF1" s="169"/>
      <c r="GG1" s="169"/>
      <c r="GH1" s="169"/>
      <c r="GI1" s="169"/>
      <c r="GJ1" s="169"/>
      <c r="GK1" s="169"/>
      <c r="GL1" s="169"/>
      <c r="GM1" s="169"/>
      <c r="GN1" s="169"/>
      <c r="GO1" s="169"/>
      <c r="GP1" s="169"/>
      <c r="GQ1" s="169"/>
      <c r="GR1" s="169"/>
      <c r="GS1" s="169"/>
      <c r="GT1" s="169"/>
      <c r="GU1" s="169"/>
      <c r="GV1" s="169"/>
      <c r="GW1" s="169"/>
      <c r="GX1" s="169"/>
      <c r="GY1" s="169"/>
      <c r="GZ1" s="169"/>
      <c r="HA1" s="169"/>
      <c r="HB1" s="169"/>
      <c r="HC1" s="169"/>
      <c r="HD1" s="169"/>
      <c r="HE1" s="169"/>
      <c r="HF1" s="169"/>
      <c r="HG1" s="169"/>
      <c r="HH1" s="169"/>
      <c r="HI1" s="169"/>
      <c r="HJ1" s="169"/>
      <c r="HK1" s="169"/>
      <c r="HL1" s="169"/>
      <c r="HM1" s="169"/>
      <c r="HN1" s="169"/>
      <c r="HO1" s="169"/>
      <c r="HP1" s="169"/>
      <c r="HQ1" s="169"/>
      <c r="HR1" s="169"/>
      <c r="HS1" s="169"/>
      <c r="HT1" s="169"/>
      <c r="HU1" s="169"/>
      <c r="HV1" s="169"/>
      <c r="HW1" s="169"/>
      <c r="HX1" s="169"/>
      <c r="HY1" s="169"/>
      <c r="HZ1" s="169"/>
      <c r="IA1" s="169"/>
      <c r="IB1" s="169"/>
      <c r="IC1" s="169"/>
      <c r="ID1" s="169"/>
      <c r="IE1" s="169"/>
      <c r="IF1" s="169"/>
      <c r="IG1" s="169"/>
      <c r="IH1" s="169"/>
      <c r="II1" s="169"/>
      <c r="IJ1" s="169"/>
      <c r="IK1" s="169"/>
      <c r="IL1" s="169"/>
      <c r="IM1" s="169"/>
      <c r="IN1" s="169"/>
      <c r="IO1" s="169"/>
      <c r="IP1" s="169"/>
      <c r="IQ1" s="169"/>
      <c r="IR1" s="169"/>
      <c r="IS1" s="169"/>
      <c r="IT1" s="169"/>
      <c r="IU1" s="169"/>
      <c r="IV1" s="169"/>
      <c r="IW1" s="169"/>
      <c r="IX1" s="169"/>
    </row>
    <row r="2" spans="1:258" ht="15.75" customHeight="1" x14ac:dyDescent="0.3">
      <c r="A2" s="2279" t="s">
        <v>1490</v>
      </c>
      <c r="B2" s="2279"/>
      <c r="C2" s="2279"/>
      <c r="D2" s="2279"/>
      <c r="E2" s="2279"/>
      <c r="F2" s="2279"/>
      <c r="G2" s="2279"/>
      <c r="H2" s="2279"/>
      <c r="I2" s="2279"/>
      <c r="J2" s="2279"/>
      <c r="K2" s="2279"/>
      <c r="L2" s="2279"/>
      <c r="M2" s="2279"/>
      <c r="N2" s="2279"/>
      <c r="O2" s="169"/>
      <c r="P2" s="169"/>
      <c r="Q2" s="169"/>
      <c r="R2" s="169"/>
      <c r="S2" s="169"/>
      <c r="T2" s="169"/>
      <c r="U2" s="169"/>
      <c r="V2" s="169"/>
      <c r="W2" s="169"/>
      <c r="X2" s="169"/>
      <c r="Y2" s="169"/>
      <c r="Z2" s="169"/>
      <c r="AA2" s="169"/>
      <c r="AB2" s="169"/>
      <c r="AC2" s="169"/>
      <c r="AD2" s="169"/>
      <c r="AE2" s="169"/>
      <c r="AF2" s="169"/>
      <c r="AG2" s="169"/>
      <c r="AH2" s="169"/>
      <c r="AI2" s="169"/>
      <c r="AJ2" s="169"/>
      <c r="AK2" s="169"/>
      <c r="AL2" s="169"/>
      <c r="AM2" s="169"/>
      <c r="AN2" s="169"/>
      <c r="AO2" s="169"/>
      <c r="AP2" s="169"/>
      <c r="AQ2" s="169"/>
      <c r="AR2" s="169"/>
      <c r="AS2" s="169"/>
      <c r="AT2" s="169"/>
      <c r="AU2" s="169"/>
      <c r="AV2" s="169"/>
      <c r="AW2" s="169"/>
      <c r="AX2" s="169"/>
      <c r="AY2" s="169"/>
      <c r="AZ2" s="169"/>
      <c r="BA2" s="169"/>
      <c r="BB2" s="169"/>
      <c r="BC2" s="169"/>
      <c r="BD2" s="169"/>
      <c r="BE2" s="169"/>
      <c r="BF2" s="169"/>
      <c r="BG2" s="169"/>
      <c r="BH2" s="169"/>
      <c r="BI2" s="169"/>
      <c r="BJ2" s="169"/>
      <c r="BK2" s="169"/>
      <c r="BL2" s="169"/>
      <c r="BM2" s="169"/>
      <c r="BN2" s="169"/>
      <c r="BO2" s="169"/>
      <c r="BP2" s="169"/>
      <c r="BQ2" s="169"/>
      <c r="BR2" s="169"/>
      <c r="BS2" s="169"/>
      <c r="BT2" s="169"/>
      <c r="BU2" s="169"/>
      <c r="BV2" s="169"/>
      <c r="BW2" s="169"/>
      <c r="BX2" s="169"/>
      <c r="BY2" s="169"/>
      <c r="BZ2" s="169"/>
      <c r="CA2" s="169"/>
      <c r="CB2" s="169"/>
      <c r="CC2" s="169"/>
      <c r="CD2" s="169"/>
      <c r="CE2" s="169"/>
      <c r="CF2" s="169"/>
      <c r="CG2" s="169"/>
      <c r="CH2" s="169"/>
      <c r="CI2" s="169"/>
      <c r="CJ2" s="169"/>
      <c r="CK2" s="169"/>
      <c r="CL2" s="169"/>
      <c r="CM2" s="169"/>
      <c r="CN2" s="169"/>
      <c r="CO2" s="169"/>
      <c r="CP2" s="169"/>
      <c r="CQ2" s="169"/>
      <c r="CR2" s="169"/>
      <c r="CS2" s="169"/>
      <c r="CT2" s="169"/>
      <c r="CU2" s="169"/>
      <c r="CV2" s="169"/>
      <c r="CW2" s="169"/>
      <c r="CX2" s="169"/>
      <c r="CY2" s="169"/>
      <c r="CZ2" s="169"/>
      <c r="DA2" s="169"/>
      <c r="DB2" s="169"/>
      <c r="DC2" s="169"/>
      <c r="DD2" s="169"/>
      <c r="DE2" s="169"/>
      <c r="DF2" s="169"/>
      <c r="DG2" s="169"/>
      <c r="DH2" s="169"/>
      <c r="DI2" s="169"/>
      <c r="DJ2" s="169"/>
      <c r="DK2" s="169"/>
      <c r="DL2" s="169"/>
      <c r="DM2" s="169"/>
      <c r="DN2" s="169"/>
      <c r="DO2" s="169"/>
      <c r="DP2" s="169"/>
      <c r="DQ2" s="169"/>
      <c r="DR2" s="169"/>
      <c r="DS2" s="169"/>
      <c r="DT2" s="169"/>
      <c r="DU2" s="169"/>
      <c r="DV2" s="169"/>
      <c r="DW2" s="169"/>
      <c r="DX2" s="169"/>
      <c r="DY2" s="169"/>
      <c r="DZ2" s="169"/>
      <c r="EA2" s="169"/>
      <c r="EB2" s="169"/>
      <c r="EC2" s="169"/>
      <c r="ED2" s="169"/>
      <c r="EE2" s="169"/>
      <c r="EF2" s="169"/>
      <c r="EG2" s="169"/>
      <c r="EH2" s="169"/>
      <c r="EI2" s="169"/>
      <c r="EJ2" s="169"/>
      <c r="EK2" s="169"/>
      <c r="EL2" s="169"/>
      <c r="EM2" s="169"/>
      <c r="EN2" s="169"/>
      <c r="EO2" s="169"/>
      <c r="EP2" s="169"/>
      <c r="EQ2" s="169"/>
      <c r="ER2" s="169"/>
      <c r="ES2" s="169"/>
      <c r="ET2" s="169"/>
      <c r="EU2" s="169"/>
      <c r="EV2" s="169"/>
      <c r="EW2" s="169"/>
      <c r="EX2" s="169"/>
      <c r="EY2" s="169"/>
      <c r="EZ2" s="169"/>
      <c r="FA2" s="169"/>
      <c r="FB2" s="169"/>
      <c r="FC2" s="169"/>
      <c r="FD2" s="169"/>
      <c r="FE2" s="169"/>
      <c r="FF2" s="169"/>
      <c r="FG2" s="169"/>
      <c r="FH2" s="169"/>
      <c r="FI2" s="169"/>
      <c r="FJ2" s="169"/>
      <c r="FK2" s="169"/>
      <c r="FL2" s="169"/>
      <c r="FM2" s="169"/>
      <c r="FN2" s="169"/>
      <c r="FO2" s="169"/>
      <c r="FP2" s="169"/>
      <c r="FQ2" s="169"/>
      <c r="FR2" s="169"/>
      <c r="FS2" s="169"/>
      <c r="FT2" s="169"/>
      <c r="FU2" s="169"/>
      <c r="FV2" s="169"/>
      <c r="FW2" s="169"/>
      <c r="FX2" s="169"/>
      <c r="FY2" s="169"/>
      <c r="FZ2" s="169"/>
      <c r="GA2" s="169"/>
      <c r="GB2" s="169"/>
      <c r="GC2" s="169"/>
      <c r="GD2" s="169"/>
      <c r="GE2" s="169"/>
      <c r="GF2" s="169"/>
      <c r="GG2" s="169"/>
      <c r="GH2" s="169"/>
      <c r="GI2" s="169"/>
      <c r="GJ2" s="169"/>
      <c r="GK2" s="169"/>
      <c r="GL2" s="169"/>
      <c r="GM2" s="169"/>
      <c r="GN2" s="169"/>
      <c r="GO2" s="169"/>
      <c r="GP2" s="169"/>
      <c r="GQ2" s="169"/>
      <c r="GR2" s="169"/>
      <c r="GS2" s="169"/>
      <c r="GT2" s="169"/>
      <c r="GU2" s="169"/>
      <c r="GV2" s="169"/>
      <c r="GW2" s="169"/>
      <c r="GX2" s="169"/>
      <c r="GY2" s="169"/>
      <c r="GZ2" s="169"/>
      <c r="HA2" s="169"/>
      <c r="HB2" s="169"/>
      <c r="HC2" s="169"/>
      <c r="HD2" s="169"/>
      <c r="HE2" s="169"/>
      <c r="HF2" s="169"/>
      <c r="HG2" s="169"/>
      <c r="HH2" s="169"/>
      <c r="HI2" s="169"/>
      <c r="HJ2" s="169"/>
      <c r="HK2" s="169"/>
      <c r="HL2" s="169"/>
      <c r="HM2" s="169"/>
      <c r="HN2" s="169"/>
      <c r="HO2" s="169"/>
      <c r="HP2" s="169"/>
      <c r="HQ2" s="169"/>
      <c r="HR2" s="169"/>
      <c r="HS2" s="169"/>
      <c r="HT2" s="169"/>
      <c r="HU2" s="169"/>
      <c r="HV2" s="169"/>
      <c r="HW2" s="169"/>
      <c r="HX2" s="169"/>
      <c r="HY2" s="169"/>
      <c r="HZ2" s="169"/>
      <c r="IA2" s="169"/>
      <c r="IB2" s="169"/>
      <c r="IC2" s="169"/>
      <c r="ID2" s="169"/>
      <c r="IE2" s="169"/>
      <c r="IF2" s="169"/>
      <c r="IG2" s="169"/>
      <c r="IH2" s="169"/>
      <c r="II2" s="169"/>
      <c r="IJ2" s="169"/>
      <c r="IK2" s="169"/>
      <c r="IL2" s="169"/>
      <c r="IM2" s="169"/>
      <c r="IN2" s="169"/>
      <c r="IO2" s="169"/>
      <c r="IP2" s="169"/>
      <c r="IQ2" s="169"/>
      <c r="IR2" s="169"/>
      <c r="IS2" s="169"/>
      <c r="IT2" s="169"/>
      <c r="IU2" s="169"/>
      <c r="IV2" s="169"/>
      <c r="IW2" s="169"/>
      <c r="IX2" s="169"/>
    </row>
    <row r="3" spans="1:258" x14ac:dyDescent="0.25">
      <c r="A3" s="2280" t="s">
        <v>65</v>
      </c>
      <c r="B3" s="2280"/>
      <c r="C3" s="2280"/>
      <c r="D3" s="2280"/>
      <c r="E3" s="2280"/>
      <c r="F3" s="2280"/>
      <c r="G3" s="2280"/>
      <c r="H3" s="2280"/>
      <c r="I3" s="2280"/>
      <c r="J3" s="2280"/>
      <c r="K3" s="2280"/>
      <c r="L3" s="2280"/>
      <c r="M3" s="2280"/>
      <c r="N3" s="2280"/>
      <c r="O3" s="169"/>
      <c r="P3" s="169"/>
      <c r="Q3" s="169"/>
      <c r="R3" s="169"/>
      <c r="S3" s="169"/>
      <c r="T3" s="169"/>
      <c r="U3" s="169"/>
      <c r="V3" s="169"/>
      <c r="W3" s="169"/>
      <c r="X3" s="169"/>
      <c r="Y3" s="169"/>
      <c r="Z3" s="169"/>
      <c r="AA3" s="169"/>
      <c r="AB3" s="169"/>
      <c r="AC3" s="169"/>
      <c r="AD3" s="169"/>
      <c r="AE3" s="169"/>
      <c r="AF3" s="169"/>
      <c r="AG3" s="169"/>
      <c r="AH3" s="169"/>
      <c r="AI3" s="169"/>
      <c r="AJ3" s="169"/>
      <c r="AK3" s="169"/>
      <c r="AL3" s="169"/>
      <c r="AM3" s="169"/>
      <c r="AN3" s="169"/>
      <c r="AO3" s="169"/>
      <c r="AP3" s="169"/>
      <c r="AQ3" s="169"/>
      <c r="AR3" s="169"/>
      <c r="AS3" s="169"/>
      <c r="AT3" s="169"/>
      <c r="AU3" s="169"/>
      <c r="AV3" s="169"/>
      <c r="AW3" s="169"/>
      <c r="AX3" s="169"/>
      <c r="AY3" s="169"/>
      <c r="AZ3" s="169"/>
      <c r="BA3" s="169"/>
      <c r="BB3" s="169"/>
      <c r="BC3" s="169"/>
      <c r="BD3" s="169"/>
      <c r="BE3" s="169"/>
      <c r="BF3" s="169"/>
      <c r="BG3" s="169"/>
      <c r="BH3" s="169"/>
      <c r="BI3" s="169"/>
      <c r="BJ3" s="169"/>
      <c r="BK3" s="169"/>
      <c r="BL3" s="169"/>
      <c r="BM3" s="169"/>
      <c r="BN3" s="169"/>
      <c r="BO3" s="169"/>
      <c r="BP3" s="169"/>
      <c r="BQ3" s="169"/>
      <c r="BR3" s="169"/>
      <c r="BS3" s="169"/>
      <c r="BT3" s="169"/>
      <c r="BU3" s="169"/>
      <c r="BV3" s="169"/>
      <c r="BW3" s="169"/>
      <c r="BX3" s="169"/>
      <c r="BY3" s="169"/>
      <c r="BZ3" s="169"/>
      <c r="CA3" s="169"/>
      <c r="CB3" s="169"/>
      <c r="CC3" s="169"/>
      <c r="CD3" s="169"/>
      <c r="CE3" s="169"/>
      <c r="CF3" s="169"/>
      <c r="CG3" s="169"/>
      <c r="CH3" s="169"/>
      <c r="CI3" s="169"/>
      <c r="CJ3" s="169"/>
      <c r="CK3" s="169"/>
      <c r="CL3" s="169"/>
      <c r="CM3" s="169"/>
      <c r="CN3" s="169"/>
      <c r="CO3" s="169"/>
      <c r="CP3" s="169"/>
      <c r="CQ3" s="169"/>
      <c r="CR3" s="169"/>
      <c r="CS3" s="169"/>
      <c r="CT3" s="169"/>
      <c r="CU3" s="169"/>
      <c r="CV3" s="169"/>
      <c r="CW3" s="169"/>
      <c r="CX3" s="169"/>
      <c r="CY3" s="169"/>
      <c r="CZ3" s="169"/>
      <c r="DA3" s="169"/>
      <c r="DB3" s="169"/>
      <c r="DC3" s="169"/>
      <c r="DD3" s="169"/>
      <c r="DE3" s="169"/>
      <c r="DF3" s="169"/>
      <c r="DG3" s="169"/>
      <c r="DH3" s="169"/>
      <c r="DI3" s="169"/>
      <c r="DJ3" s="169"/>
      <c r="DK3" s="169"/>
      <c r="DL3" s="169"/>
      <c r="DM3" s="169"/>
      <c r="DN3" s="169"/>
      <c r="DO3" s="169"/>
      <c r="DP3" s="169"/>
      <c r="DQ3" s="169"/>
      <c r="DR3" s="169"/>
      <c r="DS3" s="169"/>
      <c r="DT3" s="169"/>
      <c r="DU3" s="169"/>
      <c r="DV3" s="169"/>
      <c r="DW3" s="169"/>
      <c r="DX3" s="169"/>
      <c r="DY3" s="169"/>
      <c r="DZ3" s="169"/>
      <c r="EA3" s="169"/>
      <c r="EB3" s="169"/>
      <c r="EC3" s="169"/>
      <c r="ED3" s="169"/>
      <c r="EE3" s="169"/>
      <c r="EF3" s="169"/>
      <c r="EG3" s="169"/>
      <c r="EH3" s="169"/>
      <c r="EI3" s="169"/>
      <c r="EJ3" s="169"/>
      <c r="EK3" s="169"/>
      <c r="EL3" s="169"/>
      <c r="EM3" s="169"/>
      <c r="EN3" s="169"/>
      <c r="EO3" s="169"/>
      <c r="EP3" s="169"/>
      <c r="EQ3" s="169"/>
      <c r="ER3" s="169"/>
      <c r="ES3" s="169"/>
      <c r="ET3" s="169"/>
      <c r="EU3" s="169"/>
      <c r="EV3" s="169"/>
      <c r="EW3" s="169"/>
      <c r="EX3" s="169"/>
      <c r="EY3" s="169"/>
      <c r="EZ3" s="169"/>
      <c r="FA3" s="169"/>
      <c r="FB3" s="169"/>
      <c r="FC3" s="169"/>
      <c r="FD3" s="169"/>
      <c r="FE3" s="169"/>
      <c r="FF3" s="169"/>
      <c r="FG3" s="169"/>
      <c r="FH3" s="169"/>
      <c r="FI3" s="169"/>
      <c r="FJ3" s="169"/>
      <c r="FK3" s="169"/>
      <c r="FL3" s="169"/>
      <c r="FM3" s="169"/>
      <c r="FN3" s="169"/>
      <c r="FO3" s="169"/>
      <c r="FP3" s="169"/>
      <c r="FQ3" s="169"/>
      <c r="FR3" s="169"/>
      <c r="FS3" s="169"/>
      <c r="FT3" s="169"/>
      <c r="FU3" s="169"/>
      <c r="FV3" s="169"/>
      <c r="FW3" s="169"/>
      <c r="FX3" s="169"/>
      <c r="FY3" s="169"/>
      <c r="FZ3" s="169"/>
      <c r="GA3" s="169"/>
      <c r="GB3" s="169"/>
      <c r="GC3" s="169"/>
      <c r="GD3" s="169"/>
      <c r="GE3" s="169"/>
      <c r="GF3" s="169"/>
      <c r="GG3" s="169"/>
      <c r="GH3" s="169"/>
      <c r="GI3" s="169"/>
      <c r="GJ3" s="169"/>
      <c r="GK3" s="169"/>
      <c r="GL3" s="169"/>
      <c r="GM3" s="169"/>
      <c r="GN3" s="169"/>
      <c r="GO3" s="169"/>
      <c r="GP3" s="169"/>
      <c r="GQ3" s="169"/>
      <c r="GR3" s="169"/>
      <c r="GS3" s="169"/>
      <c r="GT3" s="169"/>
      <c r="GU3" s="169"/>
      <c r="GV3" s="169"/>
      <c r="GW3" s="169"/>
      <c r="GX3" s="169"/>
      <c r="GY3" s="169"/>
      <c r="GZ3" s="169"/>
      <c r="HA3" s="169"/>
      <c r="HB3" s="169"/>
      <c r="HC3" s="169"/>
      <c r="HD3" s="169"/>
      <c r="HE3" s="169"/>
      <c r="HF3" s="169"/>
      <c r="HG3" s="169"/>
      <c r="HH3" s="169"/>
      <c r="HI3" s="169"/>
      <c r="HJ3" s="169"/>
      <c r="HK3" s="169"/>
      <c r="HL3" s="169"/>
      <c r="HM3" s="169"/>
      <c r="HN3" s="169"/>
      <c r="HO3" s="169"/>
      <c r="HP3" s="169"/>
      <c r="HQ3" s="169"/>
      <c r="HR3" s="169"/>
      <c r="HS3" s="169"/>
      <c r="HT3" s="169"/>
      <c r="HU3" s="169"/>
      <c r="HV3" s="169"/>
      <c r="HW3" s="169"/>
      <c r="HX3" s="169"/>
      <c r="HY3" s="169"/>
      <c r="HZ3" s="169"/>
      <c r="IA3" s="169"/>
      <c r="IB3" s="169"/>
      <c r="IC3" s="169"/>
      <c r="ID3" s="169"/>
      <c r="IE3" s="169"/>
      <c r="IF3" s="169"/>
      <c r="IG3" s="169"/>
      <c r="IH3" s="169"/>
      <c r="II3" s="169"/>
      <c r="IJ3" s="169"/>
      <c r="IK3" s="169"/>
      <c r="IL3" s="169"/>
      <c r="IM3" s="169"/>
      <c r="IN3" s="169"/>
      <c r="IO3" s="169"/>
      <c r="IP3" s="169"/>
      <c r="IQ3" s="169"/>
      <c r="IR3" s="169"/>
      <c r="IS3" s="169"/>
      <c r="IT3" s="169"/>
      <c r="IU3" s="169"/>
      <c r="IV3" s="169"/>
      <c r="IW3" s="169"/>
      <c r="IX3" s="169"/>
    </row>
    <row r="4" spans="1:258" x14ac:dyDescent="0.25">
      <c r="A4" s="295"/>
      <c r="B4" s="295"/>
      <c r="C4" s="295"/>
      <c r="D4" s="295"/>
      <c r="E4" s="295"/>
      <c r="F4" s="295"/>
      <c r="G4" s="295"/>
      <c r="H4" s="295"/>
      <c r="I4" s="295"/>
      <c r="J4" s="295"/>
      <c r="K4" s="295"/>
      <c r="L4" s="295"/>
      <c r="M4" s="295"/>
      <c r="N4" s="295"/>
      <c r="O4" s="169"/>
      <c r="P4" s="169"/>
      <c r="Q4" s="169"/>
      <c r="R4" s="169"/>
      <c r="S4" s="169"/>
      <c r="T4" s="169"/>
      <c r="U4" s="169"/>
      <c r="V4" s="169"/>
      <c r="W4" s="169"/>
      <c r="X4" s="169"/>
      <c r="Y4" s="169"/>
      <c r="Z4" s="169"/>
      <c r="AA4" s="169"/>
      <c r="AB4" s="169"/>
      <c r="AC4" s="169"/>
      <c r="AD4" s="169"/>
      <c r="AE4" s="169"/>
      <c r="AF4" s="169"/>
      <c r="AG4" s="169"/>
      <c r="AH4" s="169"/>
      <c r="AI4" s="169"/>
      <c r="AJ4" s="169"/>
      <c r="AK4" s="169"/>
      <c r="AL4" s="169"/>
      <c r="AM4" s="169"/>
      <c r="AN4" s="169"/>
      <c r="AO4" s="169"/>
      <c r="AP4" s="169"/>
      <c r="AQ4" s="169"/>
      <c r="AR4" s="169"/>
      <c r="AS4" s="169"/>
      <c r="AT4" s="169"/>
      <c r="AU4" s="169"/>
      <c r="AV4" s="169"/>
      <c r="AW4" s="169"/>
      <c r="AX4" s="169"/>
      <c r="AY4" s="169"/>
      <c r="AZ4" s="169"/>
      <c r="BA4" s="169"/>
      <c r="BB4" s="169"/>
      <c r="BC4" s="169"/>
      <c r="BD4" s="169"/>
      <c r="BE4" s="169"/>
      <c r="BF4" s="169"/>
      <c r="BG4" s="169"/>
      <c r="BH4" s="169"/>
      <c r="BI4" s="169"/>
      <c r="BJ4" s="169"/>
      <c r="BK4" s="169"/>
      <c r="BL4" s="169"/>
      <c r="BM4" s="169"/>
      <c r="BN4" s="169"/>
      <c r="BO4" s="169"/>
      <c r="BP4" s="169"/>
      <c r="BQ4" s="169"/>
      <c r="BR4" s="169"/>
      <c r="BS4" s="169"/>
      <c r="BT4" s="169"/>
      <c r="BU4" s="169"/>
      <c r="BV4" s="169"/>
      <c r="BW4" s="169"/>
      <c r="BX4" s="169"/>
      <c r="BY4" s="169"/>
      <c r="BZ4" s="169"/>
      <c r="CA4" s="169"/>
      <c r="CB4" s="169"/>
      <c r="CC4" s="169"/>
      <c r="CD4" s="169"/>
      <c r="CE4" s="169"/>
      <c r="CF4" s="169"/>
      <c r="CG4" s="169"/>
      <c r="CH4" s="169"/>
      <c r="CI4" s="169"/>
      <c r="CJ4" s="169"/>
      <c r="CK4" s="169"/>
      <c r="CL4" s="169"/>
      <c r="CM4" s="169"/>
      <c r="CN4" s="169"/>
      <c r="CO4" s="169"/>
      <c r="CP4" s="169"/>
      <c r="CQ4" s="169"/>
      <c r="CR4" s="169"/>
      <c r="CS4" s="169"/>
      <c r="CT4" s="169"/>
      <c r="CU4" s="169"/>
      <c r="CV4" s="169"/>
      <c r="CW4" s="169"/>
      <c r="CX4" s="169"/>
      <c r="CY4" s="169"/>
      <c r="CZ4" s="169"/>
      <c r="DA4" s="169"/>
      <c r="DB4" s="169"/>
      <c r="DC4" s="169"/>
      <c r="DD4" s="169"/>
      <c r="DE4" s="169"/>
      <c r="DF4" s="169"/>
      <c r="DG4" s="169"/>
      <c r="DH4" s="169"/>
      <c r="DI4" s="169"/>
      <c r="DJ4" s="169"/>
      <c r="DK4" s="169"/>
      <c r="DL4" s="169"/>
      <c r="DM4" s="169"/>
      <c r="DN4" s="169"/>
      <c r="DO4" s="169"/>
      <c r="DP4" s="169"/>
      <c r="DQ4" s="169"/>
      <c r="DR4" s="169"/>
      <c r="DS4" s="169"/>
      <c r="DT4" s="169"/>
      <c r="DU4" s="169"/>
      <c r="DV4" s="169"/>
      <c r="DW4" s="169"/>
      <c r="DX4" s="169"/>
      <c r="DY4" s="169"/>
      <c r="DZ4" s="169"/>
      <c r="EA4" s="169"/>
      <c r="EB4" s="169"/>
      <c r="EC4" s="169"/>
      <c r="ED4" s="169"/>
      <c r="EE4" s="169"/>
      <c r="EF4" s="169"/>
      <c r="EG4" s="169"/>
      <c r="EH4" s="169"/>
      <c r="EI4" s="169"/>
      <c r="EJ4" s="169"/>
      <c r="EK4" s="169"/>
      <c r="EL4" s="169"/>
      <c r="EM4" s="169"/>
      <c r="EN4" s="169"/>
      <c r="EO4" s="169"/>
      <c r="EP4" s="169"/>
      <c r="EQ4" s="169"/>
      <c r="ER4" s="169"/>
      <c r="ES4" s="169"/>
      <c r="ET4" s="169"/>
      <c r="EU4" s="169"/>
      <c r="EV4" s="169"/>
      <c r="EW4" s="169"/>
      <c r="EX4" s="169"/>
      <c r="EY4" s="169"/>
      <c r="EZ4" s="169"/>
      <c r="FA4" s="169"/>
      <c r="FB4" s="169"/>
      <c r="FC4" s="169"/>
      <c r="FD4" s="169"/>
      <c r="FE4" s="169"/>
      <c r="FF4" s="169"/>
      <c r="FG4" s="169"/>
      <c r="FH4" s="169"/>
      <c r="FI4" s="169"/>
      <c r="FJ4" s="169"/>
      <c r="FK4" s="169"/>
      <c r="FL4" s="169"/>
      <c r="FM4" s="169"/>
      <c r="FN4" s="169"/>
      <c r="FO4" s="169"/>
      <c r="FP4" s="169"/>
      <c r="FQ4" s="169"/>
      <c r="FR4" s="169"/>
      <c r="FS4" s="169"/>
      <c r="FT4" s="169"/>
      <c r="FU4" s="169"/>
      <c r="FV4" s="169"/>
      <c r="FW4" s="169"/>
      <c r="FX4" s="169"/>
      <c r="FY4" s="169"/>
      <c r="FZ4" s="169"/>
      <c r="GA4" s="169"/>
      <c r="GB4" s="169"/>
      <c r="GC4" s="169"/>
      <c r="GD4" s="169"/>
      <c r="GE4" s="169"/>
      <c r="GF4" s="169"/>
      <c r="GG4" s="169"/>
      <c r="GH4" s="169"/>
      <c r="GI4" s="169"/>
      <c r="GJ4" s="169"/>
      <c r="GK4" s="169"/>
      <c r="GL4" s="169"/>
      <c r="GM4" s="169"/>
      <c r="GN4" s="169"/>
      <c r="GO4" s="169"/>
      <c r="GP4" s="169"/>
      <c r="GQ4" s="169"/>
      <c r="GR4" s="169"/>
      <c r="GS4" s="169"/>
      <c r="GT4" s="169"/>
      <c r="GU4" s="169"/>
      <c r="GV4" s="169"/>
      <c r="GW4" s="169"/>
      <c r="GX4" s="169"/>
      <c r="GY4" s="169"/>
      <c r="GZ4" s="169"/>
      <c r="HA4" s="169"/>
      <c r="HB4" s="169"/>
      <c r="HC4" s="169"/>
      <c r="HD4" s="169"/>
      <c r="HE4" s="169"/>
      <c r="HF4" s="169"/>
      <c r="HG4" s="169"/>
      <c r="HH4" s="169"/>
      <c r="HI4" s="169"/>
      <c r="HJ4" s="169"/>
      <c r="HK4" s="169"/>
      <c r="HL4" s="169"/>
      <c r="HM4" s="169"/>
      <c r="HN4" s="169"/>
      <c r="HO4" s="169"/>
      <c r="HP4" s="169"/>
      <c r="HQ4" s="169"/>
      <c r="HR4" s="169"/>
      <c r="HS4" s="169"/>
      <c r="HT4" s="169"/>
      <c r="HU4" s="169"/>
      <c r="HV4" s="169"/>
      <c r="HW4" s="169"/>
      <c r="HX4" s="169"/>
      <c r="HY4" s="169"/>
      <c r="HZ4" s="169"/>
      <c r="IA4" s="169"/>
      <c r="IB4" s="169"/>
      <c r="IC4" s="169"/>
      <c r="ID4" s="169"/>
      <c r="IE4" s="169"/>
      <c r="IF4" s="169"/>
      <c r="IG4" s="169"/>
      <c r="IH4" s="169"/>
      <c r="II4" s="169"/>
      <c r="IJ4" s="169"/>
      <c r="IK4" s="169"/>
      <c r="IL4" s="169"/>
      <c r="IM4" s="169"/>
      <c r="IN4" s="169"/>
      <c r="IO4" s="169"/>
      <c r="IP4" s="169"/>
      <c r="IQ4" s="169"/>
      <c r="IR4" s="169"/>
      <c r="IS4" s="169"/>
      <c r="IT4" s="169"/>
      <c r="IU4" s="169"/>
      <c r="IV4" s="169"/>
      <c r="IW4" s="169"/>
      <c r="IX4" s="169"/>
    </row>
    <row r="5" spans="1:258" ht="15.6" x14ac:dyDescent="0.3">
      <c r="A5" s="2276" t="s">
        <v>1472</v>
      </c>
      <c r="B5" s="2276"/>
      <c r="C5" s="2276"/>
      <c r="D5" s="2276"/>
      <c r="E5" s="2276"/>
      <c r="F5" s="2276"/>
      <c r="G5" s="2276"/>
      <c r="H5" s="2276"/>
      <c r="I5" s="2276"/>
      <c r="J5" s="2276"/>
      <c r="K5" s="2276"/>
      <c r="L5" s="2276"/>
      <c r="M5" s="2276"/>
      <c r="N5" s="2276"/>
      <c r="O5" s="169"/>
      <c r="P5" s="169"/>
      <c r="Q5" s="169"/>
      <c r="R5" s="169"/>
      <c r="S5" s="169"/>
      <c r="T5" s="169"/>
      <c r="U5" s="169"/>
      <c r="V5" s="169"/>
      <c r="W5" s="169"/>
      <c r="X5" s="169"/>
      <c r="Y5" s="169"/>
      <c r="Z5" s="169"/>
      <c r="AA5" s="169"/>
      <c r="AB5" s="169"/>
      <c r="AC5" s="169"/>
      <c r="AD5" s="169"/>
      <c r="AE5" s="169"/>
      <c r="AF5" s="169"/>
      <c r="AG5" s="169"/>
      <c r="AH5" s="169"/>
      <c r="AI5" s="169"/>
      <c r="AJ5" s="169"/>
      <c r="AK5" s="169"/>
      <c r="AL5" s="169"/>
      <c r="AM5" s="169"/>
      <c r="AN5" s="169"/>
      <c r="AO5" s="169"/>
      <c r="AP5" s="169"/>
      <c r="AQ5" s="169"/>
      <c r="AR5" s="169"/>
      <c r="AS5" s="169"/>
      <c r="AT5" s="169"/>
      <c r="AU5" s="169"/>
      <c r="AV5" s="169"/>
      <c r="AW5" s="169"/>
      <c r="AX5" s="169"/>
      <c r="AY5" s="169"/>
      <c r="AZ5" s="169"/>
      <c r="BA5" s="169"/>
      <c r="BB5" s="169"/>
      <c r="BC5" s="169"/>
      <c r="BD5" s="169"/>
      <c r="BE5" s="169"/>
      <c r="BF5" s="169"/>
      <c r="BG5" s="169"/>
      <c r="BH5" s="169"/>
      <c r="BI5" s="169"/>
      <c r="BJ5" s="169"/>
      <c r="BK5" s="169"/>
      <c r="BL5" s="169"/>
      <c r="BM5" s="169"/>
      <c r="BN5" s="169"/>
      <c r="BO5" s="169"/>
      <c r="BP5" s="169"/>
      <c r="BQ5" s="169"/>
      <c r="BR5" s="169"/>
      <c r="BS5" s="169"/>
      <c r="BT5" s="169"/>
      <c r="BU5" s="169"/>
      <c r="BV5" s="169"/>
      <c r="BW5" s="169"/>
      <c r="BX5" s="169"/>
      <c r="BY5" s="169"/>
      <c r="BZ5" s="169"/>
      <c r="CA5" s="169"/>
      <c r="CB5" s="169"/>
      <c r="CC5" s="169"/>
      <c r="CD5" s="169"/>
      <c r="CE5" s="169"/>
      <c r="CF5" s="169"/>
      <c r="CG5" s="169"/>
      <c r="CH5" s="169"/>
      <c r="CI5" s="169"/>
      <c r="CJ5" s="169"/>
      <c r="CK5" s="169"/>
      <c r="CL5" s="169"/>
      <c r="CM5" s="169"/>
      <c r="CN5" s="169"/>
      <c r="CO5" s="169"/>
      <c r="CP5" s="169"/>
      <c r="CQ5" s="169"/>
      <c r="CR5" s="169"/>
      <c r="CS5" s="169"/>
      <c r="CT5" s="169"/>
      <c r="CU5" s="169"/>
      <c r="CV5" s="169"/>
      <c r="CW5" s="169"/>
      <c r="CX5" s="169"/>
      <c r="CY5" s="169"/>
      <c r="CZ5" s="169"/>
      <c r="DA5" s="169"/>
      <c r="DB5" s="169"/>
      <c r="DC5" s="169"/>
      <c r="DD5" s="169"/>
      <c r="DE5" s="169"/>
      <c r="DF5" s="169"/>
      <c r="DG5" s="169"/>
      <c r="DH5" s="169"/>
      <c r="DI5" s="169"/>
      <c r="DJ5" s="169"/>
      <c r="DK5" s="169"/>
      <c r="DL5" s="169"/>
      <c r="DM5" s="169"/>
      <c r="DN5" s="169"/>
      <c r="DO5" s="169"/>
      <c r="DP5" s="169"/>
      <c r="DQ5" s="169"/>
      <c r="DR5" s="169"/>
      <c r="DS5" s="169"/>
      <c r="DT5" s="169"/>
      <c r="DU5" s="169"/>
      <c r="DV5" s="169"/>
      <c r="DW5" s="169"/>
      <c r="DX5" s="169"/>
      <c r="DY5" s="169"/>
      <c r="DZ5" s="169"/>
      <c r="EA5" s="169"/>
      <c r="EB5" s="169"/>
      <c r="EC5" s="169"/>
      <c r="ED5" s="169"/>
      <c r="EE5" s="169"/>
      <c r="EF5" s="169"/>
      <c r="EG5" s="169"/>
      <c r="EH5" s="169"/>
      <c r="EI5" s="169"/>
      <c r="EJ5" s="169"/>
      <c r="EK5" s="169"/>
      <c r="EL5" s="169"/>
      <c r="EM5" s="169"/>
      <c r="EN5" s="169"/>
      <c r="EO5" s="169"/>
      <c r="EP5" s="169"/>
      <c r="EQ5" s="169"/>
      <c r="ER5" s="169"/>
      <c r="ES5" s="169"/>
      <c r="ET5" s="169"/>
      <c r="EU5" s="169"/>
      <c r="EV5" s="169"/>
      <c r="EW5" s="169"/>
      <c r="EX5" s="169"/>
      <c r="EY5" s="169"/>
      <c r="EZ5" s="169"/>
      <c r="FA5" s="169"/>
      <c r="FB5" s="169"/>
      <c r="FC5" s="169"/>
      <c r="FD5" s="169"/>
      <c r="FE5" s="169"/>
      <c r="FF5" s="169"/>
      <c r="FG5" s="169"/>
      <c r="FH5" s="169"/>
      <c r="FI5" s="169"/>
      <c r="FJ5" s="169"/>
      <c r="FK5" s="169"/>
      <c r="FL5" s="169"/>
      <c r="FM5" s="169"/>
      <c r="FN5" s="169"/>
      <c r="FO5" s="169"/>
      <c r="FP5" s="169"/>
      <c r="FQ5" s="169"/>
      <c r="FR5" s="169"/>
      <c r="FS5" s="169"/>
      <c r="FT5" s="169"/>
      <c r="FU5" s="169"/>
      <c r="FV5" s="169"/>
      <c r="FW5" s="169"/>
      <c r="FX5" s="169"/>
      <c r="FY5" s="169"/>
      <c r="FZ5" s="169"/>
      <c r="GA5" s="169"/>
      <c r="GB5" s="169"/>
      <c r="GC5" s="169"/>
      <c r="GD5" s="169"/>
      <c r="GE5" s="169"/>
      <c r="GF5" s="169"/>
      <c r="GG5" s="169"/>
      <c r="GH5" s="169"/>
      <c r="GI5" s="169"/>
      <c r="GJ5" s="169"/>
      <c r="GK5" s="169"/>
      <c r="GL5" s="169"/>
      <c r="GM5" s="169"/>
      <c r="GN5" s="169"/>
      <c r="GO5" s="169"/>
      <c r="GP5" s="169"/>
      <c r="GQ5" s="169"/>
      <c r="GR5" s="169"/>
      <c r="GS5" s="169"/>
      <c r="GT5" s="169"/>
      <c r="GU5" s="169"/>
      <c r="GV5" s="169"/>
      <c r="GW5" s="169"/>
      <c r="GX5" s="169"/>
      <c r="GY5" s="169"/>
      <c r="GZ5" s="169"/>
      <c r="HA5" s="169"/>
      <c r="HB5" s="169"/>
      <c r="HC5" s="169"/>
      <c r="HD5" s="169"/>
      <c r="HE5" s="169"/>
      <c r="HF5" s="169"/>
      <c r="HG5" s="169"/>
      <c r="HH5" s="169"/>
      <c r="HI5" s="169"/>
      <c r="HJ5" s="169"/>
      <c r="HK5" s="169"/>
      <c r="HL5" s="169"/>
      <c r="HM5" s="169"/>
      <c r="HN5" s="169"/>
      <c r="HO5" s="169"/>
      <c r="HP5" s="169"/>
      <c r="HQ5" s="169"/>
      <c r="HR5" s="169"/>
      <c r="HS5" s="169"/>
      <c r="HT5" s="169"/>
      <c r="HU5" s="169"/>
      <c r="HV5" s="169"/>
      <c r="HW5" s="169"/>
      <c r="HX5" s="169"/>
      <c r="HY5" s="169"/>
      <c r="HZ5" s="169"/>
      <c r="IA5" s="169"/>
      <c r="IB5" s="169"/>
      <c r="IC5" s="169"/>
      <c r="ID5" s="169"/>
      <c r="IE5" s="169"/>
      <c r="IF5" s="169"/>
      <c r="IG5" s="169"/>
      <c r="IH5" s="169"/>
      <c r="II5" s="169"/>
      <c r="IJ5" s="169"/>
      <c r="IK5" s="169"/>
      <c r="IL5" s="169"/>
      <c r="IM5" s="169"/>
      <c r="IN5" s="169"/>
      <c r="IO5" s="169"/>
      <c r="IP5" s="169"/>
      <c r="IQ5" s="169"/>
      <c r="IR5" s="169"/>
      <c r="IS5" s="169"/>
      <c r="IT5" s="169"/>
      <c r="IU5" s="169"/>
      <c r="IV5" s="169"/>
      <c r="IW5" s="169"/>
      <c r="IX5" s="169"/>
    </row>
    <row r="6" spans="1:258" s="169" customFormat="1" x14ac:dyDescent="0.25"/>
    <row r="7" spans="1:258" x14ac:dyDescent="0.25">
      <c r="A7" s="172" t="s">
        <v>1204</v>
      </c>
      <c r="B7" s="172"/>
      <c r="C7" s="170" t="s">
        <v>7</v>
      </c>
      <c r="D7" s="170"/>
      <c r="E7" s="171" t="str">
        <f>CARAT_!$F$47</f>
        <v>ESPECIFICO Nº SP-2022-012</v>
      </c>
      <c r="F7" s="171"/>
      <c r="G7" s="169"/>
      <c r="H7" s="169"/>
      <c r="I7" s="169"/>
      <c r="J7" s="169"/>
      <c r="K7" s="169"/>
      <c r="L7" s="169"/>
      <c r="M7" s="169"/>
      <c r="N7" s="169"/>
      <c r="O7" s="169"/>
      <c r="P7" s="169"/>
      <c r="Q7" s="169"/>
      <c r="R7" s="169"/>
      <c r="S7" s="169"/>
      <c r="T7" s="169"/>
      <c r="U7" s="169"/>
      <c r="V7" s="169"/>
      <c r="W7" s="169"/>
      <c r="X7" s="169"/>
      <c r="Y7" s="169"/>
      <c r="Z7" s="169"/>
      <c r="AA7" s="169"/>
      <c r="AB7" s="169"/>
      <c r="AC7" s="169"/>
      <c r="AD7" s="169"/>
      <c r="AE7" s="169"/>
      <c r="AF7" s="169"/>
      <c r="AG7" s="169"/>
      <c r="AH7" s="169"/>
      <c r="AI7" s="169"/>
      <c r="AJ7" s="169"/>
      <c r="AK7" s="169"/>
      <c r="AL7" s="169"/>
      <c r="AM7" s="169"/>
      <c r="AN7" s="169"/>
      <c r="AO7" s="169"/>
      <c r="AP7" s="169"/>
      <c r="AQ7" s="169"/>
      <c r="AR7" s="169"/>
      <c r="AS7" s="169"/>
      <c r="AT7" s="169"/>
      <c r="AU7" s="169"/>
      <c r="AV7" s="169"/>
      <c r="AW7" s="169"/>
      <c r="AX7" s="169"/>
      <c r="AY7" s="169"/>
      <c r="AZ7" s="169"/>
      <c r="BA7" s="169"/>
      <c r="BB7" s="169"/>
      <c r="BC7" s="169"/>
      <c r="BD7" s="169"/>
      <c r="BE7" s="169"/>
      <c r="BF7" s="169"/>
      <c r="BG7" s="169"/>
      <c r="BH7" s="169"/>
      <c r="BI7" s="169"/>
      <c r="BJ7" s="169"/>
      <c r="BK7" s="169"/>
      <c r="BL7" s="169"/>
      <c r="BM7" s="169"/>
      <c r="BN7" s="169"/>
      <c r="BO7" s="169"/>
      <c r="BP7" s="169"/>
      <c r="BQ7" s="169"/>
      <c r="BR7" s="169"/>
      <c r="BS7" s="169"/>
      <c r="BT7" s="169"/>
      <c r="BU7" s="169"/>
      <c r="BV7" s="169"/>
      <c r="BW7" s="169"/>
      <c r="BX7" s="169"/>
      <c r="BY7" s="169"/>
      <c r="BZ7" s="169"/>
      <c r="CA7" s="169"/>
      <c r="CB7" s="169"/>
      <c r="CC7" s="169"/>
      <c r="CD7" s="169"/>
      <c r="CE7" s="169"/>
      <c r="CF7" s="169"/>
      <c r="CG7" s="169"/>
      <c r="CH7" s="169"/>
      <c r="CI7" s="169"/>
      <c r="CJ7" s="169"/>
      <c r="CK7" s="169"/>
      <c r="CL7" s="169"/>
      <c r="CM7" s="169"/>
      <c r="CN7" s="169"/>
      <c r="CO7" s="169"/>
      <c r="CP7" s="169"/>
      <c r="CQ7" s="169"/>
      <c r="CR7" s="169"/>
      <c r="CS7" s="169"/>
      <c r="CT7" s="169"/>
      <c r="CU7" s="169"/>
      <c r="CV7" s="169"/>
      <c r="CW7" s="169"/>
      <c r="CX7" s="169"/>
      <c r="CY7" s="169"/>
      <c r="CZ7" s="169"/>
      <c r="DA7" s="169"/>
      <c r="DB7" s="169"/>
      <c r="DC7" s="169"/>
      <c r="DD7" s="169"/>
      <c r="DE7" s="169"/>
      <c r="DF7" s="169"/>
      <c r="DG7" s="169"/>
      <c r="DH7" s="169"/>
      <c r="DI7" s="169"/>
      <c r="DJ7" s="169"/>
      <c r="DK7" s="169"/>
      <c r="DL7" s="169"/>
      <c r="DM7" s="169"/>
      <c r="DN7" s="169"/>
      <c r="DO7" s="169"/>
      <c r="DP7" s="169"/>
      <c r="DQ7" s="169"/>
      <c r="DR7" s="169"/>
      <c r="DS7" s="169"/>
      <c r="DT7" s="169"/>
      <c r="DU7" s="169"/>
      <c r="DV7" s="169"/>
      <c r="DW7" s="169"/>
      <c r="DX7" s="169"/>
      <c r="DY7" s="169"/>
      <c r="DZ7" s="169"/>
      <c r="EA7" s="169"/>
      <c r="EB7" s="169"/>
      <c r="EC7" s="169"/>
      <c r="ED7" s="169"/>
      <c r="EE7" s="169"/>
      <c r="EF7" s="169"/>
      <c r="EG7" s="169"/>
      <c r="EH7" s="169"/>
      <c r="EI7" s="169"/>
      <c r="EJ7" s="169"/>
      <c r="EK7" s="169"/>
      <c r="EL7" s="169"/>
      <c r="EM7" s="169"/>
      <c r="EN7" s="169"/>
      <c r="EO7" s="169"/>
      <c r="EP7" s="169"/>
      <c r="EQ7" s="169"/>
      <c r="ER7" s="169"/>
      <c r="ES7" s="169"/>
      <c r="ET7" s="169"/>
      <c r="EU7" s="169"/>
      <c r="EV7" s="169"/>
      <c r="EW7" s="169"/>
      <c r="EX7" s="169"/>
      <c r="EY7" s="169"/>
      <c r="EZ7" s="169"/>
      <c r="FA7" s="169"/>
      <c r="FB7" s="169"/>
      <c r="FC7" s="169"/>
      <c r="FD7" s="169"/>
      <c r="FE7" s="169"/>
      <c r="FF7" s="169"/>
      <c r="FG7" s="169"/>
      <c r="FH7" s="169"/>
      <c r="FI7" s="169"/>
      <c r="FJ7" s="169"/>
      <c r="FK7" s="169"/>
      <c r="FL7" s="169"/>
      <c r="FM7" s="169"/>
      <c r="FN7" s="169"/>
      <c r="FO7" s="169"/>
      <c r="FP7" s="169"/>
      <c r="FQ7" s="169"/>
      <c r="FR7" s="169"/>
      <c r="FS7" s="169"/>
      <c r="FT7" s="169"/>
      <c r="FU7" s="169"/>
      <c r="FV7" s="169"/>
      <c r="FW7" s="169"/>
      <c r="FX7" s="169"/>
      <c r="FY7" s="169"/>
      <c r="FZ7" s="169"/>
      <c r="GA7" s="169"/>
      <c r="GB7" s="169"/>
      <c r="GC7" s="169"/>
      <c r="GD7" s="169"/>
      <c r="GE7" s="169"/>
      <c r="GF7" s="169"/>
      <c r="GG7" s="169"/>
      <c r="GH7" s="169"/>
      <c r="GI7" s="169"/>
      <c r="GJ7" s="169"/>
      <c r="GK7" s="169"/>
      <c r="GL7" s="169"/>
      <c r="GM7" s="169"/>
      <c r="GN7" s="169"/>
      <c r="GO7" s="169"/>
      <c r="GP7" s="169"/>
      <c r="GQ7" s="169"/>
      <c r="GR7" s="169"/>
      <c r="GS7" s="169"/>
      <c r="GT7" s="169"/>
      <c r="GU7" s="169"/>
      <c r="GV7" s="169"/>
      <c r="GW7" s="169"/>
      <c r="GX7" s="169"/>
      <c r="GY7" s="169"/>
      <c r="GZ7" s="169"/>
      <c r="HA7" s="169"/>
      <c r="HB7" s="169"/>
      <c r="HC7" s="169"/>
      <c r="HD7" s="169"/>
      <c r="HE7" s="169"/>
      <c r="HF7" s="169"/>
      <c r="HG7" s="169"/>
      <c r="HH7" s="169"/>
      <c r="HI7" s="169"/>
      <c r="HJ7" s="169"/>
      <c r="HK7" s="169"/>
      <c r="HL7" s="169"/>
      <c r="HM7" s="169"/>
      <c r="HN7" s="169"/>
      <c r="HO7" s="169"/>
      <c r="HP7" s="169"/>
      <c r="HQ7" s="169"/>
      <c r="HR7" s="169"/>
      <c r="HS7" s="169"/>
      <c r="HT7" s="169"/>
      <c r="HU7" s="169"/>
      <c r="HV7" s="169"/>
      <c r="HW7" s="169"/>
      <c r="HX7" s="169"/>
      <c r="HY7" s="169"/>
      <c r="HZ7" s="169"/>
      <c r="IA7" s="169"/>
      <c r="IB7" s="169"/>
      <c r="IC7" s="169"/>
      <c r="ID7" s="169"/>
      <c r="IE7" s="169"/>
      <c r="IF7" s="169"/>
      <c r="IG7" s="169"/>
      <c r="IH7" s="169"/>
      <c r="II7" s="169"/>
      <c r="IJ7" s="169"/>
      <c r="IK7" s="169"/>
      <c r="IL7" s="169"/>
      <c r="IM7" s="169"/>
      <c r="IN7" s="169"/>
      <c r="IO7" s="169"/>
      <c r="IP7" s="169"/>
      <c r="IQ7" s="169"/>
      <c r="IR7" s="169"/>
      <c r="IS7" s="169"/>
      <c r="IT7" s="169"/>
      <c r="IU7" s="169"/>
      <c r="IV7" s="169"/>
      <c r="IW7" s="169"/>
      <c r="IX7" s="169"/>
    </row>
    <row r="8" spans="1:258" x14ac:dyDescent="0.25">
      <c r="A8" s="172" t="s">
        <v>18</v>
      </c>
      <c r="B8" s="170"/>
      <c r="C8" s="170" t="s">
        <v>7</v>
      </c>
      <c r="D8" s="170"/>
      <c r="E8" s="2277" t="str">
        <f>CARAT_!F48</f>
        <v>“CREACION DEL PUENTE VEHICULAR CCANCHIS SOBRE EL RIO PAMPAS, DISTRITO DE CHUNGUI - PROVINCIA LA MAR - DEPARTAMENTO AYACUCHO”.</v>
      </c>
      <c r="F8" s="2277"/>
      <c r="G8" s="2277"/>
      <c r="H8" s="2277"/>
      <c r="I8" s="2277"/>
      <c r="J8" s="2277"/>
      <c r="K8" s="2277"/>
      <c r="L8" s="2277"/>
      <c r="M8" s="2277"/>
      <c r="N8" s="2277"/>
      <c r="O8" s="169"/>
      <c r="P8" s="169"/>
      <c r="Q8" s="169"/>
      <c r="R8" s="169"/>
      <c r="S8" s="169"/>
      <c r="T8" s="169"/>
      <c r="U8" s="169"/>
      <c r="V8" s="169"/>
      <c r="W8" s="169"/>
      <c r="X8" s="169"/>
      <c r="Y8" s="169"/>
      <c r="Z8" s="169"/>
      <c r="AA8" s="169"/>
      <c r="AB8" s="169"/>
      <c r="AC8" s="169"/>
      <c r="AD8" s="169"/>
      <c r="AE8" s="169"/>
      <c r="AF8" s="169"/>
      <c r="AG8" s="169"/>
      <c r="AH8" s="169"/>
      <c r="AI8" s="169"/>
      <c r="AJ8" s="169"/>
      <c r="AK8" s="169"/>
      <c r="AL8" s="169"/>
      <c r="AM8" s="169"/>
      <c r="AN8" s="169"/>
      <c r="AO8" s="169"/>
      <c r="AP8" s="169"/>
      <c r="AQ8" s="169"/>
      <c r="AR8" s="169"/>
      <c r="AS8" s="169"/>
      <c r="AT8" s="169"/>
      <c r="AU8" s="169"/>
      <c r="AV8" s="169"/>
      <c r="AW8" s="169"/>
      <c r="AX8" s="169"/>
      <c r="AY8" s="169"/>
      <c r="AZ8" s="169"/>
      <c r="BA8" s="169"/>
      <c r="BB8" s="169"/>
      <c r="BC8" s="169"/>
      <c r="BD8" s="169"/>
      <c r="BE8" s="169"/>
      <c r="BF8" s="169"/>
      <c r="BG8" s="169"/>
      <c r="BH8" s="169"/>
      <c r="BI8" s="169"/>
      <c r="BJ8" s="169"/>
      <c r="BK8" s="169"/>
      <c r="BL8" s="169"/>
      <c r="BM8" s="169"/>
      <c r="BN8" s="169"/>
      <c r="BO8" s="169"/>
      <c r="BP8" s="169"/>
      <c r="BQ8" s="169"/>
      <c r="BR8" s="169"/>
      <c r="BS8" s="169"/>
      <c r="BT8" s="169"/>
      <c r="BU8" s="169"/>
      <c r="BV8" s="169"/>
      <c r="BW8" s="169"/>
      <c r="BX8" s="169"/>
      <c r="BY8" s="169"/>
      <c r="BZ8" s="169"/>
      <c r="CA8" s="169"/>
      <c r="CB8" s="169"/>
      <c r="CC8" s="169"/>
      <c r="CD8" s="169"/>
      <c r="CE8" s="169"/>
      <c r="CF8" s="169"/>
      <c r="CG8" s="169"/>
      <c r="CH8" s="169"/>
      <c r="CI8" s="169"/>
      <c r="CJ8" s="169"/>
      <c r="CK8" s="169"/>
      <c r="CL8" s="169"/>
      <c r="CM8" s="169"/>
      <c r="CN8" s="169"/>
      <c r="CO8" s="169"/>
      <c r="CP8" s="169"/>
      <c r="CQ8" s="169"/>
      <c r="CR8" s="169"/>
      <c r="CS8" s="169"/>
      <c r="CT8" s="169"/>
      <c r="CU8" s="169"/>
      <c r="CV8" s="169"/>
      <c r="CW8" s="169"/>
      <c r="CX8" s="169"/>
      <c r="CY8" s="169"/>
      <c r="CZ8" s="169"/>
      <c r="DA8" s="169"/>
      <c r="DB8" s="169"/>
      <c r="DC8" s="169"/>
      <c r="DD8" s="169"/>
      <c r="DE8" s="169"/>
      <c r="DF8" s="169"/>
      <c r="DG8" s="169"/>
      <c r="DH8" s="169"/>
      <c r="DI8" s="169"/>
      <c r="DJ8" s="169"/>
      <c r="DK8" s="169"/>
      <c r="DL8" s="169"/>
      <c r="DM8" s="169"/>
      <c r="DN8" s="169"/>
      <c r="DO8" s="169"/>
      <c r="DP8" s="169"/>
      <c r="DQ8" s="169"/>
      <c r="DR8" s="169"/>
      <c r="DS8" s="169"/>
      <c r="DT8" s="169"/>
      <c r="DU8" s="169"/>
      <c r="DV8" s="169"/>
      <c r="DW8" s="169"/>
      <c r="DX8" s="169"/>
      <c r="DY8" s="169"/>
      <c r="DZ8" s="169"/>
      <c r="EA8" s="169"/>
      <c r="EB8" s="169"/>
      <c r="EC8" s="169"/>
      <c r="ED8" s="169"/>
      <c r="EE8" s="169"/>
      <c r="EF8" s="169"/>
      <c r="EG8" s="169"/>
      <c r="EH8" s="169"/>
      <c r="EI8" s="169"/>
      <c r="EJ8" s="169"/>
      <c r="EK8" s="169"/>
      <c r="EL8" s="169"/>
      <c r="EM8" s="169"/>
      <c r="EN8" s="169"/>
      <c r="EO8" s="169"/>
      <c r="EP8" s="169"/>
      <c r="EQ8" s="169"/>
      <c r="ER8" s="169"/>
      <c r="ES8" s="169"/>
      <c r="ET8" s="169"/>
      <c r="EU8" s="169"/>
      <c r="EV8" s="169"/>
      <c r="EW8" s="169"/>
      <c r="EX8" s="169"/>
      <c r="EY8" s="169"/>
      <c r="EZ8" s="169"/>
      <c r="FA8" s="169"/>
      <c r="FB8" s="169"/>
      <c r="FC8" s="169"/>
      <c r="FD8" s="169"/>
      <c r="FE8" s="169"/>
      <c r="FF8" s="169"/>
      <c r="FG8" s="169"/>
      <c r="FH8" s="169"/>
      <c r="FI8" s="169"/>
      <c r="FJ8" s="169"/>
      <c r="FK8" s="169"/>
      <c r="FL8" s="169"/>
      <c r="FM8" s="169"/>
      <c r="FN8" s="169"/>
      <c r="FO8" s="169"/>
      <c r="FP8" s="169"/>
      <c r="FQ8" s="169"/>
      <c r="FR8" s="169"/>
      <c r="FS8" s="169"/>
      <c r="FT8" s="169"/>
      <c r="FU8" s="169"/>
      <c r="FV8" s="169"/>
      <c r="FW8" s="169"/>
      <c r="FX8" s="169"/>
      <c r="FY8" s="169"/>
      <c r="FZ8" s="169"/>
      <c r="GA8" s="169"/>
      <c r="GB8" s="169"/>
      <c r="GC8" s="169"/>
      <c r="GD8" s="169"/>
      <c r="GE8" s="169"/>
      <c r="GF8" s="169"/>
      <c r="GG8" s="169"/>
      <c r="GH8" s="169"/>
      <c r="GI8" s="169"/>
      <c r="GJ8" s="169"/>
      <c r="GK8" s="169"/>
      <c r="GL8" s="169"/>
      <c r="GM8" s="169"/>
      <c r="GN8" s="169"/>
      <c r="GO8" s="169"/>
      <c r="GP8" s="169"/>
      <c r="GQ8" s="169"/>
      <c r="GR8" s="169"/>
      <c r="GS8" s="169"/>
      <c r="GT8" s="169"/>
      <c r="GU8" s="169"/>
      <c r="GV8" s="169"/>
      <c r="GW8" s="169"/>
      <c r="GX8" s="169"/>
      <c r="GY8" s="169"/>
      <c r="GZ8" s="169"/>
      <c r="HA8" s="169"/>
      <c r="HB8" s="169"/>
      <c r="HC8" s="169"/>
      <c r="HD8" s="169"/>
      <c r="HE8" s="169"/>
      <c r="HF8" s="169"/>
      <c r="HG8" s="169"/>
      <c r="HH8" s="169"/>
      <c r="HI8" s="169"/>
      <c r="HJ8" s="169"/>
      <c r="HK8" s="169"/>
      <c r="HL8" s="169"/>
      <c r="HM8" s="169"/>
      <c r="HN8" s="169"/>
      <c r="HO8" s="169"/>
      <c r="HP8" s="169"/>
      <c r="HQ8" s="169"/>
      <c r="HR8" s="169"/>
      <c r="HS8" s="169"/>
      <c r="HT8" s="169"/>
      <c r="HU8" s="169"/>
      <c r="HV8" s="169"/>
      <c r="HW8" s="169"/>
      <c r="HX8" s="169"/>
      <c r="HY8" s="169"/>
      <c r="HZ8" s="169"/>
      <c r="IA8" s="169"/>
      <c r="IB8" s="169"/>
      <c r="IC8" s="169"/>
      <c r="ID8" s="169"/>
      <c r="IE8" s="169"/>
      <c r="IF8" s="169"/>
      <c r="IG8" s="169"/>
      <c r="IH8" s="169"/>
      <c r="II8" s="169"/>
      <c r="IJ8" s="169"/>
      <c r="IK8" s="169"/>
      <c r="IL8" s="169"/>
      <c r="IM8" s="169"/>
      <c r="IN8" s="169"/>
      <c r="IO8" s="169"/>
      <c r="IP8" s="169"/>
      <c r="IQ8" s="169"/>
      <c r="IR8" s="169"/>
      <c r="IS8" s="169"/>
      <c r="IT8" s="169"/>
      <c r="IU8" s="169"/>
      <c r="IV8" s="169"/>
      <c r="IW8" s="169"/>
      <c r="IX8" s="169"/>
    </row>
    <row r="9" spans="1:258" x14ac:dyDescent="0.25">
      <c r="A9" s="172"/>
      <c r="B9" s="170"/>
      <c r="C9" s="170"/>
      <c r="D9" s="170"/>
      <c r="E9" s="2277"/>
      <c r="F9" s="2277"/>
      <c r="G9" s="2277"/>
      <c r="H9" s="2277"/>
      <c r="I9" s="2277"/>
      <c r="J9" s="2277"/>
      <c r="K9" s="2277"/>
      <c r="L9" s="2277"/>
      <c r="M9" s="2277"/>
      <c r="N9" s="2277"/>
      <c r="O9" s="169"/>
      <c r="P9" s="169"/>
      <c r="Q9" s="169"/>
      <c r="R9" s="169"/>
      <c r="S9" s="169"/>
      <c r="T9" s="169"/>
      <c r="U9" s="169"/>
      <c r="V9" s="169"/>
      <c r="W9" s="169"/>
      <c r="X9" s="169"/>
      <c r="Y9" s="169"/>
      <c r="Z9" s="169"/>
      <c r="AA9" s="169"/>
      <c r="AB9" s="169"/>
      <c r="AC9" s="169"/>
      <c r="AD9" s="169"/>
      <c r="AE9" s="169"/>
      <c r="AF9" s="169"/>
      <c r="AG9" s="169"/>
      <c r="AH9" s="169"/>
      <c r="AI9" s="169"/>
      <c r="AJ9" s="169"/>
      <c r="AK9" s="169"/>
      <c r="AL9" s="169"/>
      <c r="AM9" s="169"/>
      <c r="AN9" s="169"/>
      <c r="AO9" s="169"/>
      <c r="AP9" s="169"/>
      <c r="AQ9" s="169"/>
      <c r="AR9" s="169"/>
      <c r="AS9" s="169"/>
      <c r="AT9" s="169"/>
      <c r="AU9" s="169"/>
      <c r="AV9" s="169"/>
      <c r="AW9" s="169"/>
      <c r="AX9" s="169"/>
      <c r="AY9" s="169"/>
      <c r="AZ9" s="169"/>
      <c r="BA9" s="169"/>
      <c r="BB9" s="169"/>
      <c r="BC9" s="169"/>
      <c r="BD9" s="169"/>
      <c r="BE9" s="169"/>
      <c r="BF9" s="169"/>
      <c r="BG9" s="169"/>
      <c r="BH9" s="169"/>
      <c r="BI9" s="169"/>
      <c r="BJ9" s="169"/>
      <c r="BK9" s="169"/>
      <c r="BL9" s="169"/>
      <c r="BM9" s="169"/>
      <c r="BN9" s="169"/>
      <c r="BO9" s="169"/>
      <c r="BP9" s="169"/>
      <c r="BQ9" s="169"/>
      <c r="BR9" s="169"/>
      <c r="BS9" s="169"/>
      <c r="BT9" s="169"/>
      <c r="BU9" s="169"/>
      <c r="BV9" s="169"/>
      <c r="BW9" s="169"/>
      <c r="BX9" s="169"/>
      <c r="BY9" s="169"/>
      <c r="BZ9" s="169"/>
      <c r="CA9" s="169"/>
      <c r="CB9" s="169"/>
      <c r="CC9" s="169"/>
      <c r="CD9" s="169"/>
      <c r="CE9" s="169"/>
      <c r="CF9" s="169"/>
      <c r="CG9" s="169"/>
      <c r="CH9" s="169"/>
      <c r="CI9" s="169"/>
      <c r="CJ9" s="169"/>
      <c r="CK9" s="169"/>
      <c r="CL9" s="169"/>
      <c r="CM9" s="169"/>
      <c r="CN9" s="169"/>
      <c r="CO9" s="169"/>
      <c r="CP9" s="169"/>
      <c r="CQ9" s="169"/>
      <c r="CR9" s="169"/>
      <c r="CS9" s="169"/>
      <c r="CT9" s="169"/>
      <c r="CU9" s="169"/>
      <c r="CV9" s="169"/>
      <c r="CW9" s="169"/>
      <c r="CX9" s="169"/>
      <c r="CY9" s="169"/>
      <c r="CZ9" s="169"/>
      <c r="DA9" s="169"/>
      <c r="DB9" s="169"/>
      <c r="DC9" s="169"/>
      <c r="DD9" s="169"/>
      <c r="DE9" s="169"/>
      <c r="DF9" s="169"/>
      <c r="DG9" s="169"/>
      <c r="DH9" s="169"/>
      <c r="DI9" s="169"/>
      <c r="DJ9" s="169"/>
      <c r="DK9" s="169"/>
      <c r="DL9" s="169"/>
      <c r="DM9" s="169"/>
      <c r="DN9" s="169"/>
      <c r="DO9" s="169"/>
      <c r="DP9" s="169"/>
      <c r="DQ9" s="169"/>
      <c r="DR9" s="169"/>
      <c r="DS9" s="169"/>
      <c r="DT9" s="169"/>
      <c r="DU9" s="169"/>
      <c r="DV9" s="169"/>
      <c r="DW9" s="169"/>
      <c r="DX9" s="169"/>
      <c r="DY9" s="169"/>
      <c r="DZ9" s="169"/>
      <c r="EA9" s="169"/>
      <c r="EB9" s="169"/>
      <c r="EC9" s="169"/>
      <c r="ED9" s="169"/>
      <c r="EE9" s="169"/>
      <c r="EF9" s="169"/>
      <c r="EG9" s="169"/>
      <c r="EH9" s="169"/>
      <c r="EI9" s="169"/>
      <c r="EJ9" s="169"/>
      <c r="EK9" s="169"/>
      <c r="EL9" s="169"/>
      <c r="EM9" s="169"/>
      <c r="EN9" s="169"/>
      <c r="EO9" s="169"/>
      <c r="EP9" s="169"/>
      <c r="EQ9" s="169"/>
      <c r="ER9" s="169"/>
      <c r="ES9" s="169"/>
      <c r="ET9" s="169"/>
      <c r="EU9" s="169"/>
      <c r="EV9" s="169"/>
      <c r="EW9" s="169"/>
      <c r="EX9" s="169"/>
      <c r="EY9" s="169"/>
      <c r="EZ9" s="169"/>
      <c r="FA9" s="169"/>
      <c r="FB9" s="169"/>
      <c r="FC9" s="169"/>
      <c r="FD9" s="169"/>
      <c r="FE9" s="169"/>
      <c r="FF9" s="169"/>
      <c r="FG9" s="169"/>
      <c r="FH9" s="169"/>
      <c r="FI9" s="169"/>
      <c r="FJ9" s="169"/>
      <c r="FK9" s="169"/>
      <c r="FL9" s="169"/>
      <c r="FM9" s="169"/>
      <c r="FN9" s="169"/>
      <c r="FO9" s="169"/>
      <c r="FP9" s="169"/>
      <c r="FQ9" s="169"/>
      <c r="FR9" s="169"/>
      <c r="FS9" s="169"/>
      <c r="FT9" s="169"/>
      <c r="FU9" s="169"/>
      <c r="FV9" s="169"/>
      <c r="FW9" s="169"/>
      <c r="FX9" s="169"/>
      <c r="FY9" s="169"/>
      <c r="FZ9" s="169"/>
      <c r="GA9" s="169"/>
      <c r="GB9" s="169"/>
      <c r="GC9" s="169"/>
      <c r="GD9" s="169"/>
      <c r="GE9" s="169"/>
      <c r="GF9" s="169"/>
      <c r="GG9" s="169"/>
      <c r="GH9" s="169"/>
      <c r="GI9" s="169"/>
      <c r="GJ9" s="169"/>
      <c r="GK9" s="169"/>
      <c r="GL9" s="169"/>
      <c r="GM9" s="169"/>
      <c r="GN9" s="169"/>
      <c r="GO9" s="169"/>
      <c r="GP9" s="169"/>
      <c r="GQ9" s="169"/>
      <c r="GR9" s="169"/>
      <c r="GS9" s="169"/>
      <c r="GT9" s="169"/>
      <c r="GU9" s="169"/>
      <c r="GV9" s="169"/>
      <c r="GW9" s="169"/>
      <c r="GX9" s="169"/>
      <c r="GY9" s="169"/>
      <c r="GZ9" s="169"/>
      <c r="HA9" s="169"/>
      <c r="HB9" s="169"/>
      <c r="HC9" s="169"/>
      <c r="HD9" s="169"/>
      <c r="HE9" s="169"/>
      <c r="HF9" s="169"/>
      <c r="HG9" s="169"/>
      <c r="HH9" s="169"/>
      <c r="HI9" s="169"/>
      <c r="HJ9" s="169"/>
      <c r="HK9" s="169"/>
      <c r="HL9" s="169"/>
      <c r="HM9" s="169"/>
      <c r="HN9" s="169"/>
      <c r="HO9" s="169"/>
      <c r="HP9" s="169"/>
      <c r="HQ9" s="169"/>
      <c r="HR9" s="169"/>
      <c r="HS9" s="169"/>
      <c r="HT9" s="169"/>
      <c r="HU9" s="169"/>
      <c r="HV9" s="169"/>
      <c r="HW9" s="169"/>
      <c r="HX9" s="169"/>
      <c r="HY9" s="169"/>
      <c r="HZ9" s="169"/>
      <c r="IA9" s="169"/>
      <c r="IB9" s="169"/>
      <c r="IC9" s="169"/>
      <c r="ID9" s="169"/>
      <c r="IE9" s="169"/>
      <c r="IF9" s="169"/>
      <c r="IG9" s="169"/>
      <c r="IH9" s="169"/>
      <c r="II9" s="169"/>
      <c r="IJ9" s="169"/>
      <c r="IK9" s="169"/>
      <c r="IL9" s="169"/>
      <c r="IM9" s="169"/>
      <c r="IN9" s="169"/>
      <c r="IO9" s="169"/>
      <c r="IP9" s="169"/>
      <c r="IQ9" s="169"/>
      <c r="IR9" s="169"/>
      <c r="IS9" s="169"/>
      <c r="IT9" s="169"/>
      <c r="IU9" s="169"/>
      <c r="IV9" s="169"/>
      <c r="IW9" s="169"/>
      <c r="IX9" s="169"/>
    </row>
    <row r="10" spans="1:258" x14ac:dyDescent="0.25">
      <c r="A10" s="170" t="s">
        <v>1488</v>
      </c>
      <c r="B10" s="170"/>
      <c r="C10" s="170" t="s">
        <v>7</v>
      </c>
      <c r="D10" s="170"/>
      <c r="E10" s="171" t="str">
        <f>CARAT_!$F$52</f>
        <v>SIMA PERU S.A.</v>
      </c>
      <c r="F10" s="171"/>
      <c r="G10" s="169"/>
      <c r="H10" s="169"/>
      <c r="I10" s="169"/>
      <c r="J10" s="169"/>
      <c r="K10" s="169"/>
      <c r="L10" s="169"/>
      <c r="M10" s="169"/>
      <c r="N10" s="169"/>
      <c r="O10" s="169"/>
      <c r="P10" s="169"/>
      <c r="Q10" s="169"/>
      <c r="R10" s="169"/>
      <c r="S10" s="169"/>
      <c r="T10" s="169"/>
      <c r="U10" s="169"/>
      <c r="V10" s="169"/>
      <c r="W10" s="169"/>
      <c r="X10" s="169"/>
      <c r="Y10" s="169"/>
      <c r="Z10" s="169"/>
      <c r="AA10" s="169"/>
      <c r="AB10" s="169"/>
      <c r="AC10" s="169"/>
      <c r="AD10" s="169"/>
      <c r="AE10" s="169"/>
      <c r="AF10" s="169"/>
      <c r="AG10" s="169"/>
      <c r="AH10" s="169"/>
      <c r="AI10" s="169"/>
      <c r="AJ10" s="169"/>
      <c r="AK10" s="169"/>
      <c r="AL10" s="169"/>
      <c r="AM10" s="169"/>
      <c r="AN10" s="169"/>
      <c r="AO10" s="169"/>
      <c r="AP10" s="169"/>
      <c r="AQ10" s="169"/>
      <c r="AR10" s="169"/>
      <c r="AS10" s="169"/>
      <c r="AT10" s="169"/>
      <c r="AU10" s="169"/>
      <c r="AV10" s="169"/>
      <c r="AW10" s="169"/>
      <c r="AX10" s="169"/>
      <c r="AY10" s="169"/>
      <c r="AZ10" s="169"/>
      <c r="BA10" s="169"/>
      <c r="BB10" s="169"/>
      <c r="BC10" s="169"/>
      <c r="BD10" s="169"/>
      <c r="BE10" s="169"/>
      <c r="BF10" s="169"/>
      <c r="BG10" s="169"/>
      <c r="BH10" s="169"/>
      <c r="BI10" s="169"/>
      <c r="BJ10" s="169"/>
      <c r="BK10" s="169"/>
      <c r="BL10" s="169"/>
      <c r="BM10" s="169"/>
      <c r="BN10" s="169"/>
      <c r="BO10" s="169"/>
      <c r="BP10" s="169"/>
      <c r="BQ10" s="169"/>
      <c r="BR10" s="169"/>
      <c r="BS10" s="169"/>
      <c r="BT10" s="169"/>
      <c r="BU10" s="169"/>
      <c r="BV10" s="169"/>
      <c r="BW10" s="169"/>
      <c r="BX10" s="169"/>
      <c r="BY10" s="169"/>
      <c r="BZ10" s="169"/>
      <c r="CA10" s="169"/>
      <c r="CB10" s="169"/>
      <c r="CC10" s="169"/>
      <c r="CD10" s="169"/>
      <c r="CE10" s="169"/>
      <c r="CF10" s="169"/>
      <c r="CG10" s="169"/>
      <c r="CH10" s="169"/>
      <c r="CI10" s="169"/>
      <c r="CJ10" s="169"/>
      <c r="CK10" s="169"/>
      <c r="CL10" s="169"/>
      <c r="CM10" s="169"/>
      <c r="CN10" s="169"/>
      <c r="CO10" s="169"/>
      <c r="CP10" s="169"/>
      <c r="CQ10" s="169"/>
      <c r="CR10" s="169"/>
      <c r="CS10" s="169"/>
      <c r="CT10" s="169"/>
      <c r="CU10" s="169"/>
      <c r="CV10" s="169"/>
      <c r="CW10" s="169"/>
      <c r="CX10" s="169"/>
      <c r="CY10" s="169"/>
      <c r="CZ10" s="169"/>
      <c r="DA10" s="169"/>
      <c r="DB10" s="169"/>
      <c r="DC10" s="169"/>
      <c r="DD10" s="169"/>
      <c r="DE10" s="169"/>
      <c r="DF10" s="169"/>
      <c r="DG10" s="169"/>
      <c r="DH10" s="169"/>
      <c r="DI10" s="169"/>
      <c r="DJ10" s="169"/>
      <c r="DK10" s="169"/>
      <c r="DL10" s="169"/>
      <c r="DM10" s="169"/>
      <c r="DN10" s="169"/>
      <c r="DO10" s="169"/>
      <c r="DP10" s="169"/>
      <c r="DQ10" s="169"/>
      <c r="DR10" s="169"/>
      <c r="DS10" s="169"/>
      <c r="DT10" s="169"/>
      <c r="DU10" s="169"/>
      <c r="DV10" s="169"/>
      <c r="DW10" s="169"/>
      <c r="DX10" s="169"/>
      <c r="DY10" s="169"/>
      <c r="DZ10" s="169"/>
      <c r="EA10" s="169"/>
      <c r="EB10" s="169"/>
      <c r="EC10" s="169"/>
      <c r="ED10" s="169"/>
      <c r="EE10" s="169"/>
      <c r="EF10" s="169"/>
      <c r="EG10" s="169"/>
      <c r="EH10" s="169"/>
      <c r="EI10" s="169"/>
      <c r="EJ10" s="169"/>
      <c r="EK10" s="169"/>
      <c r="EL10" s="169"/>
      <c r="EM10" s="169"/>
      <c r="EN10" s="169"/>
      <c r="EO10" s="169"/>
      <c r="EP10" s="169"/>
      <c r="EQ10" s="169"/>
      <c r="ER10" s="169"/>
      <c r="ES10" s="169"/>
      <c r="ET10" s="169"/>
      <c r="EU10" s="169"/>
      <c r="EV10" s="169"/>
      <c r="EW10" s="169"/>
      <c r="EX10" s="169"/>
      <c r="EY10" s="169"/>
      <c r="EZ10" s="169"/>
      <c r="FA10" s="169"/>
      <c r="FB10" s="169"/>
      <c r="FC10" s="169"/>
      <c r="FD10" s="169"/>
      <c r="FE10" s="169"/>
      <c r="FF10" s="169"/>
      <c r="FG10" s="169"/>
      <c r="FH10" s="169"/>
      <c r="FI10" s="169"/>
      <c r="FJ10" s="169"/>
      <c r="FK10" s="169"/>
      <c r="FL10" s="169"/>
      <c r="FM10" s="169"/>
      <c r="FN10" s="169"/>
      <c r="FO10" s="169"/>
      <c r="FP10" s="169"/>
      <c r="FQ10" s="169"/>
      <c r="FR10" s="169"/>
      <c r="FS10" s="169"/>
      <c r="FT10" s="169"/>
      <c r="FU10" s="169"/>
      <c r="FV10" s="169"/>
      <c r="FW10" s="169"/>
      <c r="FX10" s="169"/>
      <c r="FY10" s="169"/>
      <c r="FZ10" s="169"/>
      <c r="GA10" s="169"/>
      <c r="GB10" s="169"/>
      <c r="GC10" s="169"/>
      <c r="GD10" s="169"/>
      <c r="GE10" s="169"/>
      <c r="GF10" s="169"/>
      <c r="GG10" s="169"/>
      <c r="GH10" s="169"/>
      <c r="GI10" s="169"/>
      <c r="GJ10" s="169"/>
      <c r="GK10" s="169"/>
      <c r="GL10" s="169"/>
      <c r="GM10" s="169"/>
      <c r="GN10" s="169"/>
      <c r="GO10" s="169"/>
      <c r="GP10" s="169"/>
      <c r="GQ10" s="169"/>
      <c r="GR10" s="169"/>
      <c r="GS10" s="169"/>
      <c r="GT10" s="169"/>
      <c r="GU10" s="169"/>
      <c r="GV10" s="169"/>
      <c r="GW10" s="169"/>
      <c r="GX10" s="169"/>
      <c r="GY10" s="169"/>
      <c r="GZ10" s="169"/>
      <c r="HA10" s="169"/>
      <c r="HB10" s="169"/>
      <c r="HC10" s="169"/>
      <c r="HD10" s="169"/>
      <c r="HE10" s="169"/>
      <c r="HF10" s="169"/>
      <c r="HG10" s="169"/>
      <c r="HH10" s="169"/>
      <c r="HI10" s="169"/>
      <c r="HJ10" s="169"/>
      <c r="HK10" s="169"/>
      <c r="HL10" s="169"/>
      <c r="HM10" s="169"/>
      <c r="HN10" s="169"/>
      <c r="HO10" s="169"/>
      <c r="HP10" s="169"/>
      <c r="HQ10" s="169"/>
      <c r="HR10" s="169"/>
      <c r="HS10" s="169"/>
      <c r="HT10" s="169"/>
      <c r="HU10" s="169"/>
      <c r="HV10" s="169"/>
      <c r="HW10" s="169"/>
      <c r="HX10" s="169"/>
      <c r="HY10" s="169"/>
      <c r="HZ10" s="169"/>
      <c r="IA10" s="169"/>
      <c r="IB10" s="169"/>
      <c r="IC10" s="169"/>
      <c r="ID10" s="169"/>
      <c r="IE10" s="169"/>
      <c r="IF10" s="169"/>
      <c r="IG10" s="169"/>
      <c r="IH10" s="169"/>
      <c r="II10" s="169"/>
      <c r="IJ10" s="169"/>
      <c r="IK10" s="169"/>
      <c r="IL10" s="169"/>
      <c r="IM10" s="169"/>
      <c r="IN10" s="169"/>
      <c r="IO10" s="169"/>
      <c r="IP10" s="169"/>
      <c r="IQ10" s="169"/>
      <c r="IR10" s="169"/>
      <c r="IS10" s="169"/>
      <c r="IT10" s="169"/>
      <c r="IU10" s="169"/>
      <c r="IV10" s="169"/>
      <c r="IW10" s="169"/>
      <c r="IX10" s="169"/>
    </row>
    <row r="11" spans="1:258" x14ac:dyDescent="0.25">
      <c r="A11" s="170" t="s">
        <v>25</v>
      </c>
      <c r="B11" s="170"/>
      <c r="C11" s="170" t="s">
        <v>7</v>
      </c>
      <c r="D11" s="170"/>
      <c r="E11" s="171" t="s">
        <v>1461</v>
      </c>
      <c r="F11" s="171"/>
      <c r="G11" s="169"/>
      <c r="H11" s="169"/>
      <c r="I11" s="169"/>
      <c r="J11" s="169"/>
      <c r="K11" s="169"/>
      <c r="L11" s="169"/>
      <c r="M11" s="169"/>
      <c r="N11" s="169"/>
      <c r="O11" s="169"/>
      <c r="P11" s="169"/>
      <c r="Q11" s="169"/>
      <c r="R11" s="169"/>
      <c r="S11" s="169"/>
      <c r="T11" s="169"/>
      <c r="U11" s="169"/>
      <c r="V11" s="169"/>
      <c r="W11" s="169"/>
      <c r="X11" s="169"/>
      <c r="Y11" s="169"/>
      <c r="Z11" s="169"/>
      <c r="AA11" s="169"/>
      <c r="AB11" s="169"/>
      <c r="AC11" s="169"/>
      <c r="AD11" s="169"/>
      <c r="AE11" s="169"/>
      <c r="AF11" s="169"/>
      <c r="AG11" s="169"/>
      <c r="AH11" s="169"/>
      <c r="AI11" s="169"/>
      <c r="AJ11" s="169"/>
      <c r="AK11" s="169"/>
      <c r="AL11" s="169"/>
      <c r="AM11" s="169"/>
      <c r="AN11" s="169"/>
      <c r="AO11" s="169"/>
      <c r="AP11" s="169"/>
      <c r="AQ11" s="169"/>
      <c r="AR11" s="169"/>
      <c r="AS11" s="169"/>
      <c r="AT11" s="169"/>
      <c r="AU11" s="169"/>
      <c r="AV11" s="169"/>
      <c r="AW11" s="169"/>
      <c r="AX11" s="169"/>
      <c r="AY11" s="169"/>
      <c r="AZ11" s="169"/>
      <c r="BA11" s="169"/>
      <c r="BB11" s="169"/>
      <c r="BC11" s="169"/>
      <c r="BD11" s="169"/>
      <c r="BE11" s="169"/>
      <c r="BF11" s="169"/>
      <c r="BG11" s="169"/>
      <c r="BH11" s="169"/>
      <c r="BI11" s="169"/>
      <c r="BJ11" s="169"/>
      <c r="BK11" s="169"/>
      <c r="BL11" s="169"/>
      <c r="BM11" s="169"/>
      <c r="BN11" s="169"/>
      <c r="BO11" s="169"/>
      <c r="BP11" s="169"/>
      <c r="BQ11" s="169"/>
      <c r="BR11" s="169"/>
      <c r="BS11" s="169"/>
      <c r="BT11" s="169"/>
      <c r="BU11" s="169"/>
      <c r="BV11" s="169"/>
      <c r="BW11" s="169"/>
      <c r="BX11" s="169"/>
      <c r="BY11" s="169"/>
      <c r="BZ11" s="169"/>
      <c r="CA11" s="169"/>
      <c r="CB11" s="169"/>
      <c r="CC11" s="169"/>
      <c r="CD11" s="169"/>
      <c r="CE11" s="169"/>
      <c r="CF11" s="169"/>
      <c r="CG11" s="169"/>
      <c r="CH11" s="169"/>
      <c r="CI11" s="169"/>
      <c r="CJ11" s="169"/>
      <c r="CK11" s="169"/>
      <c r="CL11" s="169"/>
      <c r="CM11" s="169"/>
      <c r="CN11" s="169"/>
      <c r="CO11" s="169"/>
      <c r="CP11" s="169"/>
      <c r="CQ11" s="169"/>
      <c r="CR11" s="169"/>
      <c r="CS11" s="169"/>
      <c r="CT11" s="169"/>
      <c r="CU11" s="169"/>
      <c r="CV11" s="169"/>
      <c r="CW11" s="169"/>
      <c r="CX11" s="169"/>
      <c r="CY11" s="169"/>
      <c r="CZ11" s="169"/>
      <c r="DA11" s="169"/>
      <c r="DB11" s="169"/>
      <c r="DC11" s="169"/>
      <c r="DD11" s="169"/>
      <c r="DE11" s="169"/>
      <c r="DF11" s="169"/>
      <c r="DG11" s="169"/>
      <c r="DH11" s="169"/>
      <c r="DI11" s="169"/>
      <c r="DJ11" s="169"/>
      <c r="DK11" s="169"/>
      <c r="DL11" s="169"/>
      <c r="DM11" s="169"/>
      <c r="DN11" s="169"/>
      <c r="DO11" s="169"/>
      <c r="DP11" s="169"/>
      <c r="DQ11" s="169"/>
      <c r="DR11" s="169"/>
      <c r="DS11" s="169"/>
      <c r="DT11" s="169"/>
      <c r="DU11" s="169"/>
      <c r="DV11" s="169"/>
      <c r="DW11" s="169"/>
      <c r="DX11" s="169"/>
      <c r="DY11" s="169"/>
      <c r="DZ11" s="169"/>
      <c r="EA11" s="169"/>
      <c r="EB11" s="169"/>
      <c r="EC11" s="169"/>
      <c r="ED11" s="169"/>
      <c r="EE11" s="169"/>
      <c r="EF11" s="169"/>
      <c r="EG11" s="169"/>
      <c r="EH11" s="169"/>
      <c r="EI11" s="169"/>
      <c r="EJ11" s="169"/>
      <c r="EK11" s="169"/>
      <c r="EL11" s="169"/>
      <c r="EM11" s="169"/>
      <c r="EN11" s="169"/>
      <c r="EO11" s="169"/>
      <c r="EP11" s="169"/>
      <c r="EQ11" s="169"/>
      <c r="ER11" s="169"/>
      <c r="ES11" s="169"/>
      <c r="ET11" s="169"/>
      <c r="EU11" s="169"/>
      <c r="EV11" s="169"/>
      <c r="EW11" s="169"/>
      <c r="EX11" s="169"/>
      <c r="EY11" s="169"/>
      <c r="EZ11" s="169"/>
      <c r="FA11" s="169"/>
      <c r="FB11" s="169"/>
      <c r="FC11" s="169"/>
      <c r="FD11" s="169"/>
      <c r="FE11" s="169"/>
      <c r="FF11" s="169"/>
      <c r="FG11" s="169"/>
      <c r="FH11" s="169"/>
      <c r="FI11" s="169"/>
      <c r="FJ11" s="169"/>
      <c r="FK11" s="169"/>
      <c r="FL11" s="169"/>
      <c r="FM11" s="169"/>
      <c r="FN11" s="169"/>
      <c r="FO11" s="169"/>
      <c r="FP11" s="169"/>
      <c r="FQ11" s="169"/>
      <c r="FR11" s="169"/>
      <c r="FS11" s="169"/>
      <c r="FT11" s="169"/>
      <c r="FU11" s="169"/>
      <c r="FV11" s="169"/>
      <c r="FW11" s="169"/>
      <c r="FX11" s="169"/>
      <c r="FY11" s="169"/>
      <c r="FZ11" s="169"/>
      <c r="GA11" s="169"/>
      <c r="GB11" s="169"/>
      <c r="GC11" s="169"/>
      <c r="GD11" s="169"/>
      <c r="GE11" s="169"/>
      <c r="GF11" s="169"/>
      <c r="GG11" s="169"/>
      <c r="GH11" s="169"/>
      <c r="GI11" s="169"/>
      <c r="GJ11" s="169"/>
      <c r="GK11" s="169"/>
      <c r="GL11" s="169"/>
      <c r="GM11" s="169"/>
      <c r="GN11" s="169"/>
      <c r="GO11" s="169"/>
      <c r="GP11" s="169"/>
      <c r="GQ11" s="169"/>
      <c r="GR11" s="169"/>
      <c r="GS11" s="169"/>
      <c r="GT11" s="169"/>
      <c r="GU11" s="169"/>
      <c r="GV11" s="169"/>
      <c r="GW11" s="169"/>
      <c r="GX11" s="169"/>
      <c r="GY11" s="169"/>
      <c r="GZ11" s="169"/>
      <c r="HA11" s="169"/>
      <c r="HB11" s="169"/>
      <c r="HC11" s="169"/>
      <c r="HD11" s="169"/>
      <c r="HE11" s="169"/>
      <c r="HF11" s="169"/>
      <c r="HG11" s="169"/>
      <c r="HH11" s="169"/>
      <c r="HI11" s="169"/>
      <c r="HJ11" s="169"/>
      <c r="HK11" s="169"/>
      <c r="HL11" s="169"/>
      <c r="HM11" s="169"/>
      <c r="HN11" s="169"/>
      <c r="HO11" s="169"/>
      <c r="HP11" s="169"/>
      <c r="HQ11" s="169"/>
      <c r="HR11" s="169"/>
      <c r="HS11" s="169"/>
      <c r="HT11" s="169"/>
      <c r="HU11" s="169"/>
      <c r="HV11" s="169"/>
      <c r="HW11" s="169"/>
      <c r="HX11" s="169"/>
      <c r="HY11" s="169"/>
      <c r="HZ11" s="169"/>
      <c r="IA11" s="169"/>
      <c r="IB11" s="169"/>
      <c r="IC11" s="169"/>
      <c r="ID11" s="169"/>
      <c r="IE11" s="169"/>
      <c r="IF11" s="169"/>
      <c r="IG11" s="169"/>
      <c r="IH11" s="169"/>
      <c r="II11" s="169"/>
      <c r="IJ11" s="169"/>
      <c r="IK11" s="169"/>
      <c r="IL11" s="169"/>
      <c r="IM11" s="169"/>
      <c r="IN11" s="169"/>
      <c r="IO11" s="169"/>
      <c r="IP11" s="169"/>
      <c r="IQ11" s="169"/>
      <c r="IR11" s="169"/>
      <c r="IS11" s="169"/>
      <c r="IT11" s="169"/>
      <c r="IU11" s="169"/>
      <c r="IV11" s="169"/>
      <c r="IW11" s="169"/>
      <c r="IX11" s="169"/>
    </row>
    <row r="12" spans="1:258" x14ac:dyDescent="0.25">
      <c r="A12" s="170" t="s">
        <v>3</v>
      </c>
      <c r="B12" s="170"/>
      <c r="C12" s="170" t="s">
        <v>7</v>
      </c>
      <c r="D12" s="170"/>
      <c r="E12" s="171" t="str">
        <f>CARAT_!$F$54</f>
        <v>MES DE DICIEMBRE DE 2022</v>
      </c>
      <c r="F12" s="171"/>
      <c r="G12" s="169"/>
      <c r="H12" s="169"/>
      <c r="I12" s="169"/>
      <c r="J12" s="169"/>
      <c r="K12" s="169"/>
      <c r="L12" s="169"/>
      <c r="M12" s="169"/>
      <c r="N12" s="169"/>
      <c r="O12" s="169"/>
      <c r="P12" s="169"/>
      <c r="Q12" s="169"/>
      <c r="R12" s="169"/>
      <c r="S12" s="169"/>
      <c r="T12" s="169"/>
      <c r="U12" s="169"/>
      <c r="V12" s="169"/>
      <c r="W12" s="169"/>
      <c r="X12" s="169"/>
      <c r="Y12" s="169"/>
      <c r="Z12" s="169"/>
      <c r="AA12" s="169"/>
      <c r="AB12" s="169"/>
      <c r="AC12" s="169"/>
      <c r="AD12" s="169"/>
      <c r="AE12" s="169"/>
      <c r="AF12" s="169"/>
      <c r="AG12" s="169"/>
      <c r="AH12" s="169"/>
      <c r="AI12" s="169"/>
      <c r="AJ12" s="169"/>
      <c r="AK12" s="169"/>
      <c r="AL12" s="169"/>
      <c r="AM12" s="169"/>
      <c r="AN12" s="169"/>
      <c r="AO12" s="169"/>
      <c r="AP12" s="169"/>
      <c r="AQ12" s="169"/>
      <c r="AR12" s="169"/>
      <c r="AS12" s="169"/>
      <c r="AT12" s="169"/>
      <c r="AU12" s="169"/>
      <c r="AV12" s="169"/>
      <c r="AW12" s="169"/>
      <c r="AX12" s="169"/>
      <c r="AY12" s="169"/>
      <c r="AZ12" s="169"/>
      <c r="BA12" s="169"/>
      <c r="BB12" s="169"/>
      <c r="BC12" s="169"/>
      <c r="BD12" s="169"/>
      <c r="BE12" s="169"/>
      <c r="BF12" s="169"/>
      <c r="BG12" s="169"/>
      <c r="BH12" s="169"/>
      <c r="BI12" s="169"/>
      <c r="BJ12" s="169"/>
      <c r="BK12" s="169"/>
      <c r="BL12" s="169"/>
      <c r="BM12" s="169"/>
      <c r="BN12" s="169"/>
      <c r="BO12" s="169"/>
      <c r="BP12" s="169"/>
      <c r="BQ12" s="169"/>
      <c r="BR12" s="169"/>
      <c r="BS12" s="169"/>
      <c r="BT12" s="169"/>
      <c r="BU12" s="169"/>
      <c r="BV12" s="169"/>
      <c r="BW12" s="169"/>
      <c r="BX12" s="169"/>
      <c r="BY12" s="169"/>
      <c r="BZ12" s="169"/>
      <c r="CA12" s="169"/>
      <c r="CB12" s="169"/>
      <c r="CC12" s="169"/>
      <c r="CD12" s="169"/>
      <c r="CE12" s="169"/>
      <c r="CF12" s="169"/>
      <c r="CG12" s="169"/>
      <c r="CH12" s="169"/>
      <c r="CI12" s="169"/>
      <c r="CJ12" s="169"/>
      <c r="CK12" s="169"/>
      <c r="CL12" s="169"/>
      <c r="CM12" s="169"/>
      <c r="CN12" s="169"/>
      <c r="CO12" s="169"/>
      <c r="CP12" s="169"/>
      <c r="CQ12" s="169"/>
      <c r="CR12" s="169"/>
      <c r="CS12" s="169"/>
      <c r="CT12" s="169"/>
      <c r="CU12" s="169"/>
      <c r="CV12" s="169"/>
      <c r="CW12" s="169"/>
      <c r="CX12" s="169"/>
      <c r="CY12" s="169"/>
      <c r="CZ12" s="169"/>
      <c r="DA12" s="169"/>
      <c r="DB12" s="169"/>
      <c r="DC12" s="169"/>
      <c r="DD12" s="169"/>
      <c r="DE12" s="169"/>
      <c r="DF12" s="169"/>
      <c r="DG12" s="169"/>
      <c r="DH12" s="169"/>
      <c r="DI12" s="169"/>
      <c r="DJ12" s="169"/>
      <c r="DK12" s="169"/>
      <c r="DL12" s="169"/>
      <c r="DM12" s="169"/>
      <c r="DN12" s="169"/>
      <c r="DO12" s="169"/>
      <c r="DP12" s="169"/>
      <c r="DQ12" s="169"/>
      <c r="DR12" s="169"/>
      <c r="DS12" s="169"/>
      <c r="DT12" s="169"/>
      <c r="DU12" s="169"/>
      <c r="DV12" s="169"/>
      <c r="DW12" s="169"/>
      <c r="DX12" s="169"/>
      <c r="DY12" s="169"/>
      <c r="DZ12" s="169"/>
      <c r="EA12" s="169"/>
      <c r="EB12" s="169"/>
      <c r="EC12" s="169"/>
      <c r="ED12" s="169"/>
      <c r="EE12" s="169"/>
      <c r="EF12" s="169"/>
      <c r="EG12" s="169"/>
      <c r="EH12" s="169"/>
      <c r="EI12" s="169"/>
      <c r="EJ12" s="169"/>
      <c r="EK12" s="169"/>
      <c r="EL12" s="169"/>
      <c r="EM12" s="169"/>
      <c r="EN12" s="169"/>
      <c r="EO12" s="169"/>
      <c r="EP12" s="169"/>
      <c r="EQ12" s="169"/>
      <c r="ER12" s="169"/>
      <c r="ES12" s="169"/>
      <c r="ET12" s="169"/>
      <c r="EU12" s="169"/>
      <c r="EV12" s="169"/>
      <c r="EW12" s="169"/>
      <c r="EX12" s="169"/>
      <c r="EY12" s="169"/>
      <c r="EZ12" s="169"/>
      <c r="FA12" s="169"/>
      <c r="FB12" s="169"/>
      <c r="FC12" s="169"/>
      <c r="FD12" s="169"/>
      <c r="FE12" s="169"/>
      <c r="FF12" s="169"/>
      <c r="FG12" s="169"/>
      <c r="FH12" s="169"/>
      <c r="FI12" s="169"/>
      <c r="FJ12" s="169"/>
      <c r="FK12" s="169"/>
      <c r="FL12" s="169"/>
      <c r="FM12" s="169"/>
      <c r="FN12" s="169"/>
      <c r="FO12" s="169"/>
      <c r="FP12" s="169"/>
      <c r="FQ12" s="169"/>
      <c r="FR12" s="169"/>
      <c r="FS12" s="169"/>
      <c r="FT12" s="169"/>
      <c r="FU12" s="169"/>
      <c r="FV12" s="169"/>
      <c r="FW12" s="169"/>
      <c r="FX12" s="169"/>
      <c r="FY12" s="169"/>
      <c r="FZ12" s="169"/>
      <c r="GA12" s="169"/>
      <c r="GB12" s="169"/>
      <c r="GC12" s="169"/>
      <c r="GD12" s="169"/>
      <c r="GE12" s="169"/>
      <c r="GF12" s="169"/>
      <c r="GG12" s="169"/>
      <c r="GH12" s="169"/>
      <c r="GI12" s="169"/>
      <c r="GJ12" s="169"/>
      <c r="GK12" s="169"/>
      <c r="GL12" s="169"/>
      <c r="GM12" s="169"/>
      <c r="GN12" s="169"/>
      <c r="GO12" s="169"/>
      <c r="GP12" s="169"/>
      <c r="GQ12" s="169"/>
      <c r="GR12" s="169"/>
      <c r="GS12" s="169"/>
      <c r="GT12" s="169"/>
      <c r="GU12" s="169"/>
      <c r="GV12" s="169"/>
      <c r="GW12" s="169"/>
      <c r="GX12" s="169"/>
      <c r="GY12" s="169"/>
      <c r="GZ12" s="169"/>
      <c r="HA12" s="169"/>
      <c r="HB12" s="169"/>
      <c r="HC12" s="169"/>
      <c r="HD12" s="169"/>
      <c r="HE12" s="169"/>
      <c r="HF12" s="169"/>
      <c r="HG12" s="169"/>
      <c r="HH12" s="169"/>
      <c r="HI12" s="169"/>
      <c r="HJ12" s="169"/>
      <c r="HK12" s="169"/>
      <c r="HL12" s="169"/>
      <c r="HM12" s="169"/>
      <c r="HN12" s="169"/>
      <c r="HO12" s="169"/>
      <c r="HP12" s="169"/>
      <c r="HQ12" s="169"/>
      <c r="HR12" s="169"/>
      <c r="HS12" s="169"/>
      <c r="HT12" s="169"/>
      <c r="HU12" s="169"/>
      <c r="HV12" s="169"/>
      <c r="HW12" s="169"/>
      <c r="HX12" s="169"/>
      <c r="HY12" s="169"/>
      <c r="HZ12" s="169"/>
      <c r="IA12" s="169"/>
      <c r="IB12" s="169"/>
      <c r="IC12" s="169"/>
      <c r="ID12" s="169"/>
      <c r="IE12" s="169"/>
      <c r="IF12" s="169"/>
      <c r="IG12" s="169"/>
      <c r="IH12" s="169"/>
      <c r="II12" s="169"/>
      <c r="IJ12" s="169"/>
      <c r="IK12" s="169"/>
      <c r="IL12" s="169"/>
      <c r="IM12" s="169"/>
      <c r="IN12" s="169"/>
      <c r="IO12" s="169"/>
      <c r="IP12" s="169"/>
      <c r="IQ12" s="169"/>
      <c r="IR12" s="169"/>
      <c r="IS12" s="169"/>
      <c r="IT12" s="169"/>
      <c r="IU12" s="169"/>
      <c r="IV12" s="169"/>
      <c r="IW12" s="169"/>
      <c r="IX12" s="169"/>
    </row>
    <row r="13" spans="1:258" s="169" customFormat="1" ht="13.8" thickBot="1" x14ac:dyDescent="0.3"/>
    <row r="14" spans="1:258" x14ac:dyDescent="0.25">
      <c r="A14" s="310"/>
      <c r="B14" s="311"/>
      <c r="C14" s="2278" t="s">
        <v>21</v>
      </c>
      <c r="D14" s="2278"/>
      <c r="E14" s="2278"/>
      <c r="F14" s="1360"/>
      <c r="G14" s="311"/>
      <c r="H14" s="2291" t="s">
        <v>1452</v>
      </c>
      <c r="I14" s="2292"/>
      <c r="J14" s="2292"/>
      <c r="K14" s="2292"/>
      <c r="L14" s="1313"/>
      <c r="M14" s="2293" t="s">
        <v>1455</v>
      </c>
      <c r="N14" s="2294"/>
      <c r="O14" s="2281" t="s">
        <v>1453</v>
      </c>
      <c r="P14" s="169"/>
      <c r="Q14" s="169"/>
      <c r="R14" s="169"/>
      <c r="S14" s="169"/>
      <c r="T14" s="169"/>
      <c r="U14" s="169"/>
      <c r="V14" s="169"/>
      <c r="W14" s="169"/>
      <c r="X14" s="169"/>
      <c r="Y14" s="169"/>
      <c r="Z14" s="169"/>
      <c r="AA14" s="169"/>
      <c r="AB14" s="169"/>
      <c r="AC14" s="169"/>
      <c r="AD14" s="169"/>
      <c r="AE14" s="169"/>
      <c r="AF14" s="169"/>
      <c r="AG14" s="169"/>
      <c r="AH14" s="169"/>
      <c r="AI14" s="169"/>
      <c r="AJ14" s="169"/>
      <c r="AK14" s="169"/>
      <c r="AL14" s="169"/>
      <c r="AM14" s="169"/>
      <c r="AN14" s="169"/>
      <c r="AO14" s="169"/>
      <c r="AP14" s="169"/>
      <c r="AQ14" s="169"/>
      <c r="AR14" s="169"/>
      <c r="AS14" s="169"/>
      <c r="AT14" s="169"/>
      <c r="AU14" s="169"/>
      <c r="AV14" s="169"/>
      <c r="AW14" s="169"/>
      <c r="AX14" s="169"/>
      <c r="AY14" s="169"/>
      <c r="AZ14" s="169"/>
      <c r="BA14" s="169"/>
      <c r="BB14" s="169"/>
      <c r="BC14" s="169"/>
      <c r="BD14" s="169"/>
      <c r="BE14" s="169"/>
      <c r="BF14" s="169"/>
      <c r="BG14" s="169"/>
      <c r="BH14" s="169"/>
      <c r="BI14" s="169"/>
      <c r="BJ14" s="169"/>
      <c r="BK14" s="169"/>
      <c r="BL14" s="169"/>
      <c r="BM14" s="169"/>
      <c r="BN14" s="169"/>
      <c r="BO14" s="169"/>
      <c r="BP14" s="169"/>
      <c r="BQ14" s="169"/>
      <c r="BR14" s="169"/>
      <c r="BS14" s="169"/>
      <c r="BT14" s="169"/>
      <c r="BU14" s="169"/>
      <c r="BV14" s="169"/>
      <c r="BW14" s="169"/>
      <c r="BX14" s="169"/>
      <c r="BY14" s="169"/>
      <c r="BZ14" s="169"/>
      <c r="CA14" s="169"/>
      <c r="CB14" s="169"/>
      <c r="CC14" s="169"/>
      <c r="CD14" s="169"/>
      <c r="CE14" s="169"/>
      <c r="CF14" s="169"/>
      <c r="CG14" s="169"/>
      <c r="CH14" s="169"/>
      <c r="CI14" s="169"/>
      <c r="CJ14" s="169"/>
      <c r="CK14" s="169"/>
      <c r="CL14" s="169"/>
      <c r="CM14" s="169"/>
      <c r="CN14" s="169"/>
      <c r="CO14" s="169"/>
      <c r="CP14" s="169"/>
      <c r="CQ14" s="169"/>
      <c r="CR14" s="169"/>
      <c r="CS14" s="169"/>
      <c r="CT14" s="169"/>
      <c r="CU14" s="169"/>
      <c r="CV14" s="169"/>
      <c r="CW14" s="169"/>
      <c r="CX14" s="169"/>
      <c r="CY14" s="169"/>
      <c r="CZ14" s="169"/>
      <c r="DA14" s="169"/>
      <c r="DB14" s="169"/>
      <c r="DC14" s="169"/>
      <c r="DD14" s="169"/>
      <c r="DE14" s="169"/>
      <c r="DF14" s="169"/>
      <c r="DG14" s="169"/>
      <c r="DH14" s="169"/>
      <c r="DI14" s="169"/>
      <c r="DJ14" s="169"/>
      <c r="DK14" s="169"/>
      <c r="DL14" s="169"/>
      <c r="DM14" s="169"/>
      <c r="DN14" s="169"/>
      <c r="DO14" s="169"/>
      <c r="DP14" s="169"/>
      <c r="DQ14" s="169"/>
      <c r="DR14" s="169"/>
      <c r="DS14" s="169"/>
      <c r="DT14" s="169"/>
      <c r="DU14" s="169"/>
      <c r="DV14" s="169"/>
      <c r="DW14" s="169"/>
      <c r="DX14" s="169"/>
      <c r="DY14" s="169"/>
      <c r="DZ14" s="169"/>
      <c r="EA14" s="169"/>
      <c r="EB14" s="169"/>
      <c r="EC14" s="169"/>
      <c r="ED14" s="169"/>
      <c r="EE14" s="169"/>
      <c r="EF14" s="169"/>
      <c r="EG14" s="169"/>
      <c r="EH14" s="169"/>
      <c r="EI14" s="169"/>
      <c r="EJ14" s="169"/>
      <c r="EK14" s="169"/>
      <c r="EL14" s="169"/>
      <c r="EM14" s="169"/>
      <c r="EN14" s="169"/>
      <c r="EO14" s="169"/>
      <c r="EP14" s="169"/>
      <c r="EQ14" s="169"/>
      <c r="ER14" s="169"/>
      <c r="ES14" s="169"/>
      <c r="ET14" s="169"/>
      <c r="EU14" s="169"/>
      <c r="EV14" s="169"/>
      <c r="EW14" s="169"/>
      <c r="EX14" s="169"/>
      <c r="EY14" s="169"/>
      <c r="EZ14" s="169"/>
      <c r="FA14" s="169"/>
      <c r="FB14" s="169"/>
      <c r="FC14" s="169"/>
      <c r="FD14" s="169"/>
      <c r="FE14" s="169"/>
      <c r="FF14" s="169"/>
      <c r="FG14" s="169"/>
      <c r="FH14" s="169"/>
      <c r="FI14" s="169"/>
      <c r="FJ14" s="169"/>
      <c r="FK14" s="169"/>
      <c r="FL14" s="169"/>
      <c r="FM14" s="169"/>
      <c r="FN14" s="169"/>
      <c r="FO14" s="169"/>
      <c r="FP14" s="169"/>
      <c r="FQ14" s="169"/>
      <c r="FR14" s="169"/>
      <c r="FS14" s="169"/>
      <c r="FT14" s="169"/>
      <c r="FU14" s="169"/>
      <c r="FV14" s="169"/>
      <c r="FW14" s="169"/>
      <c r="FX14" s="169"/>
      <c r="FY14" s="169"/>
      <c r="FZ14" s="169"/>
      <c r="GA14" s="169"/>
      <c r="GB14" s="169"/>
      <c r="GC14" s="169"/>
      <c r="GD14" s="169"/>
      <c r="GE14" s="169"/>
      <c r="GF14" s="169"/>
      <c r="GG14" s="169"/>
      <c r="GH14" s="169"/>
      <c r="GI14" s="169"/>
      <c r="GJ14" s="169"/>
      <c r="GK14" s="169"/>
      <c r="GL14" s="169"/>
      <c r="GM14" s="169"/>
      <c r="GN14" s="169"/>
      <c r="GO14" s="169"/>
      <c r="GP14" s="169"/>
      <c r="GQ14" s="169"/>
      <c r="GR14" s="169"/>
      <c r="GS14" s="169"/>
      <c r="GT14" s="169"/>
      <c r="GU14" s="169"/>
      <c r="GV14" s="169"/>
      <c r="GW14" s="169"/>
      <c r="GX14" s="169"/>
      <c r="GY14" s="169"/>
      <c r="GZ14" s="169"/>
      <c r="HA14" s="169"/>
      <c r="HB14" s="169"/>
      <c r="HC14" s="169"/>
      <c r="HD14" s="169"/>
      <c r="HE14" s="169"/>
      <c r="HF14" s="169"/>
      <c r="HG14" s="169"/>
      <c r="HH14" s="169"/>
      <c r="HI14" s="169"/>
      <c r="HJ14" s="169"/>
      <c r="HK14" s="169"/>
      <c r="HL14" s="169"/>
      <c r="HM14" s="169"/>
      <c r="HN14" s="169"/>
      <c r="HO14" s="169"/>
      <c r="HP14" s="169"/>
      <c r="HQ14" s="169"/>
      <c r="HR14" s="169"/>
      <c r="HS14" s="169"/>
      <c r="HT14" s="169"/>
      <c r="HU14" s="169"/>
      <c r="HV14" s="169"/>
      <c r="HW14" s="169"/>
      <c r="HX14" s="169"/>
      <c r="HY14" s="169"/>
      <c r="HZ14" s="169"/>
      <c r="IA14" s="169"/>
      <c r="IB14" s="169"/>
      <c r="IC14" s="169"/>
      <c r="ID14" s="169"/>
      <c r="IE14" s="169"/>
      <c r="IF14" s="169"/>
      <c r="IG14" s="169"/>
      <c r="IH14" s="169"/>
      <c r="II14" s="169"/>
      <c r="IJ14" s="169"/>
      <c r="IK14" s="169"/>
      <c r="IL14" s="169"/>
      <c r="IM14" s="169"/>
      <c r="IN14" s="169"/>
      <c r="IO14" s="169"/>
      <c r="IP14" s="169"/>
      <c r="IQ14" s="169"/>
      <c r="IR14" s="169"/>
      <c r="IS14" s="169"/>
      <c r="IT14" s="169"/>
      <c r="IU14" s="169"/>
      <c r="IV14" s="169"/>
      <c r="IW14" s="169"/>
      <c r="IX14" s="169"/>
    </row>
    <row r="15" spans="1:258" x14ac:dyDescent="0.25">
      <c r="A15" s="314" t="s">
        <v>43</v>
      </c>
      <c r="B15" s="315" t="s">
        <v>44</v>
      </c>
      <c r="C15" s="2284" t="s">
        <v>1446</v>
      </c>
      <c r="D15" s="2285"/>
      <c r="E15" s="2286" t="s">
        <v>1449</v>
      </c>
      <c r="F15" s="2287"/>
      <c r="G15" s="315" t="s">
        <v>68</v>
      </c>
      <c r="H15" s="2288" t="s">
        <v>23</v>
      </c>
      <c r="I15" s="2289"/>
      <c r="J15" s="2290" t="s">
        <v>24</v>
      </c>
      <c r="K15" s="2290"/>
      <c r="L15" s="1364" t="s">
        <v>1666</v>
      </c>
      <c r="M15" s="1364" t="s">
        <v>1447</v>
      </c>
      <c r="N15" s="1587" t="s">
        <v>1448</v>
      </c>
      <c r="O15" s="2282"/>
      <c r="P15" s="169"/>
      <c r="Q15" s="169"/>
      <c r="R15" s="169"/>
      <c r="S15" s="169"/>
      <c r="T15" s="169"/>
      <c r="U15" s="169"/>
      <c r="V15" s="169"/>
      <c r="W15" s="169"/>
      <c r="X15" s="169"/>
      <c r="Y15" s="169"/>
      <c r="Z15" s="169"/>
      <c r="AA15" s="169"/>
      <c r="AB15" s="169"/>
      <c r="AC15" s="169"/>
      <c r="AD15" s="169"/>
      <c r="AE15" s="169"/>
      <c r="AF15" s="169"/>
      <c r="AG15" s="169"/>
      <c r="AH15" s="169"/>
      <c r="AI15" s="169"/>
      <c r="AJ15" s="169"/>
      <c r="AK15" s="169"/>
      <c r="AL15" s="169"/>
      <c r="AM15" s="169"/>
      <c r="AN15" s="169"/>
      <c r="AO15" s="169"/>
      <c r="AP15" s="169"/>
      <c r="AQ15" s="169"/>
      <c r="AR15" s="169"/>
      <c r="AS15" s="169"/>
      <c r="AT15" s="169"/>
      <c r="AU15" s="169"/>
      <c r="AV15" s="169"/>
      <c r="AW15" s="169"/>
      <c r="AX15" s="169"/>
      <c r="AY15" s="169"/>
      <c r="AZ15" s="169"/>
      <c r="BA15" s="169"/>
      <c r="BB15" s="169"/>
      <c r="BC15" s="169"/>
      <c r="BD15" s="169"/>
      <c r="BE15" s="169"/>
      <c r="BF15" s="169"/>
      <c r="BG15" s="169"/>
      <c r="BH15" s="169"/>
      <c r="BI15" s="169"/>
      <c r="BJ15" s="169"/>
      <c r="BK15" s="169"/>
      <c r="BL15" s="169"/>
      <c r="BM15" s="169"/>
      <c r="BN15" s="169"/>
      <c r="BO15" s="169"/>
      <c r="BP15" s="169"/>
      <c r="BQ15" s="169"/>
      <c r="BR15" s="169"/>
      <c r="BS15" s="169"/>
      <c r="BT15" s="169"/>
      <c r="BU15" s="169"/>
      <c r="BV15" s="169"/>
      <c r="BW15" s="169"/>
      <c r="BX15" s="169"/>
      <c r="BY15" s="169"/>
      <c r="BZ15" s="169"/>
      <c r="CA15" s="169"/>
      <c r="CB15" s="169"/>
      <c r="CC15" s="169"/>
      <c r="CD15" s="169"/>
      <c r="CE15" s="169"/>
      <c r="CF15" s="169"/>
      <c r="CG15" s="169"/>
      <c r="CH15" s="169"/>
      <c r="CI15" s="169"/>
      <c r="CJ15" s="169"/>
      <c r="CK15" s="169"/>
      <c r="CL15" s="169"/>
      <c r="CM15" s="169"/>
      <c r="CN15" s="169"/>
      <c r="CO15" s="169"/>
      <c r="CP15" s="169"/>
      <c r="CQ15" s="169"/>
      <c r="CR15" s="169"/>
      <c r="CS15" s="169"/>
      <c r="CT15" s="169"/>
      <c r="CU15" s="169"/>
      <c r="CV15" s="169"/>
      <c r="CW15" s="169"/>
      <c r="CX15" s="169"/>
      <c r="CY15" s="169"/>
      <c r="CZ15" s="169"/>
      <c r="DA15" s="169"/>
      <c r="DB15" s="169"/>
      <c r="DC15" s="169"/>
      <c r="DD15" s="169"/>
      <c r="DE15" s="169"/>
      <c r="DF15" s="169"/>
      <c r="DG15" s="169"/>
      <c r="DH15" s="169"/>
      <c r="DI15" s="169"/>
      <c r="DJ15" s="169"/>
      <c r="DK15" s="169"/>
      <c r="DL15" s="169"/>
      <c r="DM15" s="169"/>
      <c r="DN15" s="169"/>
      <c r="DO15" s="169"/>
      <c r="DP15" s="169"/>
      <c r="DQ15" s="169"/>
      <c r="DR15" s="169"/>
      <c r="DS15" s="169"/>
      <c r="DT15" s="169"/>
      <c r="DU15" s="169"/>
      <c r="DV15" s="169"/>
      <c r="DW15" s="169"/>
      <c r="DX15" s="169"/>
      <c r="DY15" s="169"/>
      <c r="DZ15" s="169"/>
      <c r="EA15" s="169"/>
      <c r="EB15" s="169"/>
      <c r="EC15" s="169"/>
      <c r="ED15" s="169"/>
      <c r="EE15" s="169"/>
      <c r="EF15" s="169"/>
      <c r="EG15" s="169"/>
      <c r="EH15" s="169"/>
      <c r="EI15" s="169"/>
      <c r="EJ15" s="169"/>
      <c r="EK15" s="169"/>
      <c r="EL15" s="169"/>
      <c r="EM15" s="169"/>
      <c r="EN15" s="169"/>
      <c r="EO15" s="169"/>
      <c r="EP15" s="169"/>
      <c r="EQ15" s="169"/>
      <c r="ER15" s="169"/>
      <c r="ES15" s="169"/>
      <c r="ET15" s="169"/>
      <c r="EU15" s="169"/>
      <c r="EV15" s="169"/>
      <c r="EW15" s="169"/>
      <c r="EX15" s="169"/>
      <c r="EY15" s="169"/>
      <c r="EZ15" s="169"/>
      <c r="FA15" s="169"/>
      <c r="FB15" s="169"/>
      <c r="FC15" s="169"/>
      <c r="FD15" s="169"/>
      <c r="FE15" s="169"/>
      <c r="FF15" s="169"/>
      <c r="FG15" s="169"/>
      <c r="FH15" s="169"/>
      <c r="FI15" s="169"/>
      <c r="FJ15" s="169"/>
      <c r="FK15" s="169"/>
      <c r="FL15" s="169"/>
      <c r="FM15" s="169"/>
      <c r="FN15" s="169"/>
      <c r="FO15" s="169"/>
      <c r="FP15" s="169"/>
      <c r="FQ15" s="169"/>
      <c r="FR15" s="169"/>
      <c r="FS15" s="169"/>
      <c r="FT15" s="169"/>
      <c r="FU15" s="169"/>
      <c r="FV15" s="169"/>
      <c r="FW15" s="169"/>
      <c r="FX15" s="169"/>
      <c r="FY15" s="169"/>
      <c r="FZ15" s="169"/>
      <c r="GA15" s="169"/>
      <c r="GB15" s="169"/>
      <c r="GC15" s="169"/>
      <c r="GD15" s="169"/>
      <c r="GE15" s="169"/>
      <c r="GF15" s="169"/>
      <c r="GG15" s="169"/>
      <c r="GH15" s="169"/>
      <c r="GI15" s="169"/>
      <c r="GJ15" s="169"/>
      <c r="GK15" s="169"/>
      <c r="GL15" s="169"/>
      <c r="GM15" s="169"/>
      <c r="GN15" s="169"/>
      <c r="GO15" s="169"/>
      <c r="GP15" s="169"/>
      <c r="GQ15" s="169"/>
      <c r="GR15" s="169"/>
      <c r="GS15" s="169"/>
      <c r="GT15" s="169"/>
      <c r="GU15" s="169"/>
      <c r="GV15" s="169"/>
      <c r="GW15" s="169"/>
      <c r="GX15" s="169"/>
      <c r="GY15" s="169"/>
      <c r="GZ15" s="169"/>
      <c r="HA15" s="169"/>
      <c r="HB15" s="169"/>
      <c r="HC15" s="169"/>
      <c r="HD15" s="169"/>
      <c r="HE15" s="169"/>
      <c r="HF15" s="169"/>
      <c r="HG15" s="169"/>
      <c r="HH15" s="169"/>
      <c r="HI15" s="169"/>
      <c r="HJ15" s="169"/>
      <c r="HK15" s="169"/>
      <c r="HL15" s="169"/>
      <c r="HM15" s="169"/>
      <c r="HN15" s="169"/>
      <c r="HO15" s="169"/>
      <c r="HP15" s="169"/>
      <c r="HQ15" s="169"/>
      <c r="HR15" s="169"/>
      <c r="HS15" s="169"/>
      <c r="HT15" s="169"/>
      <c r="HU15" s="169"/>
      <c r="HV15" s="169"/>
      <c r="HW15" s="169"/>
      <c r="HX15" s="169"/>
      <c r="HY15" s="169"/>
      <c r="HZ15" s="169"/>
      <c r="IA15" s="169"/>
      <c r="IB15" s="169"/>
      <c r="IC15" s="169"/>
      <c r="ID15" s="169"/>
      <c r="IE15" s="169"/>
      <c r="IF15" s="169"/>
      <c r="IG15" s="169"/>
      <c r="IH15" s="169"/>
      <c r="II15" s="169"/>
      <c r="IJ15" s="169"/>
      <c r="IK15" s="169"/>
      <c r="IL15" s="169"/>
      <c r="IM15" s="169"/>
      <c r="IN15" s="169"/>
      <c r="IO15" s="169"/>
      <c r="IP15" s="169"/>
      <c r="IQ15" s="169"/>
      <c r="IR15" s="169"/>
      <c r="IS15" s="169"/>
      <c r="IT15" s="169"/>
      <c r="IU15" s="169"/>
      <c r="IV15" s="169"/>
      <c r="IW15" s="169"/>
      <c r="IX15" s="169"/>
    </row>
    <row r="16" spans="1:258" ht="13.8" thickBot="1" x14ac:dyDescent="0.3">
      <c r="A16" s="319"/>
      <c r="B16" s="320"/>
      <c r="C16" s="321" t="s">
        <v>1450</v>
      </c>
      <c r="D16" s="321" t="s">
        <v>1451</v>
      </c>
      <c r="E16" s="322" t="s">
        <v>1450</v>
      </c>
      <c r="F16" s="322" t="s">
        <v>1451</v>
      </c>
      <c r="G16" s="1361"/>
      <c r="H16" s="1465" t="s">
        <v>1447</v>
      </c>
      <c r="I16" s="1466" t="s">
        <v>1448</v>
      </c>
      <c r="J16" s="1465" t="s">
        <v>1447</v>
      </c>
      <c r="K16" s="1465" t="s">
        <v>1448</v>
      </c>
      <c r="L16" s="1467" t="s">
        <v>1667</v>
      </c>
      <c r="M16" s="1467"/>
      <c r="N16" s="1588"/>
      <c r="O16" s="2283"/>
      <c r="P16" s="169"/>
      <c r="Q16" s="169"/>
      <c r="R16" s="169"/>
      <c r="S16" s="169"/>
      <c r="T16" s="169"/>
      <c r="U16" s="169"/>
      <c r="V16" s="169"/>
      <c r="W16" s="169"/>
      <c r="X16" s="169"/>
      <c r="Y16" s="169"/>
      <c r="Z16" s="169"/>
      <c r="AA16" s="169"/>
      <c r="AB16" s="169"/>
      <c r="AC16" s="169"/>
      <c r="AD16" s="169"/>
      <c r="AE16" s="169"/>
      <c r="AF16" s="169"/>
      <c r="AG16" s="169"/>
      <c r="AH16" s="169"/>
      <c r="AI16" s="169"/>
      <c r="AJ16" s="169"/>
      <c r="AK16" s="169"/>
      <c r="AL16" s="169"/>
      <c r="AM16" s="169"/>
      <c r="AN16" s="169"/>
      <c r="AO16" s="169"/>
      <c r="AP16" s="169"/>
      <c r="AQ16" s="169"/>
      <c r="AR16" s="169"/>
      <c r="AS16" s="169"/>
      <c r="AT16" s="169"/>
      <c r="AU16" s="169"/>
      <c r="AV16" s="169"/>
      <c r="AW16" s="169"/>
      <c r="AX16" s="169"/>
      <c r="AY16" s="169"/>
      <c r="AZ16" s="169"/>
      <c r="BA16" s="169"/>
      <c r="BB16" s="169"/>
      <c r="BC16" s="169"/>
      <c r="BD16" s="169"/>
      <c r="BE16" s="169"/>
      <c r="BF16" s="169"/>
      <c r="BG16" s="169"/>
      <c r="BH16" s="169"/>
      <c r="BI16" s="169"/>
      <c r="BJ16" s="169"/>
      <c r="BK16" s="169"/>
      <c r="BL16" s="169"/>
      <c r="BM16" s="169"/>
      <c r="BN16" s="169"/>
      <c r="BO16" s="169"/>
      <c r="BP16" s="169"/>
      <c r="BQ16" s="169"/>
      <c r="BR16" s="169"/>
      <c r="BS16" s="169"/>
      <c r="BT16" s="169"/>
      <c r="BU16" s="169"/>
      <c r="BV16" s="169"/>
      <c r="BW16" s="169"/>
      <c r="BX16" s="169"/>
      <c r="BY16" s="169"/>
      <c r="BZ16" s="169"/>
      <c r="CA16" s="169"/>
      <c r="CB16" s="169"/>
      <c r="CC16" s="169"/>
      <c r="CD16" s="169"/>
      <c r="CE16" s="169"/>
      <c r="CF16" s="169"/>
      <c r="CG16" s="169"/>
      <c r="CH16" s="169"/>
      <c r="CI16" s="169"/>
      <c r="CJ16" s="169"/>
      <c r="CK16" s="169"/>
      <c r="CL16" s="169"/>
      <c r="CM16" s="169"/>
      <c r="CN16" s="169"/>
      <c r="CO16" s="169"/>
      <c r="CP16" s="169"/>
      <c r="CQ16" s="169"/>
      <c r="CR16" s="169"/>
      <c r="CS16" s="169"/>
      <c r="CT16" s="169"/>
      <c r="CU16" s="169"/>
      <c r="CV16" s="169"/>
      <c r="CW16" s="169"/>
      <c r="CX16" s="169"/>
      <c r="CY16" s="169"/>
      <c r="CZ16" s="169"/>
      <c r="DA16" s="169"/>
      <c r="DB16" s="169"/>
      <c r="DC16" s="169"/>
      <c r="DD16" s="169"/>
      <c r="DE16" s="169"/>
      <c r="DF16" s="169"/>
      <c r="DG16" s="169"/>
      <c r="DH16" s="169"/>
      <c r="DI16" s="169"/>
      <c r="DJ16" s="169"/>
      <c r="DK16" s="169"/>
      <c r="DL16" s="169"/>
      <c r="DM16" s="169"/>
      <c r="DN16" s="169"/>
      <c r="DO16" s="169"/>
      <c r="DP16" s="169"/>
      <c r="DQ16" s="169"/>
      <c r="DR16" s="169"/>
      <c r="DS16" s="169"/>
      <c r="DT16" s="169"/>
      <c r="DU16" s="169"/>
      <c r="DV16" s="169"/>
      <c r="DW16" s="169"/>
      <c r="DX16" s="169"/>
      <c r="DY16" s="169"/>
      <c r="DZ16" s="169"/>
      <c r="EA16" s="169"/>
      <c r="EB16" s="169"/>
      <c r="EC16" s="169"/>
      <c r="ED16" s="169"/>
      <c r="EE16" s="169"/>
      <c r="EF16" s="169"/>
      <c r="EG16" s="169"/>
      <c r="EH16" s="169"/>
      <c r="EI16" s="169"/>
      <c r="EJ16" s="169"/>
      <c r="EK16" s="169"/>
      <c r="EL16" s="169"/>
      <c r="EM16" s="169"/>
      <c r="EN16" s="169"/>
      <c r="EO16" s="169"/>
      <c r="EP16" s="169"/>
      <c r="EQ16" s="169"/>
      <c r="ER16" s="169"/>
      <c r="ES16" s="169"/>
      <c r="ET16" s="169"/>
      <c r="EU16" s="169"/>
      <c r="EV16" s="169"/>
      <c r="EW16" s="169"/>
      <c r="EX16" s="169"/>
      <c r="EY16" s="169"/>
      <c r="EZ16" s="169"/>
      <c r="FA16" s="169"/>
      <c r="FB16" s="169"/>
      <c r="FC16" s="169"/>
      <c r="FD16" s="169"/>
      <c r="FE16" s="169"/>
      <c r="FF16" s="169"/>
      <c r="FG16" s="169"/>
      <c r="FH16" s="169"/>
      <c r="FI16" s="169"/>
      <c r="FJ16" s="169"/>
      <c r="FK16" s="169"/>
      <c r="FL16" s="169"/>
      <c r="FM16" s="169"/>
      <c r="FN16" s="169"/>
      <c r="FO16" s="169"/>
      <c r="FP16" s="169"/>
      <c r="FQ16" s="169"/>
      <c r="FR16" s="169"/>
      <c r="FS16" s="169"/>
      <c r="FT16" s="169"/>
      <c r="FU16" s="169"/>
      <c r="FV16" s="169"/>
      <c r="FW16" s="169"/>
      <c r="FX16" s="169"/>
      <c r="FY16" s="169"/>
      <c r="FZ16" s="169"/>
      <c r="GA16" s="169"/>
      <c r="GB16" s="169"/>
      <c r="GC16" s="169"/>
      <c r="GD16" s="169"/>
      <c r="GE16" s="169"/>
      <c r="GF16" s="169"/>
      <c r="GG16" s="169"/>
      <c r="GH16" s="169"/>
      <c r="GI16" s="169"/>
      <c r="GJ16" s="169"/>
      <c r="GK16" s="169"/>
      <c r="GL16" s="169"/>
      <c r="GM16" s="169"/>
      <c r="GN16" s="169"/>
      <c r="GO16" s="169"/>
      <c r="GP16" s="169"/>
      <c r="GQ16" s="169"/>
      <c r="GR16" s="169"/>
      <c r="GS16" s="169"/>
      <c r="GT16" s="169"/>
      <c r="GU16" s="169"/>
      <c r="GV16" s="169"/>
      <c r="GW16" s="169"/>
      <c r="GX16" s="169"/>
      <c r="GY16" s="169"/>
      <c r="GZ16" s="169"/>
      <c r="HA16" s="169"/>
      <c r="HB16" s="169"/>
      <c r="HC16" s="169"/>
      <c r="HD16" s="169"/>
      <c r="HE16" s="169"/>
      <c r="HF16" s="169"/>
      <c r="HG16" s="169"/>
      <c r="HH16" s="169"/>
      <c r="HI16" s="169"/>
      <c r="HJ16" s="169"/>
      <c r="HK16" s="169"/>
      <c r="HL16" s="169"/>
      <c r="HM16" s="169"/>
      <c r="HN16" s="169"/>
      <c r="HO16" s="169"/>
      <c r="HP16" s="169"/>
      <c r="HQ16" s="169"/>
      <c r="HR16" s="169"/>
      <c r="HS16" s="169"/>
      <c r="HT16" s="169"/>
      <c r="HU16" s="169"/>
      <c r="HV16" s="169"/>
      <c r="HW16" s="169"/>
      <c r="HX16" s="169"/>
      <c r="HY16" s="169"/>
      <c r="HZ16" s="169"/>
      <c r="IA16" s="169"/>
      <c r="IB16" s="169"/>
      <c r="IC16" s="169"/>
      <c r="ID16" s="169"/>
      <c r="IE16" s="169"/>
      <c r="IF16" s="169"/>
      <c r="IG16" s="169"/>
      <c r="IH16" s="169"/>
      <c r="II16" s="169"/>
      <c r="IJ16" s="169"/>
      <c r="IK16" s="169"/>
      <c r="IL16" s="169"/>
      <c r="IM16" s="169"/>
      <c r="IN16" s="169"/>
      <c r="IO16" s="169"/>
      <c r="IP16" s="169"/>
      <c r="IQ16" s="169"/>
      <c r="IR16" s="169"/>
      <c r="IS16" s="169"/>
      <c r="IT16" s="169"/>
      <c r="IU16" s="169"/>
      <c r="IV16" s="169"/>
      <c r="IW16" s="169"/>
      <c r="IX16" s="169"/>
    </row>
    <row r="17" spans="1:258" x14ac:dyDescent="0.25">
      <c r="A17" s="1468" t="str">
        <f>+VAL_RES.!B39</f>
        <v>PUENTE VEHICULAR CCANCHI</v>
      </c>
      <c r="B17" s="1469"/>
      <c r="C17" s="1470"/>
      <c r="D17" s="1470"/>
      <c r="E17" s="1470"/>
      <c r="F17" s="1469"/>
      <c r="G17" s="1469"/>
      <c r="H17" s="1469"/>
      <c r="I17" s="1469"/>
      <c r="J17" s="1469"/>
      <c r="K17" s="1469"/>
      <c r="L17" s="1469"/>
      <c r="M17" s="1469"/>
      <c r="N17" s="1471"/>
      <c r="O17" s="1589"/>
      <c r="P17" s="169"/>
      <c r="Q17" s="169"/>
      <c r="R17" s="169"/>
      <c r="S17" s="169"/>
      <c r="T17" s="169"/>
      <c r="U17" s="169"/>
      <c r="V17" s="169"/>
      <c r="W17" s="169"/>
      <c r="X17" s="169"/>
      <c r="Y17" s="169"/>
      <c r="Z17" s="169"/>
      <c r="AA17" s="169"/>
      <c r="AB17" s="169"/>
      <c r="AC17" s="169"/>
      <c r="AD17" s="169"/>
      <c r="AE17" s="169"/>
      <c r="AF17" s="169"/>
      <c r="AG17" s="169"/>
      <c r="AH17" s="169"/>
      <c r="AI17" s="169"/>
      <c r="AJ17" s="169"/>
      <c r="AK17" s="169"/>
      <c r="AL17" s="169"/>
      <c r="AM17" s="169"/>
      <c r="AN17" s="169"/>
      <c r="AO17" s="169"/>
      <c r="AP17" s="169"/>
      <c r="AQ17" s="169"/>
      <c r="AR17" s="169"/>
      <c r="AS17" s="169"/>
      <c r="AT17" s="169"/>
      <c r="AU17" s="169"/>
      <c r="AV17" s="169"/>
      <c r="AW17" s="169"/>
      <c r="AX17" s="169"/>
      <c r="AY17" s="169"/>
      <c r="AZ17" s="169"/>
      <c r="BA17" s="169"/>
      <c r="BB17" s="169"/>
      <c r="BC17" s="169"/>
      <c r="BD17" s="169"/>
      <c r="BE17" s="169"/>
      <c r="BF17" s="169"/>
      <c r="BG17" s="169"/>
      <c r="BH17" s="169"/>
      <c r="BI17" s="169"/>
      <c r="BJ17" s="169"/>
      <c r="BK17" s="169"/>
      <c r="BL17" s="169"/>
      <c r="BM17" s="169"/>
      <c r="BN17" s="169"/>
      <c r="BO17" s="169"/>
      <c r="BP17" s="169"/>
      <c r="BQ17" s="169"/>
      <c r="BR17" s="169"/>
      <c r="BS17" s="169"/>
      <c r="BT17" s="169"/>
      <c r="BU17" s="169"/>
      <c r="BV17" s="169"/>
      <c r="BW17" s="169"/>
      <c r="BX17" s="169"/>
      <c r="BY17" s="169"/>
      <c r="BZ17" s="169"/>
      <c r="CA17" s="169"/>
      <c r="CB17" s="169"/>
      <c r="CC17" s="169"/>
      <c r="CD17" s="169"/>
      <c r="CE17" s="169"/>
      <c r="CF17" s="169"/>
      <c r="CG17" s="169"/>
      <c r="CH17" s="169"/>
      <c r="CI17" s="169"/>
      <c r="CJ17" s="169"/>
      <c r="CK17" s="169"/>
      <c r="CL17" s="169"/>
      <c r="CM17" s="169"/>
      <c r="CN17" s="169"/>
      <c r="CO17" s="169"/>
      <c r="CP17" s="169"/>
      <c r="CQ17" s="169"/>
      <c r="CR17" s="169"/>
      <c r="CS17" s="169"/>
      <c r="CT17" s="169"/>
      <c r="CU17" s="169"/>
      <c r="CV17" s="169"/>
      <c r="CW17" s="169"/>
      <c r="CX17" s="169"/>
      <c r="CY17" s="169"/>
      <c r="CZ17" s="169"/>
      <c r="DA17" s="169"/>
      <c r="DB17" s="169"/>
      <c r="DC17" s="169"/>
      <c r="DD17" s="169"/>
      <c r="DE17" s="169"/>
      <c r="DF17" s="169"/>
      <c r="DG17" s="169"/>
      <c r="DH17" s="169"/>
      <c r="DI17" s="169"/>
      <c r="DJ17" s="169"/>
      <c r="DK17" s="169"/>
      <c r="DL17" s="169"/>
      <c r="DM17" s="169"/>
      <c r="DN17" s="169"/>
      <c r="DO17" s="169"/>
      <c r="DP17" s="169"/>
      <c r="DQ17" s="169"/>
      <c r="DR17" s="169"/>
      <c r="DS17" s="169"/>
      <c r="DT17" s="169"/>
      <c r="DU17" s="169"/>
      <c r="DV17" s="169"/>
      <c r="DW17" s="169"/>
      <c r="DX17" s="169"/>
      <c r="DY17" s="169"/>
      <c r="DZ17" s="169"/>
      <c r="EA17" s="169"/>
      <c r="EB17" s="169"/>
      <c r="EC17" s="169"/>
      <c r="ED17" s="169"/>
      <c r="EE17" s="169"/>
      <c r="EF17" s="169"/>
      <c r="EG17" s="169"/>
      <c r="EH17" s="169"/>
      <c r="EI17" s="169"/>
      <c r="EJ17" s="169"/>
      <c r="EK17" s="169"/>
      <c r="EL17" s="169"/>
      <c r="EM17" s="169"/>
      <c r="EN17" s="169"/>
      <c r="EO17" s="169"/>
      <c r="EP17" s="169"/>
      <c r="EQ17" s="169"/>
      <c r="ER17" s="169"/>
      <c r="ES17" s="169"/>
      <c r="ET17" s="169"/>
      <c r="EU17" s="169"/>
      <c r="EV17" s="169"/>
      <c r="EW17" s="169"/>
      <c r="EX17" s="169"/>
      <c r="EY17" s="169"/>
      <c r="EZ17" s="169"/>
      <c r="FA17" s="169"/>
      <c r="FB17" s="169"/>
      <c r="FC17" s="169"/>
      <c r="FD17" s="169"/>
      <c r="FE17" s="169"/>
      <c r="FF17" s="169"/>
      <c r="FG17" s="169"/>
      <c r="FH17" s="169"/>
      <c r="FI17" s="169"/>
      <c r="FJ17" s="169"/>
      <c r="FK17" s="169"/>
      <c r="FL17" s="169"/>
      <c r="FM17" s="169"/>
      <c r="FN17" s="169"/>
      <c r="FO17" s="169"/>
      <c r="FP17" s="169"/>
      <c r="FQ17" s="169"/>
      <c r="FR17" s="169"/>
      <c r="FS17" s="169"/>
      <c r="FT17" s="169"/>
      <c r="FU17" s="169"/>
      <c r="FV17" s="169"/>
      <c r="FW17" s="169"/>
      <c r="FX17" s="169"/>
      <c r="FY17" s="169"/>
      <c r="FZ17" s="169"/>
      <c r="GA17" s="169"/>
      <c r="GB17" s="169"/>
      <c r="GC17" s="169"/>
      <c r="GD17" s="169"/>
      <c r="GE17" s="169"/>
      <c r="GF17" s="169"/>
      <c r="GG17" s="169"/>
      <c r="GH17" s="169"/>
      <c r="GI17" s="169"/>
      <c r="GJ17" s="169"/>
      <c r="GK17" s="169"/>
      <c r="GL17" s="169"/>
      <c r="GM17" s="169"/>
      <c r="GN17" s="169"/>
      <c r="GO17" s="169"/>
      <c r="GP17" s="169"/>
      <c r="GQ17" s="169"/>
      <c r="GR17" s="169"/>
      <c r="GS17" s="169"/>
      <c r="GT17" s="169"/>
      <c r="GU17" s="169"/>
      <c r="GV17" s="169"/>
      <c r="GW17" s="169"/>
      <c r="GX17" s="169"/>
      <c r="GY17" s="169"/>
      <c r="GZ17" s="169"/>
      <c r="HA17" s="169"/>
      <c r="HB17" s="169"/>
      <c r="HC17" s="169"/>
      <c r="HD17" s="169"/>
      <c r="HE17" s="169"/>
      <c r="HF17" s="169"/>
      <c r="HG17" s="169"/>
      <c r="HH17" s="169"/>
      <c r="HI17" s="169"/>
      <c r="HJ17" s="169"/>
      <c r="HK17" s="169"/>
      <c r="HL17" s="169"/>
      <c r="HM17" s="169"/>
      <c r="HN17" s="169"/>
      <c r="HO17" s="169"/>
      <c r="HP17" s="169"/>
      <c r="HQ17" s="169"/>
      <c r="HR17" s="169"/>
      <c r="HS17" s="169"/>
      <c r="HT17" s="169"/>
      <c r="HU17" s="169"/>
      <c r="HV17" s="169"/>
      <c r="HW17" s="169"/>
      <c r="HX17" s="169"/>
      <c r="HY17" s="169"/>
      <c r="HZ17" s="169"/>
      <c r="IA17" s="169"/>
      <c r="IB17" s="169"/>
      <c r="IC17" s="169"/>
      <c r="ID17" s="169"/>
      <c r="IE17" s="169"/>
      <c r="IF17" s="169"/>
      <c r="IG17" s="169"/>
      <c r="IH17" s="169"/>
      <c r="II17" s="169"/>
      <c r="IJ17" s="169"/>
      <c r="IK17" s="169"/>
      <c r="IL17" s="169"/>
      <c r="IM17" s="169"/>
      <c r="IN17" s="169"/>
      <c r="IO17" s="169"/>
      <c r="IP17" s="169"/>
      <c r="IQ17" s="169"/>
      <c r="IR17" s="169"/>
      <c r="IS17" s="169"/>
      <c r="IT17" s="169"/>
      <c r="IU17" s="169"/>
      <c r="IV17" s="169"/>
      <c r="IW17" s="169"/>
      <c r="IX17" s="169"/>
    </row>
    <row r="18" spans="1:258" ht="15" x14ac:dyDescent="0.25">
      <c r="A18" s="1590">
        <v>1</v>
      </c>
      <c r="B18" s="1472">
        <v>44681</v>
      </c>
      <c r="C18" s="1473">
        <f>+'CURVA S'!D16/1.18</f>
        <v>1689.8530000000001</v>
      </c>
      <c r="D18" s="1473">
        <f>+C18</f>
        <v>1689.8530000000001</v>
      </c>
      <c r="E18" s="1370">
        <f>+VAL_RES.!E39</f>
        <v>1689.85</v>
      </c>
      <c r="F18" s="1370">
        <f>+E18</f>
        <v>1689.85</v>
      </c>
      <c r="G18" s="1474">
        <f>'COE_REAJ_OB. PUENTE'!N56-1</f>
        <v>7.0000000000000062E-2</v>
      </c>
      <c r="H18" s="1370">
        <f>ROUND(C18*G18,2)</f>
        <v>118.29</v>
      </c>
      <c r="I18" s="1370">
        <f>+H18</f>
        <v>118.29</v>
      </c>
      <c r="J18" s="1370">
        <f t="shared" ref="J18:J26" si="0">ROUND(E18*G18,2)</f>
        <v>118.29</v>
      </c>
      <c r="K18" s="1370">
        <f>+J18</f>
        <v>118.29</v>
      </c>
      <c r="L18" s="1370"/>
      <c r="M18" s="1475">
        <f>J18</f>
        <v>118.29</v>
      </c>
      <c r="N18" s="1475">
        <f>+M18</f>
        <v>118.29</v>
      </c>
      <c r="O18" s="1602" t="s">
        <v>1711</v>
      </c>
      <c r="P18" s="301">
        <v>118.29</v>
      </c>
      <c r="Q18" s="176">
        <v>123.72</v>
      </c>
      <c r="R18" s="169"/>
      <c r="S18" s="169"/>
      <c r="T18" s="169"/>
      <c r="U18" s="169"/>
      <c r="V18" s="169"/>
      <c r="W18" s="169"/>
      <c r="X18" s="169"/>
      <c r="Y18" s="169"/>
      <c r="Z18" s="169"/>
      <c r="AA18" s="169"/>
      <c r="AB18" s="169"/>
      <c r="AC18" s="169"/>
      <c r="AD18" s="169"/>
      <c r="AE18" s="169"/>
      <c r="AF18" s="169"/>
      <c r="AG18" s="169"/>
      <c r="AH18" s="169"/>
      <c r="AI18" s="169"/>
      <c r="AJ18" s="169"/>
      <c r="AK18" s="169"/>
      <c r="AL18" s="169"/>
      <c r="AM18" s="169"/>
      <c r="AN18" s="169"/>
      <c r="AO18" s="169"/>
      <c r="AP18" s="169"/>
      <c r="AQ18" s="169"/>
      <c r="AR18" s="169"/>
      <c r="AS18" s="169"/>
      <c r="AT18" s="169"/>
      <c r="AU18" s="169"/>
      <c r="AV18" s="169"/>
      <c r="AW18" s="169"/>
      <c r="AX18" s="169"/>
      <c r="AY18" s="169"/>
      <c r="AZ18" s="169"/>
      <c r="BA18" s="169"/>
      <c r="BB18" s="169"/>
      <c r="BC18" s="169"/>
      <c r="BD18" s="169"/>
      <c r="BE18" s="169"/>
      <c r="BF18" s="169"/>
      <c r="BG18" s="169"/>
      <c r="BH18" s="169"/>
      <c r="BI18" s="169"/>
      <c r="BJ18" s="169"/>
      <c r="BK18" s="169"/>
      <c r="BL18" s="169"/>
      <c r="BM18" s="169"/>
      <c r="BN18" s="169"/>
      <c r="BO18" s="169"/>
      <c r="BP18" s="169"/>
      <c r="BQ18" s="169"/>
      <c r="BR18" s="169"/>
      <c r="BS18" s="169"/>
      <c r="BT18" s="169"/>
      <c r="BU18" s="169"/>
      <c r="BV18" s="169"/>
      <c r="BW18" s="169"/>
      <c r="BX18" s="169"/>
      <c r="BY18" s="169"/>
      <c r="BZ18" s="169"/>
      <c r="CA18" s="169"/>
      <c r="CB18" s="169"/>
      <c r="CC18" s="169"/>
      <c r="CD18" s="169"/>
      <c r="CE18" s="169"/>
      <c r="CF18" s="169"/>
      <c r="CG18" s="169"/>
      <c r="CH18" s="169"/>
      <c r="CI18" s="169"/>
      <c r="CJ18" s="169"/>
      <c r="CK18" s="169"/>
      <c r="CL18" s="169"/>
      <c r="CM18" s="169"/>
      <c r="CN18" s="169"/>
      <c r="CO18" s="169"/>
      <c r="CP18" s="169"/>
      <c r="CQ18" s="169"/>
      <c r="CR18" s="169"/>
      <c r="CS18" s="169"/>
      <c r="CT18" s="169"/>
      <c r="CU18" s="169"/>
      <c r="CV18" s="169"/>
      <c r="CW18" s="169"/>
      <c r="CX18" s="169"/>
      <c r="CY18" s="169"/>
      <c r="CZ18" s="169"/>
      <c r="DA18" s="169"/>
      <c r="DB18" s="169"/>
      <c r="DC18" s="169"/>
      <c r="DD18" s="169"/>
      <c r="DE18" s="169"/>
      <c r="DF18" s="169"/>
      <c r="DG18" s="169"/>
      <c r="DH18" s="169"/>
      <c r="DI18" s="169"/>
      <c r="DJ18" s="169"/>
      <c r="DK18" s="169"/>
      <c r="DL18" s="169"/>
      <c r="DM18" s="169"/>
      <c r="DN18" s="169"/>
      <c r="DO18" s="169"/>
      <c r="DP18" s="169"/>
      <c r="DQ18" s="169"/>
      <c r="DR18" s="169"/>
      <c r="DS18" s="169"/>
      <c r="DT18" s="169"/>
      <c r="DU18" s="169"/>
      <c r="DV18" s="169"/>
      <c r="DW18" s="169"/>
      <c r="DX18" s="169"/>
      <c r="DY18" s="169"/>
      <c r="DZ18" s="169"/>
      <c r="EA18" s="169"/>
      <c r="EB18" s="169"/>
      <c r="EC18" s="169"/>
      <c r="ED18" s="169"/>
      <c r="EE18" s="169"/>
      <c r="EF18" s="169"/>
      <c r="EG18" s="169"/>
      <c r="EH18" s="169"/>
      <c r="EI18" s="169"/>
      <c r="EJ18" s="169"/>
      <c r="EK18" s="169"/>
      <c r="EL18" s="169"/>
      <c r="EM18" s="169"/>
      <c r="EN18" s="169"/>
      <c r="EO18" s="169"/>
      <c r="EP18" s="169"/>
      <c r="EQ18" s="169"/>
      <c r="ER18" s="169"/>
      <c r="ES18" s="169"/>
      <c r="ET18" s="169"/>
      <c r="EU18" s="169"/>
      <c r="EV18" s="169"/>
      <c r="EW18" s="169"/>
      <c r="EX18" s="169"/>
      <c r="EY18" s="169"/>
      <c r="EZ18" s="169"/>
      <c r="FA18" s="169"/>
      <c r="FB18" s="169"/>
      <c r="FC18" s="169"/>
      <c r="FD18" s="169"/>
      <c r="FE18" s="169"/>
      <c r="FF18" s="169"/>
      <c r="FG18" s="169"/>
      <c r="FH18" s="169"/>
      <c r="FI18" s="169"/>
      <c r="FJ18" s="169"/>
      <c r="FK18" s="169"/>
      <c r="FL18" s="169"/>
      <c r="FM18" s="169"/>
      <c r="FN18" s="169"/>
      <c r="FO18" s="169"/>
      <c r="FP18" s="169"/>
      <c r="FQ18" s="169"/>
      <c r="FR18" s="169"/>
      <c r="FS18" s="169"/>
      <c r="FT18" s="169"/>
      <c r="FU18" s="169"/>
      <c r="FV18" s="169"/>
      <c r="FW18" s="169"/>
      <c r="FX18" s="169"/>
      <c r="FY18" s="169"/>
      <c r="FZ18" s="169"/>
      <c r="GA18" s="169"/>
      <c r="GB18" s="169"/>
      <c r="GC18" s="169"/>
      <c r="GD18" s="169"/>
      <c r="GE18" s="169"/>
      <c r="GF18" s="169"/>
      <c r="GG18" s="169"/>
      <c r="GH18" s="169"/>
      <c r="GI18" s="169"/>
      <c r="GJ18" s="169"/>
      <c r="GK18" s="169"/>
      <c r="GL18" s="169"/>
      <c r="GM18" s="169"/>
      <c r="GN18" s="169"/>
      <c r="GO18" s="169"/>
      <c r="GP18" s="169"/>
      <c r="GQ18" s="169"/>
      <c r="GR18" s="169"/>
      <c r="GS18" s="169"/>
      <c r="GT18" s="169"/>
      <c r="GU18" s="169"/>
      <c r="GV18" s="169"/>
      <c r="GW18" s="169"/>
      <c r="GX18" s="169"/>
      <c r="GY18" s="169"/>
      <c r="GZ18" s="169"/>
      <c r="HA18" s="169"/>
      <c r="HB18" s="169"/>
      <c r="HC18" s="169"/>
      <c r="HD18" s="169"/>
      <c r="HE18" s="169"/>
      <c r="HF18" s="169"/>
      <c r="HG18" s="169"/>
      <c r="HH18" s="169"/>
      <c r="HI18" s="169"/>
      <c r="HJ18" s="169"/>
      <c r="HK18" s="169"/>
      <c r="HL18" s="169"/>
      <c r="HM18" s="169"/>
      <c r="HN18" s="169"/>
      <c r="HO18" s="169"/>
      <c r="HP18" s="169"/>
      <c r="HQ18" s="169"/>
      <c r="HR18" s="169"/>
      <c r="HS18" s="169"/>
      <c r="HT18" s="169"/>
      <c r="HU18" s="169"/>
      <c r="HV18" s="169"/>
      <c r="HW18" s="169"/>
      <c r="HX18" s="169"/>
      <c r="HY18" s="169"/>
      <c r="HZ18" s="169"/>
      <c r="IA18" s="169"/>
      <c r="IB18" s="169"/>
      <c r="IC18" s="169"/>
      <c r="ID18" s="169"/>
      <c r="IE18" s="169"/>
      <c r="IF18" s="169"/>
      <c r="IG18" s="169"/>
      <c r="IH18" s="169"/>
      <c r="II18" s="169"/>
      <c r="IJ18" s="169"/>
      <c r="IK18" s="169"/>
      <c r="IL18" s="169"/>
      <c r="IM18" s="169"/>
      <c r="IN18" s="169"/>
      <c r="IO18" s="169"/>
      <c r="IP18" s="169"/>
      <c r="IQ18" s="169"/>
      <c r="IR18" s="169"/>
      <c r="IS18" s="169"/>
      <c r="IT18" s="169"/>
      <c r="IU18" s="169"/>
      <c r="IV18" s="169"/>
      <c r="IW18" s="169"/>
      <c r="IX18" s="169"/>
    </row>
    <row r="19" spans="1:258" ht="15" x14ac:dyDescent="0.25">
      <c r="A19" s="1590">
        <v>2</v>
      </c>
      <c r="B19" s="1472">
        <v>44712</v>
      </c>
      <c r="C19" s="1473">
        <f>+'CURVA S'!E16/1.18</f>
        <v>142315.31930731577</v>
      </c>
      <c r="D19" s="1473">
        <f>+C19+D18</f>
        <v>144005.17230731578</v>
      </c>
      <c r="E19" s="1370">
        <f>+VAL_RES.!F39</f>
        <v>142315.32</v>
      </c>
      <c r="F19" s="1370">
        <f t="shared" ref="F19:F24" si="1">+E19+F18</f>
        <v>144005.17000000001</v>
      </c>
      <c r="G19" s="1474">
        <f>'COE_REAJ_OB. PUENTE'!P56-1</f>
        <v>7.2000000000000064E-2</v>
      </c>
      <c r="H19" s="1370">
        <f t="shared" ref="H19:H30" si="2">ROUND(C19*G19,2)</f>
        <v>10246.700000000001</v>
      </c>
      <c r="I19" s="1370">
        <f t="shared" ref="I19:I24" si="3">+H19+I18</f>
        <v>10364.990000000002</v>
      </c>
      <c r="J19" s="1475">
        <f t="shared" si="0"/>
        <v>10246.700000000001</v>
      </c>
      <c r="K19" s="1475">
        <f t="shared" ref="K19:K24" si="4">+J19+K18</f>
        <v>10364.990000000002</v>
      </c>
      <c r="L19" s="1475">
        <v>0</v>
      </c>
      <c r="M19" s="1475">
        <f>J19+L19</f>
        <v>10246.700000000001</v>
      </c>
      <c r="N19" s="1475">
        <f t="shared" ref="N19:N24" si="5">+M19+N18</f>
        <v>10364.990000000002</v>
      </c>
      <c r="O19" s="1602" t="s">
        <v>1711</v>
      </c>
      <c r="P19" s="176">
        <v>10080.36</v>
      </c>
      <c r="Q19" s="176">
        <v>8209.76</v>
      </c>
      <c r="R19" s="169"/>
      <c r="S19" s="169"/>
      <c r="T19" s="169"/>
      <c r="U19" s="169"/>
      <c r="V19" s="169"/>
      <c r="W19" s="169"/>
      <c r="X19" s="169"/>
      <c r="Y19" s="169"/>
      <c r="Z19" s="169"/>
      <c r="AA19" s="169"/>
      <c r="AB19" s="169"/>
      <c r="AC19" s="169"/>
      <c r="AD19" s="169"/>
      <c r="AE19" s="169"/>
      <c r="AF19" s="169"/>
      <c r="AG19" s="169"/>
      <c r="AH19" s="169"/>
      <c r="AI19" s="169"/>
      <c r="AJ19" s="169"/>
      <c r="AK19" s="169"/>
      <c r="AL19" s="169"/>
      <c r="AM19" s="169"/>
      <c r="AN19" s="169"/>
      <c r="AO19" s="169"/>
      <c r="AP19" s="169"/>
      <c r="AQ19" s="169"/>
      <c r="AR19" s="169"/>
      <c r="AS19" s="169"/>
      <c r="AT19" s="169"/>
      <c r="AU19" s="169"/>
      <c r="AV19" s="169"/>
      <c r="AW19" s="169"/>
      <c r="AX19" s="169"/>
      <c r="AY19" s="169"/>
      <c r="AZ19" s="169"/>
      <c r="BA19" s="169"/>
      <c r="BB19" s="169"/>
      <c r="BC19" s="169"/>
      <c r="BD19" s="169"/>
      <c r="BE19" s="169"/>
      <c r="BF19" s="169"/>
      <c r="BG19" s="169"/>
      <c r="BH19" s="169"/>
      <c r="BI19" s="169"/>
      <c r="BJ19" s="169"/>
      <c r="BK19" s="169"/>
      <c r="BL19" s="169"/>
      <c r="BM19" s="169"/>
      <c r="BN19" s="169"/>
      <c r="BO19" s="169"/>
      <c r="BP19" s="169"/>
      <c r="BQ19" s="169"/>
      <c r="BR19" s="169"/>
      <c r="BS19" s="169"/>
      <c r="BT19" s="169"/>
      <c r="BU19" s="169"/>
      <c r="BV19" s="169"/>
      <c r="BW19" s="169"/>
      <c r="BX19" s="169"/>
      <c r="BY19" s="169"/>
      <c r="BZ19" s="169"/>
      <c r="CA19" s="169"/>
      <c r="CB19" s="169"/>
      <c r="CC19" s="169"/>
      <c r="CD19" s="169"/>
      <c r="CE19" s="169"/>
      <c r="CF19" s="169"/>
      <c r="CG19" s="169"/>
      <c r="CH19" s="169"/>
      <c r="CI19" s="169"/>
      <c r="CJ19" s="169"/>
      <c r="CK19" s="169"/>
      <c r="CL19" s="169"/>
      <c r="CM19" s="169"/>
      <c r="CN19" s="169"/>
      <c r="CO19" s="169"/>
      <c r="CP19" s="169"/>
      <c r="CQ19" s="169"/>
      <c r="CR19" s="169"/>
      <c r="CS19" s="169"/>
      <c r="CT19" s="169"/>
      <c r="CU19" s="169"/>
      <c r="CV19" s="169"/>
      <c r="CW19" s="169"/>
      <c r="CX19" s="169"/>
      <c r="CY19" s="169"/>
      <c r="CZ19" s="169"/>
      <c r="DA19" s="169"/>
      <c r="DB19" s="169"/>
      <c r="DC19" s="169"/>
      <c r="DD19" s="169"/>
      <c r="DE19" s="169"/>
      <c r="DF19" s="169"/>
      <c r="DG19" s="169"/>
      <c r="DH19" s="169"/>
      <c r="DI19" s="169"/>
      <c r="DJ19" s="169"/>
      <c r="DK19" s="169"/>
      <c r="DL19" s="169"/>
      <c r="DM19" s="169"/>
      <c r="DN19" s="169"/>
      <c r="DO19" s="169"/>
      <c r="DP19" s="169"/>
      <c r="DQ19" s="169"/>
      <c r="DR19" s="169"/>
      <c r="DS19" s="169"/>
      <c r="DT19" s="169"/>
      <c r="DU19" s="169"/>
      <c r="DV19" s="169"/>
      <c r="DW19" s="169"/>
      <c r="DX19" s="169"/>
      <c r="DY19" s="169"/>
      <c r="DZ19" s="169"/>
      <c r="EA19" s="169"/>
      <c r="EB19" s="169"/>
      <c r="EC19" s="169"/>
      <c r="ED19" s="169"/>
      <c r="EE19" s="169"/>
      <c r="EF19" s="169"/>
      <c r="EG19" s="169"/>
      <c r="EH19" s="169"/>
      <c r="EI19" s="169"/>
      <c r="EJ19" s="169"/>
      <c r="EK19" s="169"/>
      <c r="EL19" s="169"/>
      <c r="EM19" s="169"/>
      <c r="EN19" s="169"/>
      <c r="EO19" s="169"/>
      <c r="EP19" s="169"/>
      <c r="EQ19" s="169"/>
      <c r="ER19" s="169"/>
      <c r="ES19" s="169"/>
      <c r="ET19" s="169"/>
      <c r="EU19" s="169"/>
      <c r="EV19" s="169"/>
      <c r="EW19" s="169"/>
      <c r="EX19" s="169"/>
      <c r="EY19" s="169"/>
      <c r="EZ19" s="169"/>
      <c r="FA19" s="169"/>
      <c r="FB19" s="169"/>
      <c r="FC19" s="169"/>
      <c r="FD19" s="169"/>
      <c r="FE19" s="169"/>
      <c r="FF19" s="169"/>
      <c r="FG19" s="169"/>
      <c r="FH19" s="169"/>
      <c r="FI19" s="169"/>
      <c r="FJ19" s="169"/>
      <c r="FK19" s="169"/>
      <c r="FL19" s="169"/>
      <c r="FM19" s="169"/>
      <c r="FN19" s="169"/>
      <c r="FO19" s="169"/>
      <c r="FP19" s="169"/>
      <c r="FQ19" s="169"/>
      <c r="FR19" s="169"/>
      <c r="FS19" s="169"/>
      <c r="FT19" s="169"/>
      <c r="FU19" s="169"/>
      <c r="FV19" s="169"/>
      <c r="FW19" s="169"/>
      <c r="FX19" s="169"/>
      <c r="FY19" s="169"/>
      <c r="FZ19" s="169"/>
      <c r="GA19" s="169"/>
      <c r="GB19" s="169"/>
      <c r="GC19" s="169"/>
      <c r="GD19" s="169"/>
      <c r="GE19" s="169"/>
      <c r="GF19" s="169"/>
      <c r="GG19" s="169"/>
      <c r="GH19" s="169"/>
      <c r="GI19" s="169"/>
      <c r="GJ19" s="169"/>
      <c r="GK19" s="169"/>
      <c r="GL19" s="169"/>
      <c r="GM19" s="169"/>
      <c r="GN19" s="169"/>
      <c r="GO19" s="169"/>
      <c r="GP19" s="169"/>
      <c r="GQ19" s="169"/>
      <c r="GR19" s="169"/>
      <c r="GS19" s="169"/>
      <c r="GT19" s="169"/>
      <c r="GU19" s="169"/>
      <c r="GV19" s="169"/>
      <c r="GW19" s="169"/>
      <c r="GX19" s="169"/>
      <c r="GY19" s="169"/>
      <c r="GZ19" s="169"/>
      <c r="HA19" s="169"/>
      <c r="HB19" s="169"/>
      <c r="HC19" s="169"/>
      <c r="HD19" s="169"/>
      <c r="HE19" s="169"/>
      <c r="HF19" s="169"/>
      <c r="HG19" s="169"/>
      <c r="HH19" s="169"/>
      <c r="HI19" s="169"/>
      <c r="HJ19" s="169"/>
      <c r="HK19" s="169"/>
      <c r="HL19" s="169"/>
      <c r="HM19" s="169"/>
      <c r="HN19" s="169"/>
      <c r="HO19" s="169"/>
      <c r="HP19" s="169"/>
      <c r="HQ19" s="169"/>
      <c r="HR19" s="169"/>
      <c r="HS19" s="169"/>
      <c r="HT19" s="169"/>
      <c r="HU19" s="169"/>
      <c r="HV19" s="169"/>
      <c r="HW19" s="169"/>
      <c r="HX19" s="169"/>
      <c r="HY19" s="169"/>
      <c r="HZ19" s="169"/>
      <c r="IA19" s="169"/>
      <c r="IB19" s="169"/>
      <c r="IC19" s="169"/>
      <c r="ID19" s="169"/>
      <c r="IE19" s="169"/>
      <c r="IF19" s="169"/>
      <c r="IG19" s="169"/>
      <c r="IH19" s="169"/>
      <c r="II19" s="169"/>
      <c r="IJ19" s="169"/>
      <c r="IK19" s="169"/>
      <c r="IL19" s="169"/>
      <c r="IM19" s="169"/>
      <c r="IN19" s="169"/>
      <c r="IO19" s="169"/>
      <c r="IP19" s="169"/>
      <c r="IQ19" s="169"/>
      <c r="IR19" s="169"/>
      <c r="IS19" s="169"/>
      <c r="IT19" s="169"/>
      <c r="IU19" s="169"/>
      <c r="IV19" s="169"/>
      <c r="IW19" s="169"/>
      <c r="IX19" s="169"/>
    </row>
    <row r="20" spans="1:258" ht="15" x14ac:dyDescent="0.25">
      <c r="A20" s="1590">
        <v>3</v>
      </c>
      <c r="B20" s="1472">
        <v>44742</v>
      </c>
      <c r="C20" s="1473">
        <f>+'CURVA S'!F16/1.18</f>
        <v>174129.62771616722</v>
      </c>
      <c r="D20" s="1473">
        <f t="shared" ref="D20:D30" si="6">+C20+D19</f>
        <v>318134.800023483</v>
      </c>
      <c r="E20" s="1370">
        <f>+VAL_RES.!G39</f>
        <v>174129.63</v>
      </c>
      <c r="F20" s="1370">
        <f t="shared" si="1"/>
        <v>318134.80000000005</v>
      </c>
      <c r="G20" s="1474">
        <f>'COE_REAJ_OB. PUENTE'!R56-1</f>
        <v>0.10400000000000009</v>
      </c>
      <c r="H20" s="1370">
        <f t="shared" si="2"/>
        <v>18109.48</v>
      </c>
      <c r="I20" s="1370">
        <f t="shared" si="3"/>
        <v>28474.47</v>
      </c>
      <c r="J20" s="1475">
        <f t="shared" si="0"/>
        <v>18109.48</v>
      </c>
      <c r="K20" s="1475">
        <f t="shared" si="4"/>
        <v>28474.47</v>
      </c>
      <c r="L20" s="1475"/>
      <c r="M20" s="1475">
        <f t="shared" ref="M20:M26" si="7">+J20</f>
        <v>18109.48</v>
      </c>
      <c r="N20" s="1475">
        <f t="shared" si="5"/>
        <v>28474.47</v>
      </c>
      <c r="O20" s="1602" t="s">
        <v>1711</v>
      </c>
      <c r="P20" s="629">
        <v>22269.43</v>
      </c>
      <c r="Q20" s="176">
        <v>21809.64</v>
      </c>
      <c r="R20" s="169"/>
      <c r="S20" s="169"/>
      <c r="T20" s="169"/>
      <c r="U20" s="169"/>
      <c r="V20" s="169"/>
      <c r="W20" s="169"/>
      <c r="X20" s="169"/>
      <c r="Y20" s="169"/>
      <c r="Z20" s="169"/>
      <c r="AA20" s="169"/>
      <c r="AB20" s="169"/>
      <c r="AC20" s="169"/>
      <c r="AD20" s="169"/>
      <c r="AE20" s="169"/>
      <c r="AF20" s="169"/>
      <c r="AG20" s="169"/>
      <c r="AH20" s="169"/>
      <c r="AI20" s="169"/>
      <c r="AJ20" s="169"/>
      <c r="AK20" s="169"/>
      <c r="AL20" s="169"/>
      <c r="AM20" s="169"/>
      <c r="AN20" s="169"/>
      <c r="AO20" s="169"/>
      <c r="AP20" s="169"/>
      <c r="AQ20" s="169"/>
      <c r="AR20" s="169"/>
      <c r="AS20" s="169"/>
      <c r="AT20" s="169"/>
      <c r="AU20" s="169"/>
      <c r="AV20" s="169"/>
      <c r="AW20" s="169"/>
      <c r="AX20" s="169"/>
      <c r="AY20" s="169"/>
      <c r="AZ20" s="169"/>
      <c r="BA20" s="169"/>
      <c r="BB20" s="169"/>
      <c r="BC20" s="169"/>
      <c r="BD20" s="169"/>
      <c r="BE20" s="169"/>
      <c r="BF20" s="169"/>
      <c r="BG20" s="169"/>
      <c r="BH20" s="169"/>
      <c r="BI20" s="169"/>
      <c r="BJ20" s="169"/>
      <c r="BK20" s="169"/>
      <c r="BL20" s="169"/>
      <c r="BM20" s="169"/>
      <c r="BN20" s="169"/>
      <c r="BO20" s="169"/>
      <c r="BP20" s="169"/>
      <c r="BQ20" s="169"/>
      <c r="BR20" s="169"/>
      <c r="BS20" s="169"/>
      <c r="BT20" s="169"/>
      <c r="BU20" s="169"/>
      <c r="BV20" s="169"/>
      <c r="BW20" s="169"/>
      <c r="BX20" s="169"/>
      <c r="BY20" s="169"/>
      <c r="BZ20" s="169"/>
      <c r="CA20" s="169"/>
      <c r="CB20" s="169"/>
      <c r="CC20" s="169"/>
      <c r="CD20" s="169"/>
      <c r="CE20" s="169"/>
      <c r="CF20" s="169"/>
      <c r="CG20" s="169"/>
      <c r="CH20" s="169"/>
      <c r="CI20" s="169"/>
      <c r="CJ20" s="169"/>
      <c r="CK20" s="169"/>
      <c r="CL20" s="169"/>
      <c r="CM20" s="169"/>
      <c r="CN20" s="169"/>
      <c r="CO20" s="169"/>
      <c r="CP20" s="169"/>
      <c r="CQ20" s="169"/>
      <c r="CR20" s="169"/>
      <c r="CS20" s="169"/>
      <c r="CT20" s="169"/>
      <c r="CU20" s="169"/>
      <c r="CV20" s="169"/>
      <c r="CW20" s="169"/>
      <c r="CX20" s="169"/>
      <c r="CY20" s="169"/>
      <c r="CZ20" s="169"/>
      <c r="DA20" s="169"/>
      <c r="DB20" s="169"/>
      <c r="DC20" s="169"/>
      <c r="DD20" s="169"/>
      <c r="DE20" s="169"/>
      <c r="DF20" s="169"/>
      <c r="DG20" s="169"/>
      <c r="DH20" s="169"/>
      <c r="DI20" s="169"/>
      <c r="DJ20" s="169"/>
      <c r="DK20" s="169"/>
      <c r="DL20" s="169"/>
      <c r="DM20" s="169"/>
      <c r="DN20" s="169"/>
      <c r="DO20" s="169"/>
      <c r="DP20" s="169"/>
      <c r="DQ20" s="169"/>
      <c r="DR20" s="169"/>
      <c r="DS20" s="169"/>
      <c r="DT20" s="169"/>
      <c r="DU20" s="169"/>
      <c r="DV20" s="169"/>
      <c r="DW20" s="169"/>
      <c r="DX20" s="169"/>
      <c r="DY20" s="169"/>
      <c r="DZ20" s="169"/>
      <c r="EA20" s="169"/>
      <c r="EB20" s="169"/>
      <c r="EC20" s="169"/>
      <c r="ED20" s="169"/>
      <c r="EE20" s="169"/>
      <c r="EF20" s="169"/>
      <c r="EG20" s="169"/>
      <c r="EH20" s="169"/>
      <c r="EI20" s="169"/>
      <c r="EJ20" s="169"/>
      <c r="EK20" s="169"/>
      <c r="EL20" s="169"/>
      <c r="EM20" s="169"/>
      <c r="EN20" s="169"/>
      <c r="EO20" s="169"/>
      <c r="EP20" s="169"/>
      <c r="EQ20" s="169"/>
      <c r="ER20" s="169"/>
      <c r="ES20" s="169"/>
      <c r="ET20" s="169"/>
      <c r="EU20" s="169"/>
      <c r="EV20" s="169"/>
      <c r="EW20" s="169"/>
      <c r="EX20" s="169"/>
      <c r="EY20" s="169"/>
      <c r="EZ20" s="169"/>
      <c r="FA20" s="169"/>
      <c r="FB20" s="169"/>
      <c r="FC20" s="169"/>
      <c r="FD20" s="169"/>
      <c r="FE20" s="169"/>
      <c r="FF20" s="169"/>
      <c r="FG20" s="169"/>
      <c r="FH20" s="169"/>
      <c r="FI20" s="169"/>
      <c r="FJ20" s="169"/>
      <c r="FK20" s="169"/>
      <c r="FL20" s="169"/>
      <c r="FM20" s="169"/>
      <c r="FN20" s="169"/>
      <c r="FO20" s="169"/>
      <c r="FP20" s="169"/>
      <c r="FQ20" s="169"/>
      <c r="FR20" s="169"/>
      <c r="FS20" s="169"/>
      <c r="FT20" s="169"/>
      <c r="FU20" s="169"/>
      <c r="FV20" s="169"/>
      <c r="FW20" s="169"/>
      <c r="FX20" s="169"/>
      <c r="FY20" s="169"/>
      <c r="FZ20" s="169"/>
      <c r="GA20" s="169"/>
      <c r="GB20" s="169"/>
      <c r="GC20" s="169"/>
      <c r="GD20" s="169"/>
      <c r="GE20" s="169"/>
      <c r="GF20" s="169"/>
      <c r="GG20" s="169"/>
      <c r="GH20" s="169"/>
      <c r="GI20" s="169"/>
      <c r="GJ20" s="169"/>
      <c r="GK20" s="169"/>
      <c r="GL20" s="169"/>
      <c r="GM20" s="169"/>
      <c r="GN20" s="169"/>
      <c r="GO20" s="169"/>
      <c r="GP20" s="169"/>
      <c r="GQ20" s="169"/>
      <c r="GR20" s="169"/>
      <c r="GS20" s="169"/>
      <c r="GT20" s="169"/>
      <c r="GU20" s="169"/>
      <c r="GV20" s="169"/>
      <c r="GW20" s="169"/>
      <c r="GX20" s="169"/>
      <c r="GY20" s="169"/>
      <c r="GZ20" s="169"/>
      <c r="HA20" s="169"/>
      <c r="HB20" s="169"/>
      <c r="HC20" s="169"/>
      <c r="HD20" s="169"/>
      <c r="HE20" s="169"/>
      <c r="HF20" s="169"/>
      <c r="HG20" s="169"/>
      <c r="HH20" s="169"/>
      <c r="HI20" s="169"/>
      <c r="HJ20" s="169"/>
      <c r="HK20" s="169"/>
      <c r="HL20" s="169"/>
      <c r="HM20" s="169"/>
      <c r="HN20" s="169"/>
      <c r="HO20" s="169"/>
      <c r="HP20" s="169"/>
      <c r="HQ20" s="169"/>
      <c r="HR20" s="169"/>
      <c r="HS20" s="169"/>
      <c r="HT20" s="169"/>
      <c r="HU20" s="169"/>
      <c r="HV20" s="169"/>
      <c r="HW20" s="169"/>
      <c r="HX20" s="169"/>
      <c r="HY20" s="169"/>
      <c r="HZ20" s="169"/>
      <c r="IA20" s="169"/>
      <c r="IB20" s="169"/>
      <c r="IC20" s="169"/>
      <c r="ID20" s="169"/>
      <c r="IE20" s="169"/>
      <c r="IF20" s="169"/>
      <c r="IG20" s="169"/>
      <c r="IH20" s="169"/>
      <c r="II20" s="169"/>
      <c r="IJ20" s="169"/>
      <c r="IK20" s="169"/>
      <c r="IL20" s="169"/>
      <c r="IM20" s="169"/>
      <c r="IN20" s="169"/>
      <c r="IO20" s="169"/>
      <c r="IP20" s="169"/>
      <c r="IQ20" s="169"/>
      <c r="IR20" s="169"/>
      <c r="IS20" s="169"/>
      <c r="IT20" s="169"/>
      <c r="IU20" s="169"/>
      <c r="IV20" s="169"/>
      <c r="IW20" s="169"/>
      <c r="IX20" s="169"/>
    </row>
    <row r="21" spans="1:258" ht="15" x14ac:dyDescent="0.25">
      <c r="A21" s="1590">
        <v>4</v>
      </c>
      <c r="B21" s="1472">
        <v>44773</v>
      </c>
      <c r="C21" s="1473">
        <f>+'CURVA S'!G16/1.18</f>
        <v>680701.44699101371</v>
      </c>
      <c r="D21" s="1473">
        <f t="shared" si="6"/>
        <v>998836.24701449671</v>
      </c>
      <c r="E21" s="1370">
        <v>680701.45</v>
      </c>
      <c r="F21" s="1370">
        <f t="shared" si="1"/>
        <v>998836.25</v>
      </c>
      <c r="G21" s="1474">
        <f>'COE_REAJ_OB. PUENTE'!T56-1</f>
        <v>6.800000000000006E-2</v>
      </c>
      <c r="H21" s="1370">
        <f t="shared" si="2"/>
        <v>46287.7</v>
      </c>
      <c r="I21" s="1370">
        <f t="shared" si="3"/>
        <v>74762.17</v>
      </c>
      <c r="J21" s="1475">
        <f t="shared" si="0"/>
        <v>46287.7</v>
      </c>
      <c r="K21" s="1475">
        <f t="shared" si="4"/>
        <v>74762.17</v>
      </c>
      <c r="L21" s="1475"/>
      <c r="M21" s="1475">
        <f t="shared" si="7"/>
        <v>46287.7</v>
      </c>
      <c r="N21" s="1475">
        <f t="shared" si="5"/>
        <v>74762.17</v>
      </c>
      <c r="O21" s="1602" t="s">
        <v>1711</v>
      </c>
      <c r="P21" s="301">
        <v>69918.53</v>
      </c>
      <c r="Q21" s="176">
        <v>79869.78</v>
      </c>
      <c r="R21" s="628"/>
      <c r="S21" s="628"/>
      <c r="T21" s="628"/>
      <c r="U21" s="628"/>
      <c r="V21" s="628"/>
      <c r="W21" s="628"/>
      <c r="X21" s="628"/>
      <c r="Y21" s="628"/>
      <c r="Z21" s="628"/>
      <c r="AA21" s="628"/>
      <c r="AB21" s="628"/>
      <c r="AC21" s="628"/>
      <c r="AD21" s="628"/>
      <c r="AE21" s="628"/>
      <c r="AF21" s="628"/>
      <c r="AG21" s="628"/>
      <c r="AH21" s="628"/>
      <c r="AI21" s="628"/>
      <c r="AJ21" s="628"/>
      <c r="AK21" s="628"/>
      <c r="AL21" s="628"/>
      <c r="AM21" s="628"/>
      <c r="AN21" s="628"/>
      <c r="AO21" s="628"/>
      <c r="AP21" s="628"/>
      <c r="AQ21" s="628"/>
      <c r="AR21" s="628"/>
      <c r="AS21" s="628"/>
      <c r="AT21" s="628"/>
      <c r="AU21" s="628"/>
      <c r="AV21" s="628"/>
      <c r="AW21" s="628"/>
      <c r="AX21" s="628"/>
      <c r="AY21" s="628"/>
      <c r="AZ21" s="628"/>
      <c r="BA21" s="628"/>
      <c r="BB21" s="628"/>
      <c r="BC21" s="628"/>
      <c r="BD21" s="628"/>
      <c r="BE21" s="628"/>
      <c r="BF21" s="628"/>
      <c r="BG21" s="628"/>
      <c r="BH21" s="628"/>
      <c r="BI21" s="628"/>
      <c r="BJ21" s="628"/>
      <c r="BK21" s="628"/>
      <c r="BL21" s="628"/>
      <c r="BM21" s="628"/>
      <c r="BN21" s="628"/>
      <c r="BO21" s="628"/>
      <c r="BP21" s="628"/>
      <c r="BQ21" s="628"/>
      <c r="BR21" s="628"/>
      <c r="BS21" s="628"/>
      <c r="BT21" s="628"/>
      <c r="BU21" s="628"/>
      <c r="BV21" s="628"/>
      <c r="BW21" s="628"/>
      <c r="BX21" s="628"/>
      <c r="BY21" s="628"/>
      <c r="BZ21" s="628"/>
      <c r="CA21" s="628"/>
      <c r="CB21" s="628"/>
      <c r="CC21" s="628"/>
      <c r="CD21" s="628"/>
      <c r="CE21" s="628"/>
      <c r="CF21" s="628"/>
      <c r="CG21" s="628"/>
      <c r="CH21" s="628"/>
      <c r="CI21" s="628"/>
      <c r="CJ21" s="628"/>
      <c r="CK21" s="628"/>
      <c r="CL21" s="628"/>
      <c r="CM21" s="628"/>
      <c r="CN21" s="628"/>
      <c r="CO21" s="628"/>
      <c r="CP21" s="628"/>
      <c r="CQ21" s="628"/>
      <c r="CR21" s="628"/>
      <c r="CS21" s="628"/>
      <c r="CT21" s="628"/>
      <c r="CU21" s="628"/>
      <c r="CV21" s="628"/>
      <c r="CW21" s="628"/>
      <c r="CX21" s="628"/>
      <c r="CY21" s="628"/>
      <c r="CZ21" s="628"/>
      <c r="DA21" s="628"/>
      <c r="DB21" s="628"/>
      <c r="DC21" s="628"/>
      <c r="DD21" s="628"/>
      <c r="DE21" s="628"/>
      <c r="DF21" s="628"/>
      <c r="DG21" s="628"/>
      <c r="DH21" s="628"/>
      <c r="DI21" s="628"/>
      <c r="DJ21" s="628"/>
      <c r="DK21" s="628"/>
      <c r="DL21" s="628"/>
      <c r="DM21" s="628"/>
      <c r="DN21" s="628"/>
      <c r="DO21" s="628"/>
      <c r="DP21" s="628"/>
      <c r="DQ21" s="628"/>
      <c r="DR21" s="628"/>
      <c r="DS21" s="628"/>
      <c r="DT21" s="628"/>
      <c r="DU21" s="628"/>
      <c r="DV21" s="628"/>
      <c r="DW21" s="628"/>
      <c r="DX21" s="628"/>
      <c r="DY21" s="628"/>
      <c r="DZ21" s="628"/>
      <c r="EA21" s="628"/>
      <c r="EB21" s="628"/>
      <c r="EC21" s="628"/>
      <c r="ED21" s="628"/>
      <c r="EE21" s="628"/>
      <c r="EF21" s="628"/>
      <c r="EG21" s="628"/>
      <c r="EH21" s="628"/>
      <c r="EI21" s="628"/>
      <c r="EJ21" s="628"/>
      <c r="EK21" s="628"/>
      <c r="EL21" s="628"/>
      <c r="EM21" s="628"/>
      <c r="EN21" s="628"/>
      <c r="EO21" s="628"/>
      <c r="EP21" s="628"/>
      <c r="EQ21" s="628"/>
      <c r="ER21" s="628"/>
      <c r="ES21" s="628"/>
      <c r="ET21" s="628"/>
      <c r="EU21" s="628"/>
      <c r="EV21" s="628"/>
      <c r="EW21" s="628"/>
      <c r="EX21" s="628"/>
      <c r="EY21" s="628"/>
      <c r="EZ21" s="628"/>
      <c r="FA21" s="628"/>
      <c r="FB21" s="628"/>
      <c r="FC21" s="628"/>
      <c r="FD21" s="628"/>
      <c r="FE21" s="628"/>
      <c r="FF21" s="628"/>
      <c r="FG21" s="628"/>
      <c r="FH21" s="628"/>
      <c r="FI21" s="628"/>
      <c r="FJ21" s="628"/>
      <c r="FK21" s="628"/>
      <c r="FL21" s="628"/>
      <c r="FM21" s="628"/>
      <c r="FN21" s="628"/>
      <c r="FO21" s="628"/>
      <c r="FP21" s="628"/>
      <c r="FQ21" s="628"/>
      <c r="FR21" s="628"/>
      <c r="FS21" s="628"/>
      <c r="FT21" s="628"/>
      <c r="FU21" s="628"/>
      <c r="FV21" s="628"/>
      <c r="FW21" s="628"/>
      <c r="FX21" s="628"/>
      <c r="FY21" s="628"/>
      <c r="FZ21" s="628"/>
      <c r="GA21" s="628"/>
      <c r="GB21" s="628"/>
      <c r="GC21" s="628"/>
      <c r="GD21" s="628"/>
      <c r="GE21" s="628"/>
      <c r="GF21" s="628"/>
      <c r="GG21" s="628"/>
      <c r="GH21" s="628"/>
      <c r="GI21" s="628"/>
      <c r="GJ21" s="628"/>
      <c r="GK21" s="628"/>
      <c r="GL21" s="628"/>
      <c r="GM21" s="628"/>
      <c r="GN21" s="628"/>
      <c r="GO21" s="628"/>
      <c r="GP21" s="628"/>
      <c r="GQ21" s="628"/>
      <c r="GR21" s="628"/>
      <c r="GS21" s="628"/>
      <c r="GT21" s="628"/>
      <c r="GU21" s="628"/>
      <c r="GV21" s="628"/>
      <c r="GW21" s="628"/>
      <c r="GX21" s="628"/>
      <c r="GY21" s="628"/>
      <c r="GZ21" s="628"/>
      <c r="HA21" s="628"/>
      <c r="HB21" s="628"/>
      <c r="HC21" s="628"/>
      <c r="HD21" s="628"/>
      <c r="HE21" s="628"/>
      <c r="HF21" s="628"/>
      <c r="HG21" s="628"/>
      <c r="HH21" s="628"/>
      <c r="HI21" s="628"/>
      <c r="HJ21" s="628"/>
      <c r="HK21" s="628"/>
      <c r="HL21" s="628"/>
      <c r="HM21" s="628"/>
      <c r="HN21" s="628"/>
      <c r="HO21" s="628"/>
      <c r="HP21" s="628"/>
      <c r="HQ21" s="628"/>
      <c r="HR21" s="628"/>
      <c r="HS21" s="628"/>
      <c r="HT21" s="628"/>
      <c r="HU21" s="628"/>
      <c r="HV21" s="628"/>
      <c r="HW21" s="628"/>
      <c r="HX21" s="628"/>
      <c r="HY21" s="628"/>
      <c r="HZ21" s="628"/>
      <c r="IA21" s="628"/>
      <c r="IB21" s="628"/>
      <c r="IC21" s="628"/>
      <c r="ID21" s="628"/>
      <c r="IE21" s="628"/>
      <c r="IF21" s="628"/>
      <c r="IG21" s="628"/>
      <c r="IH21" s="628"/>
      <c r="II21" s="628"/>
      <c r="IJ21" s="628"/>
      <c r="IK21" s="628"/>
      <c r="IL21" s="628"/>
      <c r="IM21" s="628"/>
      <c r="IN21" s="628"/>
      <c r="IO21" s="628"/>
      <c r="IP21" s="628"/>
      <c r="IQ21" s="628"/>
      <c r="IR21" s="628"/>
      <c r="IS21" s="628"/>
      <c r="IT21" s="628"/>
      <c r="IU21" s="628"/>
      <c r="IV21" s="628"/>
      <c r="IW21" s="628"/>
      <c r="IX21" s="628"/>
    </row>
    <row r="22" spans="1:258" ht="15" x14ac:dyDescent="0.25">
      <c r="A22" s="1590">
        <v>5</v>
      </c>
      <c r="B22" s="1472">
        <v>44804</v>
      </c>
      <c r="C22" s="1473">
        <f>+('CURVA S'!H16/1.18)</f>
        <v>1560353.1424390441</v>
      </c>
      <c r="D22" s="1473">
        <f t="shared" si="6"/>
        <v>2559189.3894535406</v>
      </c>
      <c r="E22" s="1370">
        <v>1560353.15</v>
      </c>
      <c r="F22" s="1370">
        <f t="shared" si="1"/>
        <v>2559189.4</v>
      </c>
      <c r="G22" s="1476">
        <f>'COE_REAJ_OB. PUENTE'!V56-1</f>
        <v>8.0999999999999961E-2</v>
      </c>
      <c r="H22" s="1370">
        <f t="shared" si="2"/>
        <v>126388.6</v>
      </c>
      <c r="I22" s="1370">
        <f t="shared" si="3"/>
        <v>201150.77000000002</v>
      </c>
      <c r="J22" s="1475">
        <f t="shared" si="0"/>
        <v>126388.61</v>
      </c>
      <c r="K22" s="1475">
        <f t="shared" si="4"/>
        <v>201150.78</v>
      </c>
      <c r="L22" s="1475"/>
      <c r="M22" s="1475">
        <f t="shared" si="7"/>
        <v>126388.61</v>
      </c>
      <c r="N22" s="1475">
        <f t="shared" si="5"/>
        <v>201150.78</v>
      </c>
      <c r="O22" s="1602" t="s">
        <v>1711</v>
      </c>
      <c r="P22" s="629"/>
      <c r="Q22" s="629"/>
      <c r="R22" s="628"/>
      <c r="S22" s="628"/>
      <c r="T22" s="628"/>
      <c r="U22" s="628"/>
      <c r="V22" s="628"/>
      <c r="W22" s="628"/>
      <c r="X22" s="628"/>
      <c r="Y22" s="628"/>
      <c r="Z22" s="628"/>
      <c r="AA22" s="628"/>
      <c r="AB22" s="628"/>
      <c r="AC22" s="628"/>
      <c r="AD22" s="628"/>
      <c r="AE22" s="628"/>
      <c r="AF22" s="628"/>
      <c r="AG22" s="628"/>
      <c r="AH22" s="628"/>
      <c r="AI22" s="628"/>
      <c r="AJ22" s="628"/>
      <c r="AK22" s="628"/>
      <c r="AL22" s="628"/>
      <c r="AM22" s="628"/>
      <c r="AN22" s="628"/>
      <c r="AO22" s="628"/>
      <c r="AP22" s="628"/>
      <c r="AQ22" s="628"/>
      <c r="AR22" s="628"/>
      <c r="AS22" s="628"/>
      <c r="AT22" s="628"/>
      <c r="AU22" s="628"/>
      <c r="AV22" s="628"/>
      <c r="AW22" s="628"/>
      <c r="AX22" s="628"/>
      <c r="AY22" s="628"/>
      <c r="AZ22" s="628"/>
      <c r="BA22" s="628"/>
      <c r="BB22" s="628"/>
      <c r="BC22" s="628"/>
      <c r="BD22" s="628"/>
      <c r="BE22" s="628"/>
      <c r="BF22" s="628"/>
      <c r="BG22" s="628"/>
      <c r="BH22" s="628"/>
      <c r="BI22" s="628"/>
      <c r="BJ22" s="628"/>
      <c r="BK22" s="628"/>
      <c r="BL22" s="628"/>
      <c r="BM22" s="628"/>
      <c r="BN22" s="628"/>
      <c r="BO22" s="628"/>
      <c r="BP22" s="628"/>
      <c r="BQ22" s="628"/>
      <c r="BR22" s="628"/>
      <c r="BS22" s="628"/>
      <c r="BT22" s="628"/>
      <c r="BU22" s="628"/>
      <c r="BV22" s="628"/>
      <c r="BW22" s="628"/>
      <c r="BX22" s="628"/>
      <c r="BY22" s="628"/>
      <c r="BZ22" s="628"/>
      <c r="CA22" s="628"/>
      <c r="CB22" s="628"/>
      <c r="CC22" s="628"/>
      <c r="CD22" s="628"/>
      <c r="CE22" s="628"/>
      <c r="CF22" s="628"/>
      <c r="CG22" s="628"/>
      <c r="CH22" s="628"/>
      <c r="CI22" s="628"/>
      <c r="CJ22" s="628"/>
      <c r="CK22" s="628"/>
      <c r="CL22" s="628"/>
      <c r="CM22" s="628"/>
      <c r="CN22" s="628"/>
      <c r="CO22" s="628"/>
      <c r="CP22" s="628"/>
      <c r="CQ22" s="628"/>
      <c r="CR22" s="628"/>
      <c r="CS22" s="628"/>
      <c r="CT22" s="628"/>
      <c r="CU22" s="628"/>
      <c r="CV22" s="628"/>
      <c r="CW22" s="628"/>
      <c r="CX22" s="628"/>
      <c r="CY22" s="628"/>
      <c r="CZ22" s="628"/>
      <c r="DA22" s="628"/>
      <c r="DB22" s="628"/>
      <c r="DC22" s="628"/>
      <c r="DD22" s="628"/>
      <c r="DE22" s="628"/>
      <c r="DF22" s="628"/>
      <c r="DG22" s="628"/>
      <c r="DH22" s="628"/>
      <c r="DI22" s="628"/>
      <c r="DJ22" s="628"/>
      <c r="DK22" s="628"/>
      <c r="DL22" s="628"/>
      <c r="DM22" s="628"/>
      <c r="DN22" s="628"/>
      <c r="DO22" s="628"/>
      <c r="DP22" s="628"/>
      <c r="DQ22" s="628"/>
      <c r="DR22" s="628"/>
      <c r="DS22" s="628"/>
      <c r="DT22" s="628"/>
      <c r="DU22" s="628"/>
      <c r="DV22" s="628"/>
      <c r="DW22" s="628"/>
      <c r="DX22" s="628"/>
      <c r="DY22" s="628"/>
      <c r="DZ22" s="628"/>
      <c r="EA22" s="628"/>
      <c r="EB22" s="628"/>
      <c r="EC22" s="628"/>
      <c r="ED22" s="628"/>
      <c r="EE22" s="628"/>
      <c r="EF22" s="628"/>
      <c r="EG22" s="628"/>
      <c r="EH22" s="628"/>
      <c r="EI22" s="628"/>
      <c r="EJ22" s="628"/>
      <c r="EK22" s="628"/>
      <c r="EL22" s="628"/>
      <c r="EM22" s="628"/>
      <c r="EN22" s="628"/>
      <c r="EO22" s="628"/>
      <c r="EP22" s="628"/>
      <c r="EQ22" s="628"/>
      <c r="ER22" s="628"/>
      <c r="ES22" s="628"/>
      <c r="ET22" s="628"/>
      <c r="EU22" s="628"/>
      <c r="EV22" s="628"/>
      <c r="EW22" s="628"/>
      <c r="EX22" s="628"/>
      <c r="EY22" s="628"/>
      <c r="EZ22" s="628"/>
      <c r="FA22" s="628"/>
      <c r="FB22" s="628"/>
      <c r="FC22" s="628"/>
      <c r="FD22" s="628"/>
      <c r="FE22" s="628"/>
      <c r="FF22" s="628"/>
      <c r="FG22" s="628"/>
      <c r="FH22" s="628"/>
      <c r="FI22" s="628"/>
      <c r="FJ22" s="628"/>
      <c r="FK22" s="628"/>
      <c r="FL22" s="628"/>
      <c r="FM22" s="628"/>
      <c r="FN22" s="628"/>
      <c r="FO22" s="628"/>
      <c r="FP22" s="628"/>
      <c r="FQ22" s="628"/>
      <c r="FR22" s="628"/>
      <c r="FS22" s="628"/>
      <c r="FT22" s="628"/>
      <c r="FU22" s="628"/>
      <c r="FV22" s="628"/>
      <c r="FW22" s="628"/>
      <c r="FX22" s="628"/>
      <c r="FY22" s="628"/>
      <c r="FZ22" s="628"/>
      <c r="GA22" s="628"/>
      <c r="GB22" s="628"/>
      <c r="GC22" s="628"/>
      <c r="GD22" s="628"/>
      <c r="GE22" s="628"/>
      <c r="GF22" s="628"/>
      <c r="GG22" s="628"/>
      <c r="GH22" s="628"/>
      <c r="GI22" s="628"/>
      <c r="GJ22" s="628"/>
      <c r="GK22" s="628"/>
      <c r="GL22" s="628"/>
      <c r="GM22" s="628"/>
      <c r="GN22" s="628"/>
      <c r="GO22" s="628"/>
      <c r="GP22" s="628"/>
      <c r="GQ22" s="628"/>
      <c r="GR22" s="628"/>
      <c r="GS22" s="628"/>
      <c r="GT22" s="628"/>
      <c r="GU22" s="628"/>
      <c r="GV22" s="628"/>
      <c r="GW22" s="628"/>
      <c r="GX22" s="628"/>
      <c r="GY22" s="628"/>
      <c r="GZ22" s="628"/>
      <c r="HA22" s="628"/>
      <c r="HB22" s="628"/>
      <c r="HC22" s="628"/>
      <c r="HD22" s="628"/>
      <c r="HE22" s="628"/>
      <c r="HF22" s="628"/>
      <c r="HG22" s="628"/>
      <c r="HH22" s="628"/>
      <c r="HI22" s="628"/>
      <c r="HJ22" s="628"/>
      <c r="HK22" s="628"/>
      <c r="HL22" s="628"/>
      <c r="HM22" s="628"/>
      <c r="HN22" s="628"/>
      <c r="HO22" s="628"/>
      <c r="HP22" s="628"/>
      <c r="HQ22" s="628"/>
      <c r="HR22" s="628"/>
      <c r="HS22" s="628"/>
      <c r="HT22" s="628"/>
      <c r="HU22" s="628"/>
      <c r="HV22" s="628"/>
      <c r="HW22" s="628"/>
      <c r="HX22" s="628"/>
      <c r="HY22" s="628"/>
      <c r="HZ22" s="628"/>
      <c r="IA22" s="628"/>
      <c r="IB22" s="628"/>
      <c r="IC22" s="628"/>
      <c r="ID22" s="628"/>
      <c r="IE22" s="628"/>
      <c r="IF22" s="628"/>
      <c r="IG22" s="628"/>
      <c r="IH22" s="628"/>
      <c r="II22" s="628"/>
      <c r="IJ22" s="628"/>
      <c r="IK22" s="628"/>
      <c r="IL22" s="628"/>
      <c r="IM22" s="628"/>
      <c r="IN22" s="628"/>
      <c r="IO22" s="628"/>
      <c r="IP22" s="628"/>
      <c r="IQ22" s="628"/>
      <c r="IR22" s="628"/>
      <c r="IS22" s="628"/>
      <c r="IT22" s="628"/>
      <c r="IU22" s="628"/>
      <c r="IV22" s="628"/>
      <c r="IW22" s="628"/>
      <c r="IX22" s="628"/>
    </row>
    <row r="23" spans="1:258" ht="15" x14ac:dyDescent="0.25">
      <c r="A23" s="1590">
        <v>6</v>
      </c>
      <c r="B23" s="1472">
        <v>44834</v>
      </c>
      <c r="C23" s="1473">
        <f>+'CURVA S'!I16/1.18</f>
        <v>1669307.7410000002</v>
      </c>
      <c r="D23" s="1473">
        <f t="shared" si="6"/>
        <v>4228497.1304535409</v>
      </c>
      <c r="E23" s="1370">
        <v>1669307.74</v>
      </c>
      <c r="F23" s="1370">
        <f t="shared" si="1"/>
        <v>4228497.1399999997</v>
      </c>
      <c r="G23" s="1476">
        <f>'COE_REAJ_OB. PUENTE'!X56-1</f>
        <v>9.6999999999999975E-2</v>
      </c>
      <c r="H23" s="1370">
        <f>ROUND(C23*G23,2)</f>
        <v>161922.85</v>
      </c>
      <c r="I23" s="1370">
        <f t="shared" si="3"/>
        <v>363073.62</v>
      </c>
      <c r="J23" s="1475">
        <f t="shared" si="0"/>
        <v>161922.85</v>
      </c>
      <c r="K23" s="1475">
        <f t="shared" si="4"/>
        <v>363073.63</v>
      </c>
      <c r="L23" s="1475"/>
      <c r="M23" s="1475">
        <f t="shared" si="7"/>
        <v>161922.85</v>
      </c>
      <c r="N23" s="1475">
        <f t="shared" si="5"/>
        <v>363073.63</v>
      </c>
      <c r="O23" s="1602" t="s">
        <v>1711</v>
      </c>
      <c r="P23" s="629"/>
      <c r="Q23" s="629"/>
      <c r="R23" s="628"/>
      <c r="S23" s="628"/>
      <c r="T23" s="628"/>
      <c r="U23" s="628"/>
      <c r="V23" s="628"/>
      <c r="W23" s="628"/>
      <c r="X23" s="628"/>
      <c r="Y23" s="628"/>
      <c r="Z23" s="628"/>
      <c r="AA23" s="628"/>
      <c r="AB23" s="628"/>
      <c r="AC23" s="628"/>
      <c r="AD23" s="628"/>
      <c r="AE23" s="628"/>
      <c r="AF23" s="628"/>
      <c r="AG23" s="628"/>
      <c r="AH23" s="628"/>
      <c r="AI23" s="628"/>
      <c r="AJ23" s="628"/>
      <c r="AK23" s="628"/>
      <c r="AL23" s="628"/>
      <c r="AM23" s="628"/>
      <c r="AN23" s="628"/>
      <c r="AO23" s="628"/>
      <c r="AP23" s="628"/>
      <c r="AQ23" s="628"/>
      <c r="AR23" s="628"/>
      <c r="AS23" s="628"/>
      <c r="AT23" s="628"/>
      <c r="AU23" s="628"/>
      <c r="AV23" s="628"/>
      <c r="AW23" s="628"/>
      <c r="AX23" s="628"/>
      <c r="AY23" s="628"/>
      <c r="AZ23" s="628"/>
      <c r="BA23" s="628"/>
      <c r="BB23" s="628"/>
      <c r="BC23" s="628"/>
      <c r="BD23" s="628"/>
      <c r="BE23" s="628"/>
      <c r="BF23" s="628"/>
      <c r="BG23" s="628"/>
      <c r="BH23" s="628"/>
      <c r="BI23" s="628"/>
      <c r="BJ23" s="628"/>
      <c r="BK23" s="628"/>
      <c r="BL23" s="628"/>
      <c r="BM23" s="628"/>
      <c r="BN23" s="628"/>
      <c r="BO23" s="628"/>
      <c r="BP23" s="628"/>
      <c r="BQ23" s="628"/>
      <c r="BR23" s="628"/>
      <c r="BS23" s="628"/>
      <c r="BT23" s="628"/>
      <c r="BU23" s="628"/>
      <c r="BV23" s="628"/>
      <c r="BW23" s="628"/>
      <c r="BX23" s="628"/>
      <c r="BY23" s="628"/>
      <c r="BZ23" s="628"/>
      <c r="CA23" s="628"/>
      <c r="CB23" s="628"/>
      <c r="CC23" s="628"/>
      <c r="CD23" s="628"/>
      <c r="CE23" s="628"/>
      <c r="CF23" s="628"/>
      <c r="CG23" s="628"/>
      <c r="CH23" s="628"/>
      <c r="CI23" s="628"/>
      <c r="CJ23" s="628"/>
      <c r="CK23" s="628"/>
      <c r="CL23" s="628"/>
      <c r="CM23" s="628"/>
      <c r="CN23" s="628"/>
      <c r="CO23" s="628"/>
      <c r="CP23" s="628"/>
      <c r="CQ23" s="628"/>
      <c r="CR23" s="628"/>
      <c r="CS23" s="628"/>
      <c r="CT23" s="628"/>
      <c r="CU23" s="628"/>
      <c r="CV23" s="628"/>
      <c r="CW23" s="628"/>
      <c r="CX23" s="628"/>
      <c r="CY23" s="628"/>
      <c r="CZ23" s="628"/>
      <c r="DA23" s="628"/>
      <c r="DB23" s="628"/>
      <c r="DC23" s="628"/>
      <c r="DD23" s="628"/>
      <c r="DE23" s="628"/>
      <c r="DF23" s="628"/>
      <c r="DG23" s="628"/>
      <c r="DH23" s="628"/>
      <c r="DI23" s="628"/>
      <c r="DJ23" s="628"/>
      <c r="DK23" s="628"/>
      <c r="DL23" s="628"/>
      <c r="DM23" s="628"/>
      <c r="DN23" s="628"/>
      <c r="DO23" s="628"/>
      <c r="DP23" s="628"/>
      <c r="DQ23" s="628"/>
      <c r="DR23" s="628"/>
      <c r="DS23" s="628"/>
      <c r="DT23" s="628"/>
      <c r="DU23" s="628"/>
      <c r="DV23" s="628"/>
      <c r="DW23" s="628"/>
      <c r="DX23" s="628"/>
      <c r="DY23" s="628"/>
      <c r="DZ23" s="628"/>
      <c r="EA23" s="628"/>
      <c r="EB23" s="628"/>
      <c r="EC23" s="628"/>
      <c r="ED23" s="628"/>
      <c r="EE23" s="628"/>
      <c r="EF23" s="628"/>
      <c r="EG23" s="628"/>
      <c r="EH23" s="628"/>
      <c r="EI23" s="628"/>
      <c r="EJ23" s="628"/>
      <c r="EK23" s="628"/>
      <c r="EL23" s="628"/>
      <c r="EM23" s="628"/>
      <c r="EN23" s="628"/>
      <c r="EO23" s="628"/>
      <c r="EP23" s="628"/>
      <c r="EQ23" s="628"/>
      <c r="ER23" s="628"/>
      <c r="ES23" s="628"/>
      <c r="ET23" s="628"/>
      <c r="EU23" s="628"/>
      <c r="EV23" s="628"/>
      <c r="EW23" s="628"/>
      <c r="EX23" s="628"/>
      <c r="EY23" s="628"/>
      <c r="EZ23" s="628"/>
      <c r="FA23" s="628"/>
      <c r="FB23" s="628"/>
      <c r="FC23" s="628"/>
      <c r="FD23" s="628"/>
      <c r="FE23" s="628"/>
      <c r="FF23" s="628"/>
      <c r="FG23" s="628"/>
      <c r="FH23" s="628"/>
      <c r="FI23" s="628"/>
      <c r="FJ23" s="628"/>
      <c r="FK23" s="628"/>
      <c r="FL23" s="628"/>
      <c r="FM23" s="628"/>
      <c r="FN23" s="628"/>
      <c r="FO23" s="628"/>
      <c r="FP23" s="628"/>
      <c r="FQ23" s="628"/>
      <c r="FR23" s="628"/>
      <c r="FS23" s="628"/>
      <c r="FT23" s="628"/>
      <c r="FU23" s="628"/>
      <c r="FV23" s="628"/>
      <c r="FW23" s="628"/>
      <c r="FX23" s="628"/>
      <c r="FY23" s="628"/>
      <c r="FZ23" s="628"/>
      <c r="GA23" s="628"/>
      <c r="GB23" s="628"/>
      <c r="GC23" s="628"/>
      <c r="GD23" s="628"/>
      <c r="GE23" s="628"/>
      <c r="GF23" s="628"/>
      <c r="GG23" s="628"/>
      <c r="GH23" s="628"/>
      <c r="GI23" s="628"/>
      <c r="GJ23" s="628"/>
      <c r="GK23" s="628"/>
      <c r="GL23" s="628"/>
      <c r="GM23" s="628"/>
      <c r="GN23" s="628"/>
      <c r="GO23" s="628"/>
      <c r="GP23" s="628"/>
      <c r="GQ23" s="628"/>
      <c r="GR23" s="628"/>
      <c r="GS23" s="628"/>
      <c r="GT23" s="628"/>
      <c r="GU23" s="628"/>
      <c r="GV23" s="628"/>
      <c r="GW23" s="628"/>
      <c r="GX23" s="628"/>
      <c r="GY23" s="628"/>
      <c r="GZ23" s="628"/>
      <c r="HA23" s="628"/>
      <c r="HB23" s="628"/>
      <c r="HC23" s="628"/>
      <c r="HD23" s="628"/>
      <c r="HE23" s="628"/>
      <c r="HF23" s="628"/>
      <c r="HG23" s="628"/>
      <c r="HH23" s="628"/>
      <c r="HI23" s="628"/>
      <c r="HJ23" s="628"/>
      <c r="HK23" s="628"/>
      <c r="HL23" s="628"/>
      <c r="HM23" s="628"/>
      <c r="HN23" s="628"/>
      <c r="HO23" s="628"/>
      <c r="HP23" s="628"/>
      <c r="HQ23" s="628"/>
      <c r="HR23" s="628"/>
      <c r="HS23" s="628"/>
      <c r="HT23" s="628"/>
      <c r="HU23" s="628"/>
      <c r="HV23" s="628"/>
      <c r="HW23" s="628"/>
      <c r="HX23" s="628"/>
      <c r="HY23" s="628"/>
      <c r="HZ23" s="628"/>
      <c r="IA23" s="628"/>
      <c r="IB23" s="628"/>
      <c r="IC23" s="628"/>
      <c r="ID23" s="628"/>
      <c r="IE23" s="628"/>
      <c r="IF23" s="628"/>
      <c r="IG23" s="628"/>
      <c r="IH23" s="628"/>
      <c r="II23" s="628"/>
      <c r="IJ23" s="628"/>
      <c r="IK23" s="628"/>
      <c r="IL23" s="628"/>
      <c r="IM23" s="628"/>
      <c r="IN23" s="628"/>
      <c r="IO23" s="628"/>
      <c r="IP23" s="628"/>
      <c r="IQ23" s="628"/>
      <c r="IR23" s="628"/>
      <c r="IS23" s="628"/>
      <c r="IT23" s="628"/>
      <c r="IU23" s="628"/>
      <c r="IV23" s="628"/>
      <c r="IW23" s="628"/>
      <c r="IX23" s="628"/>
    </row>
    <row r="24" spans="1:258" ht="15" x14ac:dyDescent="0.25">
      <c r="A24" s="1590">
        <v>7</v>
      </c>
      <c r="B24" s="1472">
        <v>44865</v>
      </c>
      <c r="C24" s="1473">
        <f>+'CURVA S'!J16/1.18</f>
        <v>134499.09599999999</v>
      </c>
      <c r="D24" s="1473">
        <f t="shared" si="6"/>
        <v>4362996.2264535408</v>
      </c>
      <c r="E24" s="1370">
        <v>134499.1</v>
      </c>
      <c r="F24" s="1370">
        <f t="shared" si="1"/>
        <v>4362996.2399999993</v>
      </c>
      <c r="G24" s="1476">
        <f>'COE_REAJ_OB. PUENTE'!Z56-1</f>
        <v>8.0999999999999961E-2</v>
      </c>
      <c r="H24" s="1370">
        <f>ROUND(C24*G24,2)</f>
        <v>10894.43</v>
      </c>
      <c r="I24" s="1370">
        <f t="shared" si="3"/>
        <v>373968.05</v>
      </c>
      <c r="J24" s="1475">
        <f t="shared" ref="J24" si="8">ROUND(E24*G24,2)</f>
        <v>10894.43</v>
      </c>
      <c r="K24" s="1475">
        <f t="shared" si="4"/>
        <v>373968.06</v>
      </c>
      <c r="L24" s="1475"/>
      <c r="M24" s="1475">
        <f t="shared" si="7"/>
        <v>10894.43</v>
      </c>
      <c r="N24" s="1475">
        <f t="shared" si="5"/>
        <v>373968.06</v>
      </c>
      <c r="O24" s="1602" t="s">
        <v>1711</v>
      </c>
      <c r="P24" s="629"/>
      <c r="Q24" s="629"/>
      <c r="R24" s="628"/>
      <c r="S24" s="628"/>
      <c r="T24" s="628"/>
      <c r="U24" s="628"/>
      <c r="V24" s="628"/>
      <c r="W24" s="628"/>
      <c r="X24" s="628"/>
      <c r="Y24" s="628"/>
      <c r="Z24" s="628"/>
      <c r="AA24" s="628"/>
      <c r="AB24" s="628"/>
      <c r="AC24" s="628"/>
      <c r="AD24" s="628"/>
      <c r="AE24" s="628"/>
      <c r="AF24" s="628"/>
      <c r="AG24" s="628"/>
      <c r="AH24" s="628"/>
      <c r="AI24" s="628"/>
      <c r="AJ24" s="628"/>
      <c r="AK24" s="628"/>
      <c r="AL24" s="628"/>
      <c r="AM24" s="628"/>
      <c r="AN24" s="628"/>
      <c r="AO24" s="628"/>
      <c r="AP24" s="628"/>
      <c r="AQ24" s="628"/>
      <c r="AR24" s="628"/>
      <c r="AS24" s="628"/>
      <c r="AT24" s="628"/>
      <c r="AU24" s="628"/>
      <c r="AV24" s="628"/>
      <c r="AW24" s="628"/>
      <c r="AX24" s="628"/>
      <c r="AY24" s="628"/>
      <c r="AZ24" s="628"/>
      <c r="BA24" s="628"/>
      <c r="BB24" s="628"/>
      <c r="BC24" s="628"/>
      <c r="BD24" s="628"/>
      <c r="BE24" s="628"/>
      <c r="BF24" s="628"/>
      <c r="BG24" s="628"/>
      <c r="BH24" s="628"/>
      <c r="BI24" s="628"/>
      <c r="BJ24" s="628"/>
      <c r="BK24" s="628"/>
      <c r="BL24" s="628"/>
      <c r="BM24" s="628"/>
      <c r="BN24" s="628"/>
      <c r="BO24" s="628"/>
      <c r="BP24" s="628"/>
      <c r="BQ24" s="628"/>
      <c r="BR24" s="628"/>
      <c r="BS24" s="628"/>
      <c r="BT24" s="628"/>
      <c r="BU24" s="628"/>
      <c r="BV24" s="628"/>
      <c r="BW24" s="628"/>
      <c r="BX24" s="628"/>
      <c r="BY24" s="628"/>
      <c r="BZ24" s="628"/>
      <c r="CA24" s="628"/>
      <c r="CB24" s="628"/>
      <c r="CC24" s="628"/>
      <c r="CD24" s="628"/>
      <c r="CE24" s="628"/>
      <c r="CF24" s="628"/>
      <c r="CG24" s="628"/>
      <c r="CH24" s="628"/>
      <c r="CI24" s="628"/>
      <c r="CJ24" s="628"/>
      <c r="CK24" s="628"/>
      <c r="CL24" s="628"/>
      <c r="CM24" s="628"/>
      <c r="CN24" s="628"/>
      <c r="CO24" s="628"/>
      <c r="CP24" s="628"/>
      <c r="CQ24" s="628"/>
      <c r="CR24" s="628"/>
      <c r="CS24" s="628"/>
      <c r="CT24" s="628"/>
      <c r="CU24" s="628"/>
      <c r="CV24" s="628"/>
      <c r="CW24" s="628"/>
      <c r="CX24" s="628"/>
      <c r="CY24" s="628"/>
      <c r="CZ24" s="628"/>
      <c r="DA24" s="628"/>
      <c r="DB24" s="628"/>
      <c r="DC24" s="628"/>
      <c r="DD24" s="628"/>
      <c r="DE24" s="628"/>
      <c r="DF24" s="628"/>
      <c r="DG24" s="628"/>
      <c r="DH24" s="628"/>
      <c r="DI24" s="628"/>
      <c r="DJ24" s="628"/>
      <c r="DK24" s="628"/>
      <c r="DL24" s="628"/>
      <c r="DM24" s="628"/>
      <c r="DN24" s="628"/>
      <c r="DO24" s="628"/>
      <c r="DP24" s="628"/>
      <c r="DQ24" s="628"/>
      <c r="DR24" s="628"/>
      <c r="DS24" s="628"/>
      <c r="DT24" s="628"/>
      <c r="DU24" s="628"/>
      <c r="DV24" s="628"/>
      <c r="DW24" s="628"/>
      <c r="DX24" s="628"/>
      <c r="DY24" s="628"/>
      <c r="DZ24" s="628"/>
      <c r="EA24" s="628"/>
      <c r="EB24" s="628"/>
      <c r="EC24" s="628"/>
      <c r="ED24" s="628"/>
      <c r="EE24" s="628"/>
      <c r="EF24" s="628"/>
      <c r="EG24" s="628"/>
      <c r="EH24" s="628"/>
      <c r="EI24" s="628"/>
      <c r="EJ24" s="628"/>
      <c r="EK24" s="628"/>
      <c r="EL24" s="628"/>
      <c r="EM24" s="628"/>
      <c r="EN24" s="628"/>
      <c r="EO24" s="628"/>
      <c r="EP24" s="628"/>
      <c r="EQ24" s="628"/>
      <c r="ER24" s="628"/>
      <c r="ES24" s="628"/>
      <c r="ET24" s="628"/>
      <c r="EU24" s="628"/>
      <c r="EV24" s="628"/>
      <c r="EW24" s="628"/>
      <c r="EX24" s="628"/>
      <c r="EY24" s="628"/>
      <c r="EZ24" s="628"/>
      <c r="FA24" s="628"/>
      <c r="FB24" s="628"/>
      <c r="FC24" s="628"/>
      <c r="FD24" s="628"/>
      <c r="FE24" s="628"/>
      <c r="FF24" s="628"/>
      <c r="FG24" s="628"/>
      <c r="FH24" s="628"/>
      <c r="FI24" s="628"/>
      <c r="FJ24" s="628"/>
      <c r="FK24" s="628"/>
      <c r="FL24" s="628"/>
      <c r="FM24" s="628"/>
      <c r="FN24" s="628"/>
      <c r="FO24" s="628"/>
      <c r="FP24" s="628"/>
      <c r="FQ24" s="628"/>
      <c r="FR24" s="628"/>
      <c r="FS24" s="628"/>
      <c r="FT24" s="628"/>
      <c r="FU24" s="628"/>
      <c r="FV24" s="628"/>
      <c r="FW24" s="628"/>
      <c r="FX24" s="628"/>
      <c r="FY24" s="628"/>
      <c r="FZ24" s="628"/>
      <c r="GA24" s="628"/>
      <c r="GB24" s="628"/>
      <c r="GC24" s="628"/>
      <c r="GD24" s="628"/>
      <c r="GE24" s="628"/>
      <c r="GF24" s="628"/>
      <c r="GG24" s="628"/>
      <c r="GH24" s="628"/>
      <c r="GI24" s="628"/>
      <c r="GJ24" s="628"/>
      <c r="GK24" s="628"/>
      <c r="GL24" s="628"/>
      <c r="GM24" s="628"/>
      <c r="GN24" s="628"/>
      <c r="GO24" s="628"/>
      <c r="GP24" s="628"/>
      <c r="GQ24" s="628"/>
      <c r="GR24" s="628"/>
      <c r="GS24" s="628"/>
      <c r="GT24" s="628"/>
      <c r="GU24" s="628"/>
      <c r="GV24" s="628"/>
      <c r="GW24" s="628"/>
      <c r="GX24" s="628"/>
      <c r="GY24" s="628"/>
      <c r="GZ24" s="628"/>
      <c r="HA24" s="628"/>
      <c r="HB24" s="628"/>
      <c r="HC24" s="628"/>
      <c r="HD24" s="628"/>
      <c r="HE24" s="628"/>
      <c r="HF24" s="628"/>
      <c r="HG24" s="628"/>
      <c r="HH24" s="628"/>
      <c r="HI24" s="628"/>
      <c r="HJ24" s="628"/>
      <c r="HK24" s="628"/>
      <c r="HL24" s="628"/>
      <c r="HM24" s="628"/>
      <c r="HN24" s="628"/>
      <c r="HO24" s="628"/>
      <c r="HP24" s="628"/>
      <c r="HQ24" s="628"/>
      <c r="HR24" s="628"/>
      <c r="HS24" s="628"/>
      <c r="HT24" s="628"/>
      <c r="HU24" s="628"/>
      <c r="HV24" s="628"/>
      <c r="HW24" s="628"/>
      <c r="HX24" s="628"/>
      <c r="HY24" s="628"/>
      <c r="HZ24" s="628"/>
      <c r="IA24" s="628"/>
      <c r="IB24" s="628"/>
      <c r="IC24" s="628"/>
      <c r="ID24" s="628"/>
      <c r="IE24" s="628"/>
      <c r="IF24" s="628"/>
      <c r="IG24" s="628"/>
      <c r="IH24" s="628"/>
      <c r="II24" s="628"/>
      <c r="IJ24" s="628"/>
      <c r="IK24" s="628"/>
      <c r="IL24" s="628"/>
      <c r="IM24" s="628"/>
      <c r="IN24" s="628"/>
      <c r="IO24" s="628"/>
      <c r="IP24" s="628"/>
      <c r="IQ24" s="628"/>
      <c r="IR24" s="628"/>
      <c r="IS24" s="628"/>
      <c r="IT24" s="628"/>
      <c r="IU24" s="628"/>
      <c r="IV24" s="628"/>
      <c r="IW24" s="628"/>
      <c r="IX24" s="628"/>
    </row>
    <row r="25" spans="1:258" ht="15" x14ac:dyDescent="0.25">
      <c r="A25" s="1590">
        <v>8</v>
      </c>
      <c r="B25" s="1472">
        <v>44895</v>
      </c>
      <c r="C25" s="1473">
        <f>+'CURVA S'!K16/1.18</f>
        <v>1413649.9661016949</v>
      </c>
      <c r="D25" s="1473">
        <f t="shared" si="6"/>
        <v>5776646.1925552357</v>
      </c>
      <c r="E25" s="1370">
        <v>1413649.97</v>
      </c>
      <c r="F25" s="1370">
        <f t="shared" ref="F25:F26" si="9">+E25+F24</f>
        <v>5776646.209999999</v>
      </c>
      <c r="G25" s="1476">
        <f>'COE_REAJ_OB. PUENTE'!Z56-1</f>
        <v>8.0999999999999961E-2</v>
      </c>
      <c r="H25" s="1370">
        <f>ROUND(C25*G25,2)</f>
        <v>114505.65</v>
      </c>
      <c r="I25" s="1370">
        <f t="shared" ref="I25:I26" si="10">+H25+I24</f>
        <v>488473.69999999995</v>
      </c>
      <c r="J25" s="1475">
        <f t="shared" ref="J25" si="11">ROUND(E25*G25,2)</f>
        <v>114505.65</v>
      </c>
      <c r="K25" s="1475">
        <f t="shared" ref="K25:K26" si="12">+J25+K24</f>
        <v>488473.70999999996</v>
      </c>
      <c r="L25" s="1475"/>
      <c r="M25" s="1475">
        <f t="shared" si="7"/>
        <v>114505.65</v>
      </c>
      <c r="N25" s="1475">
        <f t="shared" ref="N25:N26" si="13">+M25+N24</f>
        <v>488473.70999999996</v>
      </c>
      <c r="O25" s="1602" t="s">
        <v>1454</v>
      </c>
      <c r="P25" s="629"/>
      <c r="Q25" s="629"/>
      <c r="R25" s="628"/>
      <c r="S25" s="628"/>
      <c r="T25" s="628"/>
      <c r="U25" s="628"/>
      <c r="V25" s="628"/>
      <c r="W25" s="628"/>
      <c r="X25" s="628"/>
      <c r="Y25" s="628"/>
      <c r="Z25" s="628"/>
      <c r="AA25" s="628"/>
      <c r="AB25" s="628"/>
      <c r="AC25" s="628"/>
      <c r="AD25" s="628"/>
      <c r="AE25" s="628"/>
      <c r="AF25" s="628"/>
      <c r="AG25" s="628"/>
      <c r="AH25" s="628"/>
      <c r="AI25" s="628"/>
      <c r="AJ25" s="628"/>
      <c r="AK25" s="628"/>
      <c r="AL25" s="628"/>
      <c r="AM25" s="628"/>
      <c r="AN25" s="628"/>
      <c r="AO25" s="628"/>
      <c r="AP25" s="628"/>
      <c r="AQ25" s="628"/>
      <c r="AR25" s="628"/>
      <c r="AS25" s="628"/>
      <c r="AT25" s="628"/>
      <c r="AU25" s="628"/>
      <c r="AV25" s="628"/>
      <c r="AW25" s="628"/>
      <c r="AX25" s="628"/>
      <c r="AY25" s="628"/>
      <c r="AZ25" s="628"/>
      <c r="BA25" s="628"/>
      <c r="BB25" s="628"/>
      <c r="BC25" s="628"/>
      <c r="BD25" s="628"/>
      <c r="BE25" s="628"/>
      <c r="BF25" s="628"/>
      <c r="BG25" s="628"/>
      <c r="BH25" s="628"/>
      <c r="BI25" s="628"/>
      <c r="BJ25" s="628"/>
      <c r="BK25" s="628"/>
      <c r="BL25" s="628"/>
      <c r="BM25" s="628"/>
      <c r="BN25" s="628"/>
      <c r="BO25" s="628"/>
      <c r="BP25" s="628"/>
      <c r="BQ25" s="628"/>
      <c r="BR25" s="628"/>
      <c r="BS25" s="628"/>
      <c r="BT25" s="628"/>
      <c r="BU25" s="628"/>
      <c r="BV25" s="628"/>
      <c r="BW25" s="628"/>
      <c r="BX25" s="628"/>
      <c r="BY25" s="628"/>
      <c r="BZ25" s="628"/>
      <c r="CA25" s="628"/>
      <c r="CB25" s="628"/>
      <c r="CC25" s="628"/>
      <c r="CD25" s="628"/>
      <c r="CE25" s="628"/>
      <c r="CF25" s="628"/>
      <c r="CG25" s="628"/>
      <c r="CH25" s="628"/>
      <c r="CI25" s="628"/>
      <c r="CJ25" s="628"/>
      <c r="CK25" s="628"/>
      <c r="CL25" s="628"/>
      <c r="CM25" s="628"/>
      <c r="CN25" s="628"/>
      <c r="CO25" s="628"/>
      <c r="CP25" s="628"/>
      <c r="CQ25" s="628"/>
      <c r="CR25" s="628"/>
      <c r="CS25" s="628"/>
      <c r="CT25" s="628"/>
      <c r="CU25" s="628"/>
      <c r="CV25" s="628"/>
      <c r="CW25" s="628"/>
      <c r="CX25" s="628"/>
      <c r="CY25" s="628"/>
      <c r="CZ25" s="628"/>
      <c r="DA25" s="628"/>
      <c r="DB25" s="628"/>
      <c r="DC25" s="628"/>
      <c r="DD25" s="628"/>
      <c r="DE25" s="628"/>
      <c r="DF25" s="628"/>
      <c r="DG25" s="628"/>
      <c r="DH25" s="628"/>
      <c r="DI25" s="628"/>
      <c r="DJ25" s="628"/>
      <c r="DK25" s="628"/>
      <c r="DL25" s="628"/>
      <c r="DM25" s="628"/>
      <c r="DN25" s="628"/>
      <c r="DO25" s="628"/>
      <c r="DP25" s="628"/>
      <c r="DQ25" s="628"/>
      <c r="DR25" s="628"/>
      <c r="DS25" s="628"/>
      <c r="DT25" s="628"/>
      <c r="DU25" s="628"/>
      <c r="DV25" s="628"/>
      <c r="DW25" s="628"/>
      <c r="DX25" s="628"/>
      <c r="DY25" s="628"/>
      <c r="DZ25" s="628"/>
      <c r="EA25" s="628"/>
      <c r="EB25" s="628"/>
      <c r="EC25" s="628"/>
      <c r="ED25" s="628"/>
      <c r="EE25" s="628"/>
      <c r="EF25" s="628"/>
      <c r="EG25" s="628"/>
      <c r="EH25" s="628"/>
      <c r="EI25" s="628"/>
      <c r="EJ25" s="628"/>
      <c r="EK25" s="628"/>
      <c r="EL25" s="628"/>
      <c r="EM25" s="628"/>
      <c r="EN25" s="628"/>
      <c r="EO25" s="628"/>
      <c r="EP25" s="628"/>
      <c r="EQ25" s="628"/>
      <c r="ER25" s="628"/>
      <c r="ES25" s="628"/>
      <c r="ET25" s="628"/>
      <c r="EU25" s="628"/>
      <c r="EV25" s="628"/>
      <c r="EW25" s="628"/>
      <c r="EX25" s="628"/>
      <c r="EY25" s="628"/>
      <c r="EZ25" s="628"/>
      <c r="FA25" s="628"/>
      <c r="FB25" s="628"/>
      <c r="FC25" s="628"/>
      <c r="FD25" s="628"/>
      <c r="FE25" s="628"/>
      <c r="FF25" s="628"/>
      <c r="FG25" s="628"/>
      <c r="FH25" s="628"/>
      <c r="FI25" s="628"/>
      <c r="FJ25" s="628"/>
      <c r="FK25" s="628"/>
      <c r="FL25" s="628"/>
      <c r="FM25" s="628"/>
      <c r="FN25" s="628"/>
      <c r="FO25" s="628"/>
      <c r="FP25" s="628"/>
      <c r="FQ25" s="628"/>
      <c r="FR25" s="628"/>
      <c r="FS25" s="628"/>
      <c r="FT25" s="628"/>
      <c r="FU25" s="628"/>
      <c r="FV25" s="628"/>
      <c r="FW25" s="628"/>
      <c r="FX25" s="628"/>
      <c r="FY25" s="628"/>
      <c r="FZ25" s="628"/>
      <c r="GA25" s="628"/>
      <c r="GB25" s="628"/>
      <c r="GC25" s="628"/>
      <c r="GD25" s="628"/>
      <c r="GE25" s="628"/>
      <c r="GF25" s="628"/>
      <c r="GG25" s="628"/>
      <c r="GH25" s="628"/>
      <c r="GI25" s="628"/>
      <c r="GJ25" s="628"/>
      <c r="GK25" s="628"/>
      <c r="GL25" s="628"/>
      <c r="GM25" s="628"/>
      <c r="GN25" s="628"/>
      <c r="GO25" s="628"/>
      <c r="GP25" s="628"/>
      <c r="GQ25" s="628"/>
      <c r="GR25" s="628"/>
      <c r="GS25" s="628"/>
      <c r="GT25" s="628"/>
      <c r="GU25" s="628"/>
      <c r="GV25" s="628"/>
      <c r="GW25" s="628"/>
      <c r="GX25" s="628"/>
      <c r="GY25" s="628"/>
      <c r="GZ25" s="628"/>
      <c r="HA25" s="628"/>
      <c r="HB25" s="628"/>
      <c r="HC25" s="628"/>
      <c r="HD25" s="628"/>
      <c r="HE25" s="628"/>
      <c r="HF25" s="628"/>
      <c r="HG25" s="628"/>
      <c r="HH25" s="628"/>
      <c r="HI25" s="628"/>
      <c r="HJ25" s="628"/>
      <c r="HK25" s="628"/>
      <c r="HL25" s="628"/>
      <c r="HM25" s="628"/>
      <c r="HN25" s="628"/>
      <c r="HO25" s="628"/>
      <c r="HP25" s="628"/>
      <c r="HQ25" s="628"/>
      <c r="HR25" s="628"/>
      <c r="HS25" s="628"/>
      <c r="HT25" s="628"/>
      <c r="HU25" s="628"/>
      <c r="HV25" s="628"/>
      <c r="HW25" s="628"/>
      <c r="HX25" s="628"/>
      <c r="HY25" s="628"/>
      <c r="HZ25" s="628"/>
      <c r="IA25" s="628"/>
      <c r="IB25" s="628"/>
      <c r="IC25" s="628"/>
      <c r="ID25" s="628"/>
      <c r="IE25" s="628"/>
      <c r="IF25" s="628"/>
      <c r="IG25" s="628"/>
      <c r="IH25" s="628"/>
      <c r="II25" s="628"/>
      <c r="IJ25" s="628"/>
      <c r="IK25" s="628"/>
      <c r="IL25" s="628"/>
      <c r="IM25" s="628"/>
      <c r="IN25" s="628"/>
      <c r="IO25" s="628"/>
      <c r="IP25" s="628"/>
      <c r="IQ25" s="628"/>
      <c r="IR25" s="628"/>
      <c r="IS25" s="628"/>
      <c r="IT25" s="628"/>
      <c r="IU25" s="628"/>
      <c r="IV25" s="628"/>
      <c r="IW25" s="628"/>
      <c r="IX25" s="628"/>
    </row>
    <row r="26" spans="1:258" ht="15" x14ac:dyDescent="0.25">
      <c r="A26" s="1590">
        <v>9</v>
      </c>
      <c r="B26" s="1472">
        <v>44926</v>
      </c>
      <c r="C26" s="1473">
        <f>+'CURVA S'!L16/1.18</f>
        <v>122934.97457627118</v>
      </c>
      <c r="D26" s="1473">
        <f t="shared" si="6"/>
        <v>5899581.1671315068</v>
      </c>
      <c r="E26" s="1370">
        <f>'PUENTE CCANCHI'!J127</f>
        <v>213592.8</v>
      </c>
      <c r="F26" s="1370">
        <f t="shared" si="9"/>
        <v>5990239.0099999988</v>
      </c>
      <c r="G26" s="1476">
        <f>'COE_REAJ_OB. PUENTE'!Z56-1</f>
        <v>8.0999999999999961E-2</v>
      </c>
      <c r="H26" s="1370">
        <f t="shared" si="2"/>
        <v>9957.73</v>
      </c>
      <c r="I26" s="1370">
        <f t="shared" si="10"/>
        <v>498431.42999999993</v>
      </c>
      <c r="J26" s="1475">
        <f t="shared" si="0"/>
        <v>17301.02</v>
      </c>
      <c r="K26" s="1475">
        <f t="shared" si="12"/>
        <v>505774.73</v>
      </c>
      <c r="L26" s="1475"/>
      <c r="M26" s="1475">
        <f t="shared" si="7"/>
        <v>17301.02</v>
      </c>
      <c r="N26" s="1475">
        <f t="shared" si="13"/>
        <v>505774.73</v>
      </c>
      <c r="O26" s="1602" t="s">
        <v>1454</v>
      </c>
      <c r="P26" s="629"/>
      <c r="Q26" s="629"/>
      <c r="R26" s="628"/>
      <c r="S26" s="628"/>
      <c r="T26" s="628"/>
      <c r="U26" s="628"/>
      <c r="V26" s="628"/>
      <c r="W26" s="628"/>
      <c r="X26" s="628"/>
      <c r="Y26" s="628"/>
      <c r="Z26" s="628"/>
      <c r="AA26" s="628"/>
      <c r="AB26" s="628"/>
      <c r="AC26" s="628"/>
      <c r="AD26" s="628"/>
      <c r="AE26" s="628"/>
      <c r="AF26" s="628"/>
      <c r="AG26" s="628"/>
      <c r="AH26" s="628"/>
      <c r="AI26" s="628"/>
      <c r="AJ26" s="628"/>
      <c r="AK26" s="628"/>
      <c r="AL26" s="628"/>
      <c r="AM26" s="628"/>
      <c r="AN26" s="628"/>
      <c r="AO26" s="628"/>
      <c r="AP26" s="628"/>
      <c r="AQ26" s="628"/>
      <c r="AR26" s="628"/>
      <c r="AS26" s="628"/>
      <c r="AT26" s="628"/>
      <c r="AU26" s="628"/>
      <c r="AV26" s="628"/>
      <c r="AW26" s="628"/>
      <c r="AX26" s="628"/>
      <c r="AY26" s="628"/>
      <c r="AZ26" s="628"/>
      <c r="BA26" s="628"/>
      <c r="BB26" s="628"/>
      <c r="BC26" s="628"/>
      <c r="BD26" s="628"/>
      <c r="BE26" s="628"/>
      <c r="BF26" s="628"/>
      <c r="BG26" s="628"/>
      <c r="BH26" s="628"/>
      <c r="BI26" s="628"/>
      <c r="BJ26" s="628"/>
      <c r="BK26" s="628"/>
      <c r="BL26" s="628"/>
      <c r="BM26" s="628"/>
      <c r="BN26" s="628"/>
      <c r="BO26" s="628"/>
      <c r="BP26" s="628"/>
      <c r="BQ26" s="628"/>
      <c r="BR26" s="628"/>
      <c r="BS26" s="628"/>
      <c r="BT26" s="628"/>
      <c r="BU26" s="628"/>
      <c r="BV26" s="628"/>
      <c r="BW26" s="628"/>
      <c r="BX26" s="628"/>
      <c r="BY26" s="628"/>
      <c r="BZ26" s="628"/>
      <c r="CA26" s="628"/>
      <c r="CB26" s="628"/>
      <c r="CC26" s="628"/>
      <c r="CD26" s="628"/>
      <c r="CE26" s="628"/>
      <c r="CF26" s="628"/>
      <c r="CG26" s="628"/>
      <c r="CH26" s="628"/>
      <c r="CI26" s="628"/>
      <c r="CJ26" s="628"/>
      <c r="CK26" s="628"/>
      <c r="CL26" s="628"/>
      <c r="CM26" s="628"/>
      <c r="CN26" s="628"/>
      <c r="CO26" s="628"/>
      <c r="CP26" s="628"/>
      <c r="CQ26" s="628"/>
      <c r="CR26" s="628"/>
      <c r="CS26" s="628"/>
      <c r="CT26" s="628"/>
      <c r="CU26" s="628"/>
      <c r="CV26" s="628"/>
      <c r="CW26" s="628"/>
      <c r="CX26" s="628"/>
      <c r="CY26" s="628"/>
      <c r="CZ26" s="628"/>
      <c r="DA26" s="628"/>
      <c r="DB26" s="628"/>
      <c r="DC26" s="628"/>
      <c r="DD26" s="628"/>
      <c r="DE26" s="628"/>
      <c r="DF26" s="628"/>
      <c r="DG26" s="628"/>
      <c r="DH26" s="628"/>
      <c r="DI26" s="628"/>
      <c r="DJ26" s="628"/>
      <c r="DK26" s="628"/>
      <c r="DL26" s="628"/>
      <c r="DM26" s="628"/>
      <c r="DN26" s="628"/>
      <c r="DO26" s="628"/>
      <c r="DP26" s="628"/>
      <c r="DQ26" s="628"/>
      <c r="DR26" s="628"/>
      <c r="DS26" s="628"/>
      <c r="DT26" s="628"/>
      <c r="DU26" s="628"/>
      <c r="DV26" s="628"/>
      <c r="DW26" s="628"/>
      <c r="DX26" s="628"/>
      <c r="DY26" s="628"/>
      <c r="DZ26" s="628"/>
      <c r="EA26" s="628"/>
      <c r="EB26" s="628"/>
      <c r="EC26" s="628"/>
      <c r="ED26" s="628"/>
      <c r="EE26" s="628"/>
      <c r="EF26" s="628"/>
      <c r="EG26" s="628"/>
      <c r="EH26" s="628"/>
      <c r="EI26" s="628"/>
      <c r="EJ26" s="628"/>
      <c r="EK26" s="628"/>
      <c r="EL26" s="628"/>
      <c r="EM26" s="628"/>
      <c r="EN26" s="628"/>
      <c r="EO26" s="628"/>
      <c r="EP26" s="628"/>
      <c r="EQ26" s="628"/>
      <c r="ER26" s="628"/>
      <c r="ES26" s="628"/>
      <c r="ET26" s="628"/>
      <c r="EU26" s="628"/>
      <c r="EV26" s="628"/>
      <c r="EW26" s="628"/>
      <c r="EX26" s="628"/>
      <c r="EY26" s="628"/>
      <c r="EZ26" s="628"/>
      <c r="FA26" s="628"/>
      <c r="FB26" s="628"/>
      <c r="FC26" s="628"/>
      <c r="FD26" s="628"/>
      <c r="FE26" s="628"/>
      <c r="FF26" s="628"/>
      <c r="FG26" s="628"/>
      <c r="FH26" s="628"/>
      <c r="FI26" s="628"/>
      <c r="FJ26" s="628"/>
      <c r="FK26" s="628"/>
      <c r="FL26" s="628"/>
      <c r="FM26" s="628"/>
      <c r="FN26" s="628"/>
      <c r="FO26" s="628"/>
      <c r="FP26" s="628"/>
      <c r="FQ26" s="628"/>
      <c r="FR26" s="628"/>
      <c r="FS26" s="628"/>
      <c r="FT26" s="628"/>
      <c r="FU26" s="628"/>
      <c r="FV26" s="628"/>
      <c r="FW26" s="628"/>
      <c r="FX26" s="628"/>
      <c r="FY26" s="628"/>
      <c r="FZ26" s="628"/>
      <c r="GA26" s="628"/>
      <c r="GB26" s="628"/>
      <c r="GC26" s="628"/>
      <c r="GD26" s="628"/>
      <c r="GE26" s="628"/>
      <c r="GF26" s="628"/>
      <c r="GG26" s="628"/>
      <c r="GH26" s="628"/>
      <c r="GI26" s="628"/>
      <c r="GJ26" s="628"/>
      <c r="GK26" s="628"/>
      <c r="GL26" s="628"/>
      <c r="GM26" s="628"/>
      <c r="GN26" s="628"/>
      <c r="GO26" s="628"/>
      <c r="GP26" s="628"/>
      <c r="GQ26" s="628"/>
      <c r="GR26" s="628"/>
      <c r="GS26" s="628"/>
      <c r="GT26" s="628"/>
      <c r="GU26" s="628"/>
      <c r="GV26" s="628"/>
      <c r="GW26" s="628"/>
      <c r="GX26" s="628"/>
      <c r="GY26" s="628"/>
      <c r="GZ26" s="628"/>
      <c r="HA26" s="628"/>
      <c r="HB26" s="628"/>
      <c r="HC26" s="628"/>
      <c r="HD26" s="628"/>
      <c r="HE26" s="628"/>
      <c r="HF26" s="628"/>
      <c r="HG26" s="628"/>
      <c r="HH26" s="628"/>
      <c r="HI26" s="628"/>
      <c r="HJ26" s="628"/>
      <c r="HK26" s="628"/>
      <c r="HL26" s="628"/>
      <c r="HM26" s="628"/>
      <c r="HN26" s="628"/>
      <c r="HO26" s="628"/>
      <c r="HP26" s="628"/>
      <c r="HQ26" s="628"/>
      <c r="HR26" s="628"/>
      <c r="HS26" s="628"/>
      <c r="HT26" s="628"/>
      <c r="HU26" s="628"/>
      <c r="HV26" s="628"/>
      <c r="HW26" s="628"/>
      <c r="HX26" s="628"/>
      <c r="HY26" s="628"/>
      <c r="HZ26" s="628"/>
      <c r="IA26" s="628"/>
      <c r="IB26" s="628"/>
      <c r="IC26" s="628"/>
      <c r="ID26" s="628"/>
      <c r="IE26" s="628"/>
      <c r="IF26" s="628"/>
      <c r="IG26" s="628"/>
      <c r="IH26" s="628"/>
      <c r="II26" s="628"/>
      <c r="IJ26" s="628"/>
      <c r="IK26" s="628"/>
      <c r="IL26" s="628"/>
      <c r="IM26" s="628"/>
      <c r="IN26" s="628"/>
      <c r="IO26" s="628"/>
      <c r="IP26" s="628"/>
      <c r="IQ26" s="628"/>
      <c r="IR26" s="628"/>
      <c r="IS26" s="628"/>
      <c r="IT26" s="628"/>
      <c r="IU26" s="628"/>
      <c r="IV26" s="628"/>
      <c r="IW26" s="628"/>
      <c r="IX26" s="628"/>
    </row>
    <row r="27" spans="1:258" ht="15" x14ac:dyDescent="0.25">
      <c r="A27" s="1590">
        <v>10</v>
      </c>
      <c r="B27" s="1472">
        <v>44957</v>
      </c>
      <c r="C27" s="1473">
        <f>+'CURVA S'!M16/1.18</f>
        <v>924752.69491525425</v>
      </c>
      <c r="D27" s="1473">
        <f t="shared" si="6"/>
        <v>6824333.8620467614</v>
      </c>
      <c r="E27" s="1370">
        <v>0</v>
      </c>
      <c r="F27" s="1370"/>
      <c r="G27" s="1476"/>
      <c r="H27" s="1370">
        <f t="shared" si="2"/>
        <v>0</v>
      </c>
      <c r="I27" s="1370"/>
      <c r="J27" s="1475">
        <f>ROUND(E27*G27,2)</f>
        <v>0</v>
      </c>
      <c r="K27" s="1475"/>
      <c r="L27" s="1475"/>
      <c r="M27" s="1475">
        <v>0</v>
      </c>
      <c r="N27" s="1475"/>
      <c r="O27" s="1591"/>
      <c r="P27" s="629"/>
      <c r="Q27" s="629"/>
      <c r="R27" s="628"/>
      <c r="S27" s="628"/>
      <c r="T27" s="628"/>
      <c r="U27" s="628"/>
      <c r="V27" s="628"/>
      <c r="W27" s="628"/>
      <c r="X27" s="628"/>
      <c r="Y27" s="628"/>
      <c r="Z27" s="628"/>
      <c r="AA27" s="628"/>
      <c r="AB27" s="628"/>
      <c r="AC27" s="628"/>
      <c r="AD27" s="628"/>
      <c r="AE27" s="628"/>
      <c r="AF27" s="628"/>
      <c r="AG27" s="628"/>
      <c r="AH27" s="628"/>
      <c r="AI27" s="628"/>
      <c r="AJ27" s="628"/>
      <c r="AK27" s="628"/>
      <c r="AL27" s="628"/>
      <c r="AM27" s="628"/>
      <c r="AN27" s="628"/>
      <c r="AO27" s="628"/>
      <c r="AP27" s="628"/>
      <c r="AQ27" s="628"/>
      <c r="AR27" s="628"/>
      <c r="AS27" s="628"/>
      <c r="AT27" s="628"/>
      <c r="AU27" s="628"/>
      <c r="AV27" s="628"/>
      <c r="AW27" s="628"/>
      <c r="AX27" s="628"/>
      <c r="AY27" s="628"/>
      <c r="AZ27" s="628"/>
      <c r="BA27" s="628"/>
      <c r="BB27" s="628"/>
      <c r="BC27" s="628"/>
      <c r="BD27" s="628"/>
      <c r="BE27" s="628"/>
      <c r="BF27" s="628"/>
      <c r="BG27" s="628"/>
      <c r="BH27" s="628"/>
      <c r="BI27" s="628"/>
      <c r="BJ27" s="628"/>
      <c r="BK27" s="628"/>
      <c r="BL27" s="628"/>
      <c r="BM27" s="628"/>
      <c r="BN27" s="628"/>
      <c r="BO27" s="628"/>
      <c r="BP27" s="628"/>
      <c r="BQ27" s="628"/>
      <c r="BR27" s="628"/>
      <c r="BS27" s="628"/>
      <c r="BT27" s="628"/>
      <c r="BU27" s="628"/>
      <c r="BV27" s="628"/>
      <c r="BW27" s="628"/>
      <c r="BX27" s="628"/>
      <c r="BY27" s="628"/>
      <c r="BZ27" s="628"/>
      <c r="CA27" s="628"/>
      <c r="CB27" s="628"/>
      <c r="CC27" s="628"/>
      <c r="CD27" s="628"/>
      <c r="CE27" s="628"/>
      <c r="CF27" s="628"/>
      <c r="CG27" s="628"/>
      <c r="CH27" s="628"/>
      <c r="CI27" s="628"/>
      <c r="CJ27" s="628"/>
      <c r="CK27" s="628"/>
      <c r="CL27" s="628"/>
      <c r="CM27" s="628"/>
      <c r="CN27" s="628"/>
      <c r="CO27" s="628"/>
      <c r="CP27" s="628"/>
      <c r="CQ27" s="628"/>
      <c r="CR27" s="628"/>
      <c r="CS27" s="628"/>
      <c r="CT27" s="628"/>
      <c r="CU27" s="628"/>
      <c r="CV27" s="628"/>
      <c r="CW27" s="628"/>
      <c r="CX27" s="628"/>
      <c r="CY27" s="628"/>
      <c r="CZ27" s="628"/>
      <c r="DA27" s="628"/>
      <c r="DB27" s="628"/>
      <c r="DC27" s="628"/>
      <c r="DD27" s="628"/>
      <c r="DE27" s="628"/>
      <c r="DF27" s="628"/>
      <c r="DG27" s="628"/>
      <c r="DH27" s="628"/>
      <c r="DI27" s="628"/>
      <c r="DJ27" s="628"/>
      <c r="DK27" s="628"/>
      <c r="DL27" s="628"/>
      <c r="DM27" s="628"/>
      <c r="DN27" s="628"/>
      <c r="DO27" s="628"/>
      <c r="DP27" s="628"/>
      <c r="DQ27" s="628"/>
      <c r="DR27" s="628"/>
      <c r="DS27" s="628"/>
      <c r="DT27" s="628"/>
      <c r="DU27" s="628"/>
      <c r="DV27" s="628"/>
      <c r="DW27" s="628"/>
      <c r="DX27" s="628"/>
      <c r="DY27" s="628"/>
      <c r="DZ27" s="628"/>
      <c r="EA27" s="628"/>
      <c r="EB27" s="628"/>
      <c r="EC27" s="628"/>
      <c r="ED27" s="628"/>
      <c r="EE27" s="628"/>
      <c r="EF27" s="628"/>
      <c r="EG27" s="628"/>
      <c r="EH27" s="628"/>
      <c r="EI27" s="628"/>
      <c r="EJ27" s="628"/>
      <c r="EK27" s="628"/>
      <c r="EL27" s="628"/>
      <c r="EM27" s="628"/>
      <c r="EN27" s="628"/>
      <c r="EO27" s="628"/>
      <c r="EP27" s="628"/>
      <c r="EQ27" s="628"/>
      <c r="ER27" s="628"/>
      <c r="ES27" s="628"/>
      <c r="ET27" s="628"/>
      <c r="EU27" s="628"/>
      <c r="EV27" s="628"/>
      <c r="EW27" s="628"/>
      <c r="EX27" s="628"/>
      <c r="EY27" s="628"/>
      <c r="EZ27" s="628"/>
      <c r="FA27" s="628"/>
      <c r="FB27" s="628"/>
      <c r="FC27" s="628"/>
      <c r="FD27" s="628"/>
      <c r="FE27" s="628"/>
      <c r="FF27" s="628"/>
      <c r="FG27" s="628"/>
      <c r="FH27" s="628"/>
      <c r="FI27" s="628"/>
      <c r="FJ27" s="628"/>
      <c r="FK27" s="628"/>
      <c r="FL27" s="628"/>
      <c r="FM27" s="628"/>
      <c r="FN27" s="628"/>
      <c r="FO27" s="628"/>
      <c r="FP27" s="628"/>
      <c r="FQ27" s="628"/>
      <c r="FR27" s="628"/>
      <c r="FS27" s="628"/>
      <c r="FT27" s="628"/>
      <c r="FU27" s="628"/>
      <c r="FV27" s="628"/>
      <c r="FW27" s="628"/>
      <c r="FX27" s="628"/>
      <c r="FY27" s="628"/>
      <c r="FZ27" s="628"/>
      <c r="GA27" s="628"/>
      <c r="GB27" s="628"/>
      <c r="GC27" s="628"/>
      <c r="GD27" s="628"/>
      <c r="GE27" s="628"/>
      <c r="GF27" s="628"/>
      <c r="GG27" s="628"/>
      <c r="GH27" s="628"/>
      <c r="GI27" s="628"/>
      <c r="GJ27" s="628"/>
      <c r="GK27" s="628"/>
      <c r="GL27" s="628"/>
      <c r="GM27" s="628"/>
      <c r="GN27" s="628"/>
      <c r="GO27" s="628"/>
      <c r="GP27" s="628"/>
      <c r="GQ27" s="628"/>
      <c r="GR27" s="628"/>
      <c r="GS27" s="628"/>
      <c r="GT27" s="628"/>
      <c r="GU27" s="628"/>
      <c r="GV27" s="628"/>
      <c r="GW27" s="628"/>
      <c r="GX27" s="628"/>
      <c r="GY27" s="628"/>
      <c r="GZ27" s="628"/>
      <c r="HA27" s="628"/>
      <c r="HB27" s="628"/>
      <c r="HC27" s="628"/>
      <c r="HD27" s="628"/>
      <c r="HE27" s="628"/>
      <c r="HF27" s="628"/>
      <c r="HG27" s="628"/>
      <c r="HH27" s="628"/>
      <c r="HI27" s="628"/>
      <c r="HJ27" s="628"/>
      <c r="HK27" s="628"/>
      <c r="HL27" s="628"/>
      <c r="HM27" s="628"/>
      <c r="HN27" s="628"/>
      <c r="HO27" s="628"/>
      <c r="HP27" s="628"/>
      <c r="HQ27" s="628"/>
      <c r="HR27" s="628"/>
      <c r="HS27" s="628"/>
      <c r="HT27" s="628"/>
      <c r="HU27" s="628"/>
      <c r="HV27" s="628"/>
      <c r="HW27" s="628"/>
      <c r="HX27" s="628"/>
      <c r="HY27" s="628"/>
      <c r="HZ27" s="628"/>
      <c r="IA27" s="628"/>
      <c r="IB27" s="628"/>
      <c r="IC27" s="628"/>
      <c r="ID27" s="628"/>
      <c r="IE27" s="628"/>
      <c r="IF27" s="628"/>
      <c r="IG27" s="628"/>
      <c r="IH27" s="628"/>
      <c r="II27" s="628"/>
      <c r="IJ27" s="628"/>
      <c r="IK27" s="628"/>
      <c r="IL27" s="628"/>
      <c r="IM27" s="628"/>
      <c r="IN27" s="628"/>
      <c r="IO27" s="628"/>
      <c r="IP27" s="628"/>
      <c r="IQ27" s="628"/>
      <c r="IR27" s="628"/>
      <c r="IS27" s="628"/>
      <c r="IT27" s="628"/>
      <c r="IU27" s="628"/>
      <c r="IV27" s="628"/>
      <c r="IW27" s="628"/>
      <c r="IX27" s="628"/>
    </row>
    <row r="28" spans="1:258" ht="15" x14ac:dyDescent="0.25">
      <c r="A28" s="1590">
        <v>11</v>
      </c>
      <c r="B28" s="1472">
        <v>44985</v>
      </c>
      <c r="C28" s="1473">
        <f>+'CURVA S'!N16/1.18</f>
        <v>1504392.2711864407</v>
      </c>
      <c r="D28" s="1473">
        <f t="shared" si="6"/>
        <v>8328726.1332332026</v>
      </c>
      <c r="E28" s="1370">
        <f>+VAL_RES.!N39</f>
        <v>0</v>
      </c>
      <c r="F28" s="1370"/>
      <c r="G28" s="1476"/>
      <c r="H28" s="1370">
        <f t="shared" si="2"/>
        <v>0</v>
      </c>
      <c r="I28" s="1370"/>
      <c r="J28" s="1475">
        <f>ROUND(E28*G28,2)</f>
        <v>0</v>
      </c>
      <c r="K28" s="1475"/>
      <c r="L28" s="1475"/>
      <c r="M28" s="1475">
        <v>0</v>
      </c>
      <c r="N28" s="1475"/>
      <c r="O28" s="1591"/>
      <c r="P28" s="629"/>
      <c r="Q28" s="629"/>
      <c r="R28" s="628"/>
      <c r="S28" s="628"/>
      <c r="T28" s="628"/>
      <c r="U28" s="628"/>
      <c r="V28" s="628"/>
      <c r="W28" s="628"/>
      <c r="X28" s="628"/>
      <c r="Y28" s="628"/>
      <c r="Z28" s="628"/>
      <c r="AA28" s="628"/>
      <c r="AB28" s="628"/>
      <c r="AC28" s="628"/>
      <c r="AD28" s="628"/>
      <c r="AE28" s="628"/>
      <c r="AF28" s="628"/>
      <c r="AG28" s="628"/>
      <c r="AH28" s="628"/>
      <c r="AI28" s="628"/>
      <c r="AJ28" s="628"/>
      <c r="AK28" s="628"/>
      <c r="AL28" s="628"/>
      <c r="AM28" s="628"/>
      <c r="AN28" s="628"/>
      <c r="AO28" s="628"/>
      <c r="AP28" s="628"/>
      <c r="AQ28" s="628"/>
      <c r="AR28" s="628"/>
      <c r="AS28" s="628"/>
      <c r="AT28" s="628"/>
      <c r="AU28" s="628"/>
      <c r="AV28" s="628"/>
      <c r="AW28" s="628"/>
      <c r="AX28" s="628"/>
      <c r="AY28" s="628"/>
      <c r="AZ28" s="628"/>
      <c r="BA28" s="628"/>
      <c r="BB28" s="628"/>
      <c r="BC28" s="628"/>
      <c r="BD28" s="628"/>
      <c r="BE28" s="628"/>
      <c r="BF28" s="628"/>
      <c r="BG28" s="628"/>
      <c r="BH28" s="628"/>
      <c r="BI28" s="628"/>
      <c r="BJ28" s="628"/>
      <c r="BK28" s="628"/>
      <c r="BL28" s="628"/>
      <c r="BM28" s="628"/>
      <c r="BN28" s="628"/>
      <c r="BO28" s="628"/>
      <c r="BP28" s="628"/>
      <c r="BQ28" s="628"/>
      <c r="BR28" s="628"/>
      <c r="BS28" s="628"/>
      <c r="BT28" s="628"/>
      <c r="BU28" s="628"/>
      <c r="BV28" s="628"/>
      <c r="BW28" s="628"/>
      <c r="BX28" s="628"/>
      <c r="BY28" s="628"/>
      <c r="BZ28" s="628"/>
      <c r="CA28" s="628"/>
      <c r="CB28" s="628"/>
      <c r="CC28" s="628"/>
      <c r="CD28" s="628"/>
      <c r="CE28" s="628"/>
      <c r="CF28" s="628"/>
      <c r="CG28" s="628"/>
      <c r="CH28" s="628"/>
      <c r="CI28" s="628"/>
      <c r="CJ28" s="628"/>
      <c r="CK28" s="628"/>
      <c r="CL28" s="628"/>
      <c r="CM28" s="628"/>
      <c r="CN28" s="628"/>
      <c r="CO28" s="628"/>
      <c r="CP28" s="628"/>
      <c r="CQ28" s="628"/>
      <c r="CR28" s="628"/>
      <c r="CS28" s="628"/>
      <c r="CT28" s="628"/>
      <c r="CU28" s="628"/>
      <c r="CV28" s="628"/>
      <c r="CW28" s="628"/>
      <c r="CX28" s="628"/>
      <c r="CY28" s="628"/>
      <c r="CZ28" s="628"/>
      <c r="DA28" s="628"/>
      <c r="DB28" s="628"/>
      <c r="DC28" s="628"/>
      <c r="DD28" s="628"/>
      <c r="DE28" s="628"/>
      <c r="DF28" s="628"/>
      <c r="DG28" s="628"/>
      <c r="DH28" s="628"/>
      <c r="DI28" s="628"/>
      <c r="DJ28" s="628"/>
      <c r="DK28" s="628"/>
      <c r="DL28" s="628"/>
      <c r="DM28" s="628"/>
      <c r="DN28" s="628"/>
      <c r="DO28" s="628"/>
      <c r="DP28" s="628"/>
      <c r="DQ28" s="628"/>
      <c r="DR28" s="628"/>
      <c r="DS28" s="628"/>
      <c r="DT28" s="628"/>
      <c r="DU28" s="628"/>
      <c r="DV28" s="628"/>
      <c r="DW28" s="628"/>
      <c r="DX28" s="628"/>
      <c r="DY28" s="628"/>
      <c r="DZ28" s="628"/>
      <c r="EA28" s="628"/>
      <c r="EB28" s="628"/>
      <c r="EC28" s="628"/>
      <c r="ED28" s="628"/>
      <c r="EE28" s="628"/>
      <c r="EF28" s="628"/>
      <c r="EG28" s="628"/>
      <c r="EH28" s="628"/>
      <c r="EI28" s="628"/>
      <c r="EJ28" s="628"/>
      <c r="EK28" s="628"/>
      <c r="EL28" s="628"/>
      <c r="EM28" s="628"/>
      <c r="EN28" s="628"/>
      <c r="EO28" s="628"/>
      <c r="EP28" s="628"/>
      <c r="EQ28" s="628"/>
      <c r="ER28" s="628"/>
      <c r="ES28" s="628"/>
      <c r="ET28" s="628"/>
      <c r="EU28" s="628"/>
      <c r="EV28" s="628"/>
      <c r="EW28" s="628"/>
      <c r="EX28" s="628"/>
      <c r="EY28" s="628"/>
      <c r="EZ28" s="628"/>
      <c r="FA28" s="628"/>
      <c r="FB28" s="628"/>
      <c r="FC28" s="628"/>
      <c r="FD28" s="628"/>
      <c r="FE28" s="628"/>
      <c r="FF28" s="628"/>
      <c r="FG28" s="628"/>
      <c r="FH28" s="628"/>
      <c r="FI28" s="628"/>
      <c r="FJ28" s="628"/>
      <c r="FK28" s="628"/>
      <c r="FL28" s="628"/>
      <c r="FM28" s="628"/>
      <c r="FN28" s="628"/>
      <c r="FO28" s="628"/>
      <c r="FP28" s="628"/>
      <c r="FQ28" s="628"/>
      <c r="FR28" s="628"/>
      <c r="FS28" s="628"/>
      <c r="FT28" s="628"/>
      <c r="FU28" s="628"/>
      <c r="FV28" s="628"/>
      <c r="FW28" s="628"/>
      <c r="FX28" s="628"/>
      <c r="FY28" s="628"/>
      <c r="FZ28" s="628"/>
      <c r="GA28" s="628"/>
      <c r="GB28" s="628"/>
      <c r="GC28" s="628"/>
      <c r="GD28" s="628"/>
      <c r="GE28" s="628"/>
      <c r="GF28" s="628"/>
      <c r="GG28" s="628"/>
      <c r="GH28" s="628"/>
      <c r="GI28" s="628"/>
      <c r="GJ28" s="628"/>
      <c r="GK28" s="628"/>
      <c r="GL28" s="628"/>
      <c r="GM28" s="628"/>
      <c r="GN28" s="628"/>
      <c r="GO28" s="628"/>
      <c r="GP28" s="628"/>
      <c r="GQ28" s="628"/>
      <c r="GR28" s="628"/>
      <c r="GS28" s="628"/>
      <c r="GT28" s="628"/>
      <c r="GU28" s="628"/>
      <c r="GV28" s="628"/>
      <c r="GW28" s="628"/>
      <c r="GX28" s="628"/>
      <c r="GY28" s="628"/>
      <c r="GZ28" s="628"/>
      <c r="HA28" s="628"/>
      <c r="HB28" s="628"/>
      <c r="HC28" s="628"/>
      <c r="HD28" s="628"/>
      <c r="HE28" s="628"/>
      <c r="HF28" s="628"/>
      <c r="HG28" s="628"/>
      <c r="HH28" s="628"/>
      <c r="HI28" s="628"/>
      <c r="HJ28" s="628"/>
      <c r="HK28" s="628"/>
      <c r="HL28" s="628"/>
      <c r="HM28" s="628"/>
      <c r="HN28" s="628"/>
      <c r="HO28" s="628"/>
      <c r="HP28" s="628"/>
      <c r="HQ28" s="628"/>
      <c r="HR28" s="628"/>
      <c r="HS28" s="628"/>
      <c r="HT28" s="628"/>
      <c r="HU28" s="628"/>
      <c r="HV28" s="628"/>
      <c r="HW28" s="628"/>
      <c r="HX28" s="628"/>
      <c r="HY28" s="628"/>
      <c r="HZ28" s="628"/>
      <c r="IA28" s="628"/>
      <c r="IB28" s="628"/>
      <c r="IC28" s="628"/>
      <c r="ID28" s="628"/>
      <c r="IE28" s="628"/>
      <c r="IF28" s="628"/>
      <c r="IG28" s="628"/>
      <c r="IH28" s="628"/>
      <c r="II28" s="628"/>
      <c r="IJ28" s="628"/>
      <c r="IK28" s="628"/>
      <c r="IL28" s="628"/>
      <c r="IM28" s="628"/>
      <c r="IN28" s="628"/>
      <c r="IO28" s="628"/>
      <c r="IP28" s="628"/>
      <c r="IQ28" s="628"/>
      <c r="IR28" s="628"/>
      <c r="IS28" s="628"/>
      <c r="IT28" s="628"/>
      <c r="IU28" s="628"/>
      <c r="IV28" s="628"/>
      <c r="IW28" s="628"/>
      <c r="IX28" s="628"/>
    </row>
    <row r="29" spans="1:258" ht="15" x14ac:dyDescent="0.25">
      <c r="A29" s="1590">
        <v>12</v>
      </c>
      <c r="B29" s="1472">
        <v>45016</v>
      </c>
      <c r="C29" s="1473">
        <f>+'CURVA S'!O16/1.18</f>
        <v>1416758.6949152544</v>
      </c>
      <c r="D29" s="1473">
        <f t="shared" si="6"/>
        <v>9745484.8281484563</v>
      </c>
      <c r="E29" s="1370">
        <f>+VAL_RES.!O39</f>
        <v>0</v>
      </c>
      <c r="F29" s="1370"/>
      <c r="G29" s="1476"/>
      <c r="H29" s="1370">
        <f t="shared" si="2"/>
        <v>0</v>
      </c>
      <c r="I29" s="1370"/>
      <c r="J29" s="1475">
        <f t="shared" ref="J29:J30" si="14">ROUND(E29*G29,2)</f>
        <v>0</v>
      </c>
      <c r="K29" s="1475"/>
      <c r="L29" s="1475"/>
      <c r="M29" s="1475">
        <v>0</v>
      </c>
      <c r="N29" s="1475"/>
      <c r="O29" s="1591"/>
      <c r="P29" s="629"/>
      <c r="Q29" s="629"/>
      <c r="R29" s="628"/>
      <c r="S29" s="628"/>
      <c r="T29" s="628"/>
      <c r="U29" s="628"/>
      <c r="V29" s="628"/>
      <c r="W29" s="628"/>
      <c r="X29" s="628"/>
      <c r="Y29" s="628"/>
      <c r="Z29" s="628"/>
      <c r="AA29" s="628"/>
      <c r="AB29" s="628"/>
      <c r="AC29" s="628"/>
      <c r="AD29" s="628"/>
      <c r="AE29" s="628"/>
      <c r="AF29" s="628"/>
      <c r="AG29" s="628"/>
      <c r="AH29" s="628"/>
      <c r="AI29" s="628"/>
      <c r="AJ29" s="628"/>
      <c r="AK29" s="628"/>
      <c r="AL29" s="628"/>
      <c r="AM29" s="628"/>
      <c r="AN29" s="628"/>
      <c r="AO29" s="628"/>
      <c r="AP29" s="628"/>
      <c r="AQ29" s="628"/>
      <c r="AR29" s="628"/>
      <c r="AS29" s="628"/>
      <c r="AT29" s="628"/>
      <c r="AU29" s="628"/>
      <c r="AV29" s="628"/>
      <c r="AW29" s="628"/>
      <c r="AX29" s="628"/>
      <c r="AY29" s="628"/>
      <c r="AZ29" s="628"/>
      <c r="BA29" s="628"/>
      <c r="BB29" s="628"/>
      <c r="BC29" s="628"/>
      <c r="BD29" s="628"/>
      <c r="BE29" s="628"/>
      <c r="BF29" s="628"/>
      <c r="BG29" s="628"/>
      <c r="BH29" s="628"/>
      <c r="BI29" s="628"/>
      <c r="BJ29" s="628"/>
      <c r="BK29" s="628"/>
      <c r="BL29" s="628"/>
      <c r="BM29" s="628"/>
      <c r="BN29" s="628"/>
      <c r="BO29" s="628"/>
      <c r="BP29" s="628"/>
      <c r="BQ29" s="628"/>
      <c r="BR29" s="628"/>
      <c r="BS29" s="628"/>
      <c r="BT29" s="628"/>
      <c r="BU29" s="628"/>
      <c r="BV29" s="628"/>
      <c r="BW29" s="628"/>
      <c r="BX29" s="628"/>
      <c r="BY29" s="628"/>
      <c r="BZ29" s="628"/>
      <c r="CA29" s="628"/>
      <c r="CB29" s="628"/>
      <c r="CC29" s="628"/>
      <c r="CD29" s="628"/>
      <c r="CE29" s="628"/>
      <c r="CF29" s="628"/>
      <c r="CG29" s="628"/>
      <c r="CH29" s="628"/>
      <c r="CI29" s="628"/>
      <c r="CJ29" s="628"/>
      <c r="CK29" s="628"/>
      <c r="CL29" s="628"/>
      <c r="CM29" s="628"/>
      <c r="CN29" s="628"/>
      <c r="CO29" s="628"/>
      <c r="CP29" s="628"/>
      <c r="CQ29" s="628"/>
      <c r="CR29" s="628"/>
      <c r="CS29" s="628"/>
      <c r="CT29" s="628"/>
      <c r="CU29" s="628"/>
      <c r="CV29" s="628"/>
      <c r="CW29" s="628"/>
      <c r="CX29" s="628"/>
      <c r="CY29" s="628"/>
      <c r="CZ29" s="628"/>
      <c r="DA29" s="628"/>
      <c r="DB29" s="628"/>
      <c r="DC29" s="628"/>
      <c r="DD29" s="628"/>
      <c r="DE29" s="628"/>
      <c r="DF29" s="628"/>
      <c r="DG29" s="628"/>
      <c r="DH29" s="628"/>
      <c r="DI29" s="628"/>
      <c r="DJ29" s="628"/>
      <c r="DK29" s="628"/>
      <c r="DL29" s="628"/>
      <c r="DM29" s="628"/>
      <c r="DN29" s="628"/>
      <c r="DO29" s="628"/>
      <c r="DP29" s="628"/>
      <c r="DQ29" s="628"/>
      <c r="DR29" s="628"/>
      <c r="DS29" s="628"/>
      <c r="DT29" s="628"/>
      <c r="DU29" s="628"/>
      <c r="DV29" s="628"/>
      <c r="DW29" s="628"/>
      <c r="DX29" s="628"/>
      <c r="DY29" s="628"/>
      <c r="DZ29" s="628"/>
      <c r="EA29" s="628"/>
      <c r="EB29" s="628"/>
      <c r="EC29" s="628"/>
      <c r="ED29" s="628"/>
      <c r="EE29" s="628"/>
      <c r="EF29" s="628"/>
      <c r="EG29" s="628"/>
      <c r="EH29" s="628"/>
      <c r="EI29" s="628"/>
      <c r="EJ29" s="628"/>
      <c r="EK29" s="628"/>
      <c r="EL29" s="628"/>
      <c r="EM29" s="628"/>
      <c r="EN29" s="628"/>
      <c r="EO29" s="628"/>
      <c r="EP29" s="628"/>
      <c r="EQ29" s="628"/>
      <c r="ER29" s="628"/>
      <c r="ES29" s="628"/>
      <c r="ET29" s="628"/>
      <c r="EU29" s="628"/>
      <c r="EV29" s="628"/>
      <c r="EW29" s="628"/>
      <c r="EX29" s="628"/>
      <c r="EY29" s="628"/>
      <c r="EZ29" s="628"/>
      <c r="FA29" s="628"/>
      <c r="FB29" s="628"/>
      <c r="FC29" s="628"/>
      <c r="FD29" s="628"/>
      <c r="FE29" s="628"/>
      <c r="FF29" s="628"/>
      <c r="FG29" s="628"/>
      <c r="FH29" s="628"/>
      <c r="FI29" s="628"/>
      <c r="FJ29" s="628"/>
      <c r="FK29" s="628"/>
      <c r="FL29" s="628"/>
      <c r="FM29" s="628"/>
      <c r="FN29" s="628"/>
      <c r="FO29" s="628"/>
      <c r="FP29" s="628"/>
      <c r="FQ29" s="628"/>
      <c r="FR29" s="628"/>
      <c r="FS29" s="628"/>
      <c r="FT29" s="628"/>
      <c r="FU29" s="628"/>
      <c r="FV29" s="628"/>
      <c r="FW29" s="628"/>
      <c r="FX29" s="628"/>
      <c r="FY29" s="628"/>
      <c r="FZ29" s="628"/>
      <c r="GA29" s="628"/>
      <c r="GB29" s="628"/>
      <c r="GC29" s="628"/>
      <c r="GD29" s="628"/>
      <c r="GE29" s="628"/>
      <c r="GF29" s="628"/>
      <c r="GG29" s="628"/>
      <c r="GH29" s="628"/>
      <c r="GI29" s="628"/>
      <c r="GJ29" s="628"/>
      <c r="GK29" s="628"/>
      <c r="GL29" s="628"/>
      <c r="GM29" s="628"/>
      <c r="GN29" s="628"/>
      <c r="GO29" s="628"/>
      <c r="GP29" s="628"/>
      <c r="GQ29" s="628"/>
      <c r="GR29" s="628"/>
      <c r="GS29" s="628"/>
      <c r="GT29" s="628"/>
      <c r="GU29" s="628"/>
      <c r="GV29" s="628"/>
      <c r="GW29" s="628"/>
      <c r="GX29" s="628"/>
      <c r="GY29" s="628"/>
      <c r="GZ29" s="628"/>
      <c r="HA29" s="628"/>
      <c r="HB29" s="628"/>
      <c r="HC29" s="628"/>
      <c r="HD29" s="628"/>
      <c r="HE29" s="628"/>
      <c r="HF29" s="628"/>
      <c r="HG29" s="628"/>
      <c r="HH29" s="628"/>
      <c r="HI29" s="628"/>
      <c r="HJ29" s="628"/>
      <c r="HK29" s="628"/>
      <c r="HL29" s="628"/>
      <c r="HM29" s="628"/>
      <c r="HN29" s="628"/>
      <c r="HO29" s="628"/>
      <c r="HP29" s="628"/>
      <c r="HQ29" s="628"/>
      <c r="HR29" s="628"/>
      <c r="HS29" s="628"/>
      <c r="HT29" s="628"/>
      <c r="HU29" s="628"/>
      <c r="HV29" s="628"/>
      <c r="HW29" s="628"/>
      <c r="HX29" s="628"/>
      <c r="HY29" s="628"/>
      <c r="HZ29" s="628"/>
      <c r="IA29" s="628"/>
      <c r="IB29" s="628"/>
      <c r="IC29" s="628"/>
      <c r="ID29" s="628"/>
      <c r="IE29" s="628"/>
      <c r="IF29" s="628"/>
      <c r="IG29" s="628"/>
      <c r="IH29" s="628"/>
      <c r="II29" s="628"/>
      <c r="IJ29" s="628"/>
      <c r="IK29" s="628"/>
      <c r="IL29" s="628"/>
      <c r="IM29" s="628"/>
      <c r="IN29" s="628"/>
      <c r="IO29" s="628"/>
      <c r="IP29" s="628"/>
      <c r="IQ29" s="628"/>
      <c r="IR29" s="628"/>
      <c r="IS29" s="628"/>
      <c r="IT29" s="628"/>
      <c r="IU29" s="628"/>
      <c r="IV29" s="628"/>
      <c r="IW29" s="628"/>
      <c r="IX29" s="628"/>
    </row>
    <row r="30" spans="1:258" ht="15" x14ac:dyDescent="0.25">
      <c r="A30" s="1590">
        <v>13</v>
      </c>
      <c r="B30" s="1472">
        <v>45046</v>
      </c>
      <c r="C30" s="1473">
        <f>+'CURVA S'!P16/1.18</f>
        <v>1745389.8135593222</v>
      </c>
      <c r="D30" s="1473">
        <f t="shared" si="6"/>
        <v>11490874.641707778</v>
      </c>
      <c r="E30" s="1370">
        <f>+VAL_RES.!P39</f>
        <v>0</v>
      </c>
      <c r="F30" s="1370"/>
      <c r="G30" s="1476"/>
      <c r="H30" s="1370">
        <f t="shared" si="2"/>
        <v>0</v>
      </c>
      <c r="I30" s="1370"/>
      <c r="J30" s="1475">
        <f t="shared" si="14"/>
        <v>0</v>
      </c>
      <c r="K30" s="1475"/>
      <c r="L30" s="1475"/>
      <c r="M30" s="1475">
        <v>0</v>
      </c>
      <c r="N30" s="1475"/>
      <c r="O30" s="1591"/>
      <c r="P30" s="629"/>
      <c r="Q30" s="629"/>
      <c r="R30" s="628"/>
      <c r="S30" s="628"/>
      <c r="T30" s="628"/>
      <c r="U30" s="628"/>
      <c r="V30" s="628"/>
      <c r="W30" s="628"/>
      <c r="X30" s="628"/>
      <c r="Y30" s="628"/>
      <c r="Z30" s="628"/>
      <c r="AA30" s="628"/>
      <c r="AB30" s="628"/>
      <c r="AC30" s="628"/>
      <c r="AD30" s="628"/>
      <c r="AE30" s="628"/>
      <c r="AF30" s="628"/>
      <c r="AG30" s="628"/>
      <c r="AH30" s="628"/>
      <c r="AI30" s="628"/>
      <c r="AJ30" s="628"/>
      <c r="AK30" s="628"/>
      <c r="AL30" s="628"/>
      <c r="AM30" s="628"/>
      <c r="AN30" s="628"/>
      <c r="AO30" s="628"/>
      <c r="AP30" s="628"/>
      <c r="AQ30" s="628"/>
      <c r="AR30" s="628"/>
      <c r="AS30" s="628"/>
      <c r="AT30" s="628"/>
      <c r="AU30" s="628"/>
      <c r="AV30" s="628"/>
      <c r="AW30" s="628"/>
      <c r="AX30" s="628"/>
      <c r="AY30" s="628"/>
      <c r="AZ30" s="628"/>
      <c r="BA30" s="628"/>
      <c r="BB30" s="628"/>
      <c r="BC30" s="628"/>
      <c r="BD30" s="628"/>
      <c r="BE30" s="628"/>
      <c r="BF30" s="628"/>
      <c r="BG30" s="628"/>
      <c r="BH30" s="628"/>
      <c r="BI30" s="628"/>
      <c r="BJ30" s="628"/>
      <c r="BK30" s="628"/>
      <c r="BL30" s="628"/>
      <c r="BM30" s="628"/>
      <c r="BN30" s="628"/>
      <c r="BO30" s="628"/>
      <c r="BP30" s="628"/>
      <c r="BQ30" s="628"/>
      <c r="BR30" s="628"/>
      <c r="BS30" s="628"/>
      <c r="BT30" s="628"/>
      <c r="BU30" s="628"/>
      <c r="BV30" s="628"/>
      <c r="BW30" s="628"/>
      <c r="BX30" s="628"/>
      <c r="BY30" s="628"/>
      <c r="BZ30" s="628"/>
      <c r="CA30" s="628"/>
      <c r="CB30" s="628"/>
      <c r="CC30" s="628"/>
      <c r="CD30" s="628"/>
      <c r="CE30" s="628"/>
      <c r="CF30" s="628"/>
      <c r="CG30" s="628"/>
      <c r="CH30" s="628"/>
      <c r="CI30" s="628"/>
      <c r="CJ30" s="628"/>
      <c r="CK30" s="628"/>
      <c r="CL30" s="628"/>
      <c r="CM30" s="628"/>
      <c r="CN30" s="628"/>
      <c r="CO30" s="628"/>
      <c r="CP30" s="628"/>
      <c r="CQ30" s="628"/>
      <c r="CR30" s="628"/>
      <c r="CS30" s="628"/>
      <c r="CT30" s="628"/>
      <c r="CU30" s="628"/>
      <c r="CV30" s="628"/>
      <c r="CW30" s="628"/>
      <c r="CX30" s="628"/>
      <c r="CY30" s="628"/>
      <c r="CZ30" s="628"/>
      <c r="DA30" s="628"/>
      <c r="DB30" s="628"/>
      <c r="DC30" s="628"/>
      <c r="DD30" s="628"/>
      <c r="DE30" s="628"/>
      <c r="DF30" s="628"/>
      <c r="DG30" s="628"/>
      <c r="DH30" s="628"/>
      <c r="DI30" s="628"/>
      <c r="DJ30" s="628"/>
      <c r="DK30" s="628"/>
      <c r="DL30" s="628"/>
      <c r="DM30" s="628"/>
      <c r="DN30" s="628"/>
      <c r="DO30" s="628"/>
      <c r="DP30" s="628"/>
      <c r="DQ30" s="628"/>
      <c r="DR30" s="628"/>
      <c r="DS30" s="628"/>
      <c r="DT30" s="628"/>
      <c r="DU30" s="628"/>
      <c r="DV30" s="628"/>
      <c r="DW30" s="628"/>
      <c r="DX30" s="628"/>
      <c r="DY30" s="628"/>
      <c r="DZ30" s="628"/>
      <c r="EA30" s="628"/>
      <c r="EB30" s="628"/>
      <c r="EC30" s="628"/>
      <c r="ED30" s="628"/>
      <c r="EE30" s="628"/>
      <c r="EF30" s="628"/>
      <c r="EG30" s="628"/>
      <c r="EH30" s="628"/>
      <c r="EI30" s="628"/>
      <c r="EJ30" s="628"/>
      <c r="EK30" s="628"/>
      <c r="EL30" s="628"/>
      <c r="EM30" s="628"/>
      <c r="EN30" s="628"/>
      <c r="EO30" s="628"/>
      <c r="EP30" s="628"/>
      <c r="EQ30" s="628"/>
      <c r="ER30" s="628"/>
      <c r="ES30" s="628"/>
      <c r="ET30" s="628"/>
      <c r="EU30" s="628"/>
      <c r="EV30" s="628"/>
      <c r="EW30" s="628"/>
      <c r="EX30" s="628"/>
      <c r="EY30" s="628"/>
      <c r="EZ30" s="628"/>
      <c r="FA30" s="628"/>
      <c r="FB30" s="628"/>
      <c r="FC30" s="628"/>
      <c r="FD30" s="628"/>
      <c r="FE30" s="628"/>
      <c r="FF30" s="628"/>
      <c r="FG30" s="628"/>
      <c r="FH30" s="628"/>
      <c r="FI30" s="628"/>
      <c r="FJ30" s="628"/>
      <c r="FK30" s="628"/>
      <c r="FL30" s="628"/>
      <c r="FM30" s="628"/>
      <c r="FN30" s="628"/>
      <c r="FO30" s="628"/>
      <c r="FP30" s="628"/>
      <c r="FQ30" s="628"/>
      <c r="FR30" s="628"/>
      <c r="FS30" s="628"/>
      <c r="FT30" s="628"/>
      <c r="FU30" s="628"/>
      <c r="FV30" s="628"/>
      <c r="FW30" s="628"/>
      <c r="FX30" s="628"/>
      <c r="FY30" s="628"/>
      <c r="FZ30" s="628"/>
      <c r="GA30" s="628"/>
      <c r="GB30" s="628"/>
      <c r="GC30" s="628"/>
      <c r="GD30" s="628"/>
      <c r="GE30" s="628"/>
      <c r="GF30" s="628"/>
      <c r="GG30" s="628"/>
      <c r="GH30" s="628"/>
      <c r="GI30" s="628"/>
      <c r="GJ30" s="628"/>
      <c r="GK30" s="628"/>
      <c r="GL30" s="628"/>
      <c r="GM30" s="628"/>
      <c r="GN30" s="628"/>
      <c r="GO30" s="628"/>
      <c r="GP30" s="628"/>
      <c r="GQ30" s="628"/>
      <c r="GR30" s="628"/>
      <c r="GS30" s="628"/>
      <c r="GT30" s="628"/>
      <c r="GU30" s="628"/>
      <c r="GV30" s="628"/>
      <c r="GW30" s="628"/>
      <c r="GX30" s="628"/>
      <c r="GY30" s="628"/>
      <c r="GZ30" s="628"/>
      <c r="HA30" s="628"/>
      <c r="HB30" s="628"/>
      <c r="HC30" s="628"/>
      <c r="HD30" s="628"/>
      <c r="HE30" s="628"/>
      <c r="HF30" s="628"/>
      <c r="HG30" s="628"/>
      <c r="HH30" s="628"/>
      <c r="HI30" s="628"/>
      <c r="HJ30" s="628"/>
      <c r="HK30" s="628"/>
      <c r="HL30" s="628"/>
      <c r="HM30" s="628"/>
      <c r="HN30" s="628"/>
      <c r="HO30" s="628"/>
      <c r="HP30" s="628"/>
      <c r="HQ30" s="628"/>
      <c r="HR30" s="628"/>
      <c r="HS30" s="628"/>
      <c r="HT30" s="628"/>
      <c r="HU30" s="628"/>
      <c r="HV30" s="628"/>
      <c r="HW30" s="628"/>
      <c r="HX30" s="628"/>
      <c r="HY30" s="628"/>
      <c r="HZ30" s="628"/>
      <c r="IA30" s="628"/>
      <c r="IB30" s="628"/>
      <c r="IC30" s="628"/>
      <c r="ID30" s="628"/>
      <c r="IE30" s="628"/>
      <c r="IF30" s="628"/>
      <c r="IG30" s="628"/>
      <c r="IH30" s="628"/>
      <c r="II30" s="628"/>
      <c r="IJ30" s="628"/>
      <c r="IK30" s="628"/>
      <c r="IL30" s="628"/>
      <c r="IM30" s="628"/>
      <c r="IN30" s="628"/>
      <c r="IO30" s="628"/>
      <c r="IP30" s="628"/>
      <c r="IQ30" s="628"/>
      <c r="IR30" s="628"/>
      <c r="IS30" s="628"/>
      <c r="IT30" s="628"/>
      <c r="IU30" s="628"/>
      <c r="IV30" s="628"/>
      <c r="IW30" s="628"/>
      <c r="IX30" s="628"/>
    </row>
    <row r="31" spans="1:258" ht="15" x14ac:dyDescent="0.25">
      <c r="A31" s="1590">
        <v>14</v>
      </c>
      <c r="B31" s="1472">
        <v>45076</v>
      </c>
      <c r="C31" s="1473">
        <f>+'CURVA S'!Q16/1.18</f>
        <v>1262964.9745762711</v>
      </c>
      <c r="D31" s="1473">
        <f>+C31+D30</f>
        <v>12753839.61628405</v>
      </c>
      <c r="E31" s="1370">
        <f>+VAL_RES.!P40</f>
        <v>0</v>
      </c>
      <c r="F31" s="1370"/>
      <c r="G31" s="1476"/>
      <c r="H31" s="1370">
        <f t="shared" ref="H31" si="15">ROUND(C31*G31,2)</f>
        <v>0</v>
      </c>
      <c r="I31" s="1370"/>
      <c r="J31" s="1475">
        <f t="shared" ref="J31" si="16">ROUND(E31*G31,2)</f>
        <v>0</v>
      </c>
      <c r="K31" s="1475"/>
      <c r="L31" s="1475"/>
      <c r="M31" s="1475">
        <v>0</v>
      </c>
      <c r="N31" s="1475"/>
      <c r="O31" s="1591"/>
      <c r="P31" s="629"/>
      <c r="Q31" s="629"/>
      <c r="R31" s="628"/>
      <c r="S31" s="628"/>
      <c r="T31" s="628"/>
      <c r="U31" s="628"/>
      <c r="V31" s="628"/>
      <c r="W31" s="628"/>
      <c r="X31" s="628"/>
      <c r="Y31" s="628"/>
      <c r="Z31" s="628"/>
      <c r="AA31" s="628"/>
      <c r="AB31" s="628"/>
      <c r="AC31" s="628"/>
      <c r="AD31" s="628"/>
      <c r="AE31" s="628"/>
      <c r="AF31" s="628"/>
      <c r="AG31" s="628"/>
      <c r="AH31" s="628"/>
      <c r="AI31" s="628"/>
      <c r="AJ31" s="628"/>
      <c r="AK31" s="628"/>
      <c r="AL31" s="628"/>
      <c r="AM31" s="628"/>
      <c r="AN31" s="628"/>
      <c r="AO31" s="628"/>
      <c r="AP31" s="628"/>
      <c r="AQ31" s="628"/>
      <c r="AR31" s="628"/>
      <c r="AS31" s="628"/>
      <c r="AT31" s="628"/>
      <c r="AU31" s="628"/>
      <c r="AV31" s="628"/>
      <c r="AW31" s="628"/>
      <c r="AX31" s="628"/>
      <c r="AY31" s="628"/>
      <c r="AZ31" s="628"/>
      <c r="BA31" s="628"/>
      <c r="BB31" s="628"/>
      <c r="BC31" s="628"/>
      <c r="BD31" s="628"/>
      <c r="BE31" s="628"/>
      <c r="BF31" s="628"/>
      <c r="BG31" s="628"/>
      <c r="BH31" s="628"/>
      <c r="BI31" s="628"/>
      <c r="BJ31" s="628"/>
      <c r="BK31" s="628"/>
      <c r="BL31" s="628"/>
      <c r="BM31" s="628"/>
      <c r="BN31" s="628"/>
      <c r="BO31" s="628"/>
      <c r="BP31" s="628"/>
      <c r="BQ31" s="628"/>
      <c r="BR31" s="628"/>
      <c r="BS31" s="628"/>
      <c r="BT31" s="628"/>
      <c r="BU31" s="628"/>
      <c r="BV31" s="628"/>
      <c r="BW31" s="628"/>
      <c r="BX31" s="628"/>
      <c r="BY31" s="628"/>
      <c r="BZ31" s="628"/>
      <c r="CA31" s="628"/>
      <c r="CB31" s="628"/>
      <c r="CC31" s="628"/>
      <c r="CD31" s="628"/>
      <c r="CE31" s="628"/>
      <c r="CF31" s="628"/>
      <c r="CG31" s="628"/>
      <c r="CH31" s="628"/>
      <c r="CI31" s="628"/>
      <c r="CJ31" s="628"/>
      <c r="CK31" s="628"/>
      <c r="CL31" s="628"/>
      <c r="CM31" s="628"/>
      <c r="CN31" s="628"/>
      <c r="CO31" s="628"/>
      <c r="CP31" s="628"/>
      <c r="CQ31" s="628"/>
      <c r="CR31" s="628"/>
      <c r="CS31" s="628"/>
      <c r="CT31" s="628"/>
      <c r="CU31" s="628"/>
      <c r="CV31" s="628"/>
      <c r="CW31" s="628"/>
      <c r="CX31" s="628"/>
      <c r="CY31" s="628"/>
      <c r="CZ31" s="628"/>
      <c r="DA31" s="628"/>
      <c r="DB31" s="628"/>
      <c r="DC31" s="628"/>
      <c r="DD31" s="628"/>
      <c r="DE31" s="628"/>
      <c r="DF31" s="628"/>
      <c r="DG31" s="628"/>
      <c r="DH31" s="628"/>
      <c r="DI31" s="628"/>
      <c r="DJ31" s="628"/>
      <c r="DK31" s="628"/>
      <c r="DL31" s="628"/>
      <c r="DM31" s="628"/>
      <c r="DN31" s="628"/>
      <c r="DO31" s="628"/>
      <c r="DP31" s="628"/>
      <c r="DQ31" s="628"/>
      <c r="DR31" s="628"/>
      <c r="DS31" s="628"/>
      <c r="DT31" s="628"/>
      <c r="DU31" s="628"/>
      <c r="DV31" s="628"/>
      <c r="DW31" s="628"/>
      <c r="DX31" s="628"/>
      <c r="DY31" s="628"/>
      <c r="DZ31" s="628"/>
      <c r="EA31" s="628"/>
      <c r="EB31" s="628"/>
      <c r="EC31" s="628"/>
      <c r="ED31" s="628"/>
      <c r="EE31" s="628"/>
      <c r="EF31" s="628"/>
      <c r="EG31" s="628"/>
      <c r="EH31" s="628"/>
      <c r="EI31" s="628"/>
      <c r="EJ31" s="628"/>
      <c r="EK31" s="628"/>
      <c r="EL31" s="628"/>
      <c r="EM31" s="628"/>
      <c r="EN31" s="628"/>
      <c r="EO31" s="628"/>
      <c r="EP31" s="628"/>
      <c r="EQ31" s="628"/>
      <c r="ER31" s="628"/>
      <c r="ES31" s="628"/>
      <c r="ET31" s="628"/>
      <c r="EU31" s="628"/>
      <c r="EV31" s="628"/>
      <c r="EW31" s="628"/>
      <c r="EX31" s="628"/>
      <c r="EY31" s="628"/>
      <c r="EZ31" s="628"/>
      <c r="FA31" s="628"/>
      <c r="FB31" s="628"/>
      <c r="FC31" s="628"/>
      <c r="FD31" s="628"/>
      <c r="FE31" s="628"/>
      <c r="FF31" s="628"/>
      <c r="FG31" s="628"/>
      <c r="FH31" s="628"/>
      <c r="FI31" s="628"/>
      <c r="FJ31" s="628"/>
      <c r="FK31" s="628"/>
      <c r="FL31" s="628"/>
      <c r="FM31" s="628"/>
      <c r="FN31" s="628"/>
      <c r="FO31" s="628"/>
      <c r="FP31" s="628"/>
      <c r="FQ31" s="628"/>
      <c r="FR31" s="628"/>
      <c r="FS31" s="628"/>
      <c r="FT31" s="628"/>
      <c r="FU31" s="628"/>
      <c r="FV31" s="628"/>
      <c r="FW31" s="628"/>
      <c r="FX31" s="628"/>
      <c r="FY31" s="628"/>
      <c r="FZ31" s="628"/>
      <c r="GA31" s="628"/>
      <c r="GB31" s="628"/>
      <c r="GC31" s="628"/>
      <c r="GD31" s="628"/>
      <c r="GE31" s="628"/>
      <c r="GF31" s="628"/>
      <c r="GG31" s="628"/>
      <c r="GH31" s="628"/>
      <c r="GI31" s="628"/>
      <c r="GJ31" s="628"/>
      <c r="GK31" s="628"/>
      <c r="GL31" s="628"/>
      <c r="GM31" s="628"/>
      <c r="GN31" s="628"/>
      <c r="GO31" s="628"/>
      <c r="GP31" s="628"/>
      <c r="GQ31" s="628"/>
      <c r="GR31" s="628"/>
      <c r="GS31" s="628"/>
      <c r="GT31" s="628"/>
      <c r="GU31" s="628"/>
      <c r="GV31" s="628"/>
      <c r="GW31" s="628"/>
      <c r="GX31" s="628"/>
      <c r="GY31" s="628"/>
      <c r="GZ31" s="628"/>
      <c r="HA31" s="628"/>
      <c r="HB31" s="628"/>
      <c r="HC31" s="628"/>
      <c r="HD31" s="628"/>
      <c r="HE31" s="628"/>
      <c r="HF31" s="628"/>
      <c r="HG31" s="628"/>
      <c r="HH31" s="628"/>
      <c r="HI31" s="628"/>
      <c r="HJ31" s="628"/>
      <c r="HK31" s="628"/>
      <c r="HL31" s="628"/>
      <c r="HM31" s="628"/>
      <c r="HN31" s="628"/>
      <c r="HO31" s="628"/>
      <c r="HP31" s="628"/>
      <c r="HQ31" s="628"/>
      <c r="HR31" s="628"/>
      <c r="HS31" s="628"/>
      <c r="HT31" s="628"/>
      <c r="HU31" s="628"/>
      <c r="HV31" s="628"/>
      <c r="HW31" s="628"/>
      <c r="HX31" s="628"/>
      <c r="HY31" s="628"/>
      <c r="HZ31" s="628"/>
      <c r="IA31" s="628"/>
      <c r="IB31" s="628"/>
      <c r="IC31" s="628"/>
      <c r="ID31" s="628"/>
      <c r="IE31" s="628"/>
      <c r="IF31" s="628"/>
      <c r="IG31" s="628"/>
      <c r="IH31" s="628"/>
      <c r="II31" s="628"/>
      <c r="IJ31" s="628"/>
      <c r="IK31" s="628"/>
      <c r="IL31" s="628"/>
      <c r="IM31" s="628"/>
      <c r="IN31" s="628"/>
      <c r="IO31" s="628"/>
      <c r="IP31" s="628"/>
      <c r="IQ31" s="628"/>
      <c r="IR31" s="628"/>
      <c r="IS31" s="628"/>
      <c r="IT31" s="628"/>
      <c r="IU31" s="628"/>
      <c r="IV31" s="628"/>
      <c r="IW31" s="628"/>
      <c r="IX31" s="628"/>
    </row>
    <row r="32" spans="1:258" ht="15" x14ac:dyDescent="0.25">
      <c r="A32" s="1590">
        <v>15</v>
      </c>
      <c r="B32" s="1472">
        <v>45107</v>
      </c>
      <c r="C32" s="1473">
        <f>+'CURVA S'!R16/1.18</f>
        <v>1201116.7457627119</v>
      </c>
      <c r="D32" s="1473">
        <f>+C32+D31+0.01</f>
        <v>13954956.372046761</v>
      </c>
      <c r="E32" s="1370">
        <f>+VAL_RES.!P41</f>
        <v>0</v>
      </c>
      <c r="F32" s="1370"/>
      <c r="G32" s="1476"/>
      <c r="H32" s="1370">
        <f t="shared" ref="H32" si="17">ROUND(C32*G32,2)</f>
        <v>0</v>
      </c>
      <c r="I32" s="1370"/>
      <c r="J32" s="1475">
        <f t="shared" ref="J32" si="18">ROUND(E32*G32,2)</f>
        <v>0</v>
      </c>
      <c r="K32" s="1475"/>
      <c r="L32" s="1475"/>
      <c r="M32" s="1475">
        <v>0</v>
      </c>
      <c r="N32" s="1475"/>
      <c r="O32" s="1591"/>
      <c r="P32" s="629"/>
      <c r="Q32" s="629"/>
      <c r="R32" s="628"/>
      <c r="S32" s="628"/>
      <c r="T32" s="628"/>
      <c r="U32" s="628"/>
      <c r="V32" s="628"/>
      <c r="W32" s="628"/>
      <c r="X32" s="628"/>
      <c r="Y32" s="628"/>
      <c r="Z32" s="628"/>
      <c r="AA32" s="628"/>
      <c r="AB32" s="628"/>
      <c r="AC32" s="628"/>
      <c r="AD32" s="628"/>
      <c r="AE32" s="628"/>
      <c r="AF32" s="628"/>
      <c r="AG32" s="628"/>
      <c r="AH32" s="628"/>
      <c r="AI32" s="628"/>
      <c r="AJ32" s="628"/>
      <c r="AK32" s="628"/>
      <c r="AL32" s="628"/>
      <c r="AM32" s="628"/>
      <c r="AN32" s="628"/>
      <c r="AO32" s="628"/>
      <c r="AP32" s="628"/>
      <c r="AQ32" s="628"/>
      <c r="AR32" s="628"/>
      <c r="AS32" s="628"/>
      <c r="AT32" s="628"/>
      <c r="AU32" s="628"/>
      <c r="AV32" s="628"/>
      <c r="AW32" s="628"/>
      <c r="AX32" s="628"/>
      <c r="AY32" s="628"/>
      <c r="AZ32" s="628"/>
      <c r="BA32" s="628"/>
      <c r="BB32" s="628"/>
      <c r="BC32" s="628"/>
      <c r="BD32" s="628"/>
      <c r="BE32" s="628"/>
      <c r="BF32" s="628"/>
      <c r="BG32" s="628"/>
      <c r="BH32" s="628"/>
      <c r="BI32" s="628"/>
      <c r="BJ32" s="628"/>
      <c r="BK32" s="628"/>
      <c r="BL32" s="628"/>
      <c r="BM32" s="628"/>
      <c r="BN32" s="628"/>
      <c r="BO32" s="628"/>
      <c r="BP32" s="628"/>
      <c r="BQ32" s="628"/>
      <c r="BR32" s="628"/>
      <c r="BS32" s="628"/>
      <c r="BT32" s="628"/>
      <c r="BU32" s="628"/>
      <c r="BV32" s="628"/>
      <c r="BW32" s="628"/>
      <c r="BX32" s="628"/>
      <c r="BY32" s="628"/>
      <c r="BZ32" s="628"/>
      <c r="CA32" s="628"/>
      <c r="CB32" s="628"/>
      <c r="CC32" s="628"/>
      <c r="CD32" s="628"/>
      <c r="CE32" s="628"/>
      <c r="CF32" s="628"/>
      <c r="CG32" s="628"/>
      <c r="CH32" s="628"/>
      <c r="CI32" s="628"/>
      <c r="CJ32" s="628"/>
      <c r="CK32" s="628"/>
      <c r="CL32" s="628"/>
      <c r="CM32" s="628"/>
      <c r="CN32" s="628"/>
      <c r="CO32" s="628"/>
      <c r="CP32" s="628"/>
      <c r="CQ32" s="628"/>
      <c r="CR32" s="628"/>
      <c r="CS32" s="628"/>
      <c r="CT32" s="628"/>
      <c r="CU32" s="628"/>
      <c r="CV32" s="628"/>
      <c r="CW32" s="628"/>
      <c r="CX32" s="628"/>
      <c r="CY32" s="628"/>
      <c r="CZ32" s="628"/>
      <c r="DA32" s="628"/>
      <c r="DB32" s="628"/>
      <c r="DC32" s="628"/>
      <c r="DD32" s="628"/>
      <c r="DE32" s="628"/>
      <c r="DF32" s="628"/>
      <c r="DG32" s="628"/>
      <c r="DH32" s="628"/>
      <c r="DI32" s="628"/>
      <c r="DJ32" s="628"/>
      <c r="DK32" s="628"/>
      <c r="DL32" s="628"/>
      <c r="DM32" s="628"/>
      <c r="DN32" s="628"/>
      <c r="DO32" s="628"/>
      <c r="DP32" s="628"/>
      <c r="DQ32" s="628"/>
      <c r="DR32" s="628"/>
      <c r="DS32" s="628"/>
      <c r="DT32" s="628"/>
      <c r="DU32" s="628"/>
      <c r="DV32" s="628"/>
      <c r="DW32" s="628"/>
      <c r="DX32" s="628"/>
      <c r="DY32" s="628"/>
      <c r="DZ32" s="628"/>
      <c r="EA32" s="628"/>
      <c r="EB32" s="628"/>
      <c r="EC32" s="628"/>
      <c r="ED32" s="628"/>
      <c r="EE32" s="628"/>
      <c r="EF32" s="628"/>
      <c r="EG32" s="628"/>
      <c r="EH32" s="628"/>
      <c r="EI32" s="628"/>
      <c r="EJ32" s="628"/>
      <c r="EK32" s="628"/>
      <c r="EL32" s="628"/>
      <c r="EM32" s="628"/>
      <c r="EN32" s="628"/>
      <c r="EO32" s="628"/>
      <c r="EP32" s="628"/>
      <c r="EQ32" s="628"/>
      <c r="ER32" s="628"/>
      <c r="ES32" s="628"/>
      <c r="ET32" s="628"/>
      <c r="EU32" s="628"/>
      <c r="EV32" s="628"/>
      <c r="EW32" s="628"/>
      <c r="EX32" s="628"/>
      <c r="EY32" s="628"/>
      <c r="EZ32" s="628"/>
      <c r="FA32" s="628"/>
      <c r="FB32" s="628"/>
      <c r="FC32" s="628"/>
      <c r="FD32" s="628"/>
      <c r="FE32" s="628"/>
      <c r="FF32" s="628"/>
      <c r="FG32" s="628"/>
      <c r="FH32" s="628"/>
      <c r="FI32" s="628"/>
      <c r="FJ32" s="628"/>
      <c r="FK32" s="628"/>
      <c r="FL32" s="628"/>
      <c r="FM32" s="628"/>
      <c r="FN32" s="628"/>
      <c r="FO32" s="628"/>
      <c r="FP32" s="628"/>
      <c r="FQ32" s="628"/>
      <c r="FR32" s="628"/>
      <c r="FS32" s="628"/>
      <c r="FT32" s="628"/>
      <c r="FU32" s="628"/>
      <c r="FV32" s="628"/>
      <c r="FW32" s="628"/>
      <c r="FX32" s="628"/>
      <c r="FY32" s="628"/>
      <c r="FZ32" s="628"/>
      <c r="GA32" s="628"/>
      <c r="GB32" s="628"/>
      <c r="GC32" s="628"/>
      <c r="GD32" s="628"/>
      <c r="GE32" s="628"/>
      <c r="GF32" s="628"/>
      <c r="GG32" s="628"/>
      <c r="GH32" s="628"/>
      <c r="GI32" s="628"/>
      <c r="GJ32" s="628"/>
      <c r="GK32" s="628"/>
      <c r="GL32" s="628"/>
      <c r="GM32" s="628"/>
      <c r="GN32" s="628"/>
      <c r="GO32" s="628"/>
      <c r="GP32" s="628"/>
      <c r="GQ32" s="628"/>
      <c r="GR32" s="628"/>
      <c r="GS32" s="628"/>
      <c r="GT32" s="628"/>
      <c r="GU32" s="628"/>
      <c r="GV32" s="628"/>
      <c r="GW32" s="628"/>
      <c r="GX32" s="628"/>
      <c r="GY32" s="628"/>
      <c r="GZ32" s="628"/>
      <c r="HA32" s="628"/>
      <c r="HB32" s="628"/>
      <c r="HC32" s="628"/>
      <c r="HD32" s="628"/>
      <c r="HE32" s="628"/>
      <c r="HF32" s="628"/>
      <c r="HG32" s="628"/>
      <c r="HH32" s="628"/>
      <c r="HI32" s="628"/>
      <c r="HJ32" s="628"/>
      <c r="HK32" s="628"/>
      <c r="HL32" s="628"/>
      <c r="HM32" s="628"/>
      <c r="HN32" s="628"/>
      <c r="HO32" s="628"/>
      <c r="HP32" s="628"/>
      <c r="HQ32" s="628"/>
      <c r="HR32" s="628"/>
      <c r="HS32" s="628"/>
      <c r="HT32" s="628"/>
      <c r="HU32" s="628"/>
      <c r="HV32" s="628"/>
      <c r="HW32" s="628"/>
      <c r="HX32" s="628"/>
      <c r="HY32" s="628"/>
      <c r="HZ32" s="628"/>
      <c r="IA32" s="628"/>
      <c r="IB32" s="628"/>
      <c r="IC32" s="628"/>
      <c r="ID32" s="628"/>
      <c r="IE32" s="628"/>
      <c r="IF32" s="628"/>
      <c r="IG32" s="628"/>
      <c r="IH32" s="628"/>
      <c r="II32" s="628"/>
      <c r="IJ32" s="628"/>
      <c r="IK32" s="628"/>
      <c r="IL32" s="628"/>
      <c r="IM32" s="628"/>
      <c r="IN32" s="628"/>
      <c r="IO32" s="628"/>
      <c r="IP32" s="628"/>
      <c r="IQ32" s="628"/>
      <c r="IR32" s="628"/>
      <c r="IS32" s="628"/>
      <c r="IT32" s="628"/>
      <c r="IU32" s="628"/>
      <c r="IV32" s="628"/>
      <c r="IW32" s="628"/>
      <c r="IX32" s="628"/>
    </row>
    <row r="33" spans="1:258" ht="15" x14ac:dyDescent="0.25">
      <c r="A33" s="1590">
        <v>16</v>
      </c>
      <c r="B33" s="1472">
        <v>45134</v>
      </c>
      <c r="C33" s="1473">
        <f>+'CURVA S'!S16/1.18</f>
        <v>1196121.6949152544</v>
      </c>
      <c r="D33" s="1473">
        <f>+C33+D32+0.01</f>
        <v>15151078.076962015</v>
      </c>
      <c r="E33" s="1370"/>
      <c r="F33" s="1370"/>
      <c r="G33" s="1476"/>
      <c r="H33" s="1370"/>
      <c r="I33" s="1370"/>
      <c r="J33" s="1475"/>
      <c r="K33" s="1475"/>
      <c r="L33" s="1475"/>
      <c r="M33" s="1475"/>
      <c r="N33" s="1475"/>
      <c r="O33" s="1591"/>
      <c r="P33" s="629"/>
      <c r="Q33" s="629"/>
      <c r="R33" s="628"/>
      <c r="S33" s="628"/>
      <c r="T33" s="628"/>
      <c r="U33" s="628"/>
      <c r="V33" s="628"/>
      <c r="W33" s="628"/>
      <c r="X33" s="628"/>
      <c r="Y33" s="628"/>
      <c r="Z33" s="628"/>
      <c r="AA33" s="628"/>
      <c r="AB33" s="628"/>
      <c r="AC33" s="628"/>
      <c r="AD33" s="628"/>
      <c r="AE33" s="628"/>
      <c r="AF33" s="628"/>
      <c r="AG33" s="628"/>
      <c r="AH33" s="628"/>
      <c r="AI33" s="628"/>
      <c r="AJ33" s="628"/>
      <c r="AK33" s="628"/>
      <c r="AL33" s="628"/>
      <c r="AM33" s="628"/>
      <c r="AN33" s="628"/>
      <c r="AO33" s="628"/>
      <c r="AP33" s="628"/>
      <c r="AQ33" s="628"/>
      <c r="AR33" s="628"/>
      <c r="AS33" s="628"/>
      <c r="AT33" s="628"/>
      <c r="AU33" s="628"/>
      <c r="AV33" s="628"/>
      <c r="AW33" s="628"/>
      <c r="AX33" s="628"/>
      <c r="AY33" s="628"/>
      <c r="AZ33" s="628"/>
      <c r="BA33" s="628"/>
      <c r="BB33" s="628"/>
      <c r="BC33" s="628"/>
      <c r="BD33" s="628"/>
      <c r="BE33" s="628"/>
      <c r="BF33" s="628"/>
      <c r="BG33" s="628"/>
      <c r="BH33" s="628"/>
      <c r="BI33" s="628"/>
      <c r="BJ33" s="628"/>
      <c r="BK33" s="628"/>
      <c r="BL33" s="628"/>
      <c r="BM33" s="628"/>
      <c r="BN33" s="628"/>
      <c r="BO33" s="628"/>
      <c r="BP33" s="628"/>
      <c r="BQ33" s="628"/>
      <c r="BR33" s="628"/>
      <c r="BS33" s="628"/>
      <c r="BT33" s="628"/>
      <c r="BU33" s="628"/>
      <c r="BV33" s="628"/>
      <c r="BW33" s="628"/>
      <c r="BX33" s="628"/>
      <c r="BY33" s="628"/>
      <c r="BZ33" s="628"/>
      <c r="CA33" s="628"/>
      <c r="CB33" s="628"/>
      <c r="CC33" s="628"/>
      <c r="CD33" s="628"/>
      <c r="CE33" s="628"/>
      <c r="CF33" s="628"/>
      <c r="CG33" s="628"/>
      <c r="CH33" s="628"/>
      <c r="CI33" s="628"/>
      <c r="CJ33" s="628"/>
      <c r="CK33" s="628"/>
      <c r="CL33" s="628"/>
      <c r="CM33" s="628"/>
      <c r="CN33" s="628"/>
      <c r="CO33" s="628"/>
      <c r="CP33" s="628"/>
      <c r="CQ33" s="628"/>
      <c r="CR33" s="628"/>
      <c r="CS33" s="628"/>
      <c r="CT33" s="628"/>
      <c r="CU33" s="628"/>
      <c r="CV33" s="628"/>
      <c r="CW33" s="628"/>
      <c r="CX33" s="628"/>
      <c r="CY33" s="628"/>
      <c r="CZ33" s="628"/>
      <c r="DA33" s="628"/>
      <c r="DB33" s="628"/>
      <c r="DC33" s="628"/>
      <c r="DD33" s="628"/>
      <c r="DE33" s="628"/>
      <c r="DF33" s="628"/>
      <c r="DG33" s="628"/>
      <c r="DH33" s="628"/>
      <c r="DI33" s="628"/>
      <c r="DJ33" s="628"/>
      <c r="DK33" s="628"/>
      <c r="DL33" s="628"/>
      <c r="DM33" s="628"/>
      <c r="DN33" s="628"/>
      <c r="DO33" s="628"/>
      <c r="DP33" s="628"/>
      <c r="DQ33" s="628"/>
      <c r="DR33" s="628"/>
      <c r="DS33" s="628"/>
      <c r="DT33" s="628"/>
      <c r="DU33" s="628"/>
      <c r="DV33" s="628"/>
      <c r="DW33" s="628"/>
      <c r="DX33" s="628"/>
      <c r="DY33" s="628"/>
      <c r="DZ33" s="628"/>
      <c r="EA33" s="628"/>
      <c r="EB33" s="628"/>
      <c r="EC33" s="628"/>
      <c r="ED33" s="628"/>
      <c r="EE33" s="628"/>
      <c r="EF33" s="628"/>
      <c r="EG33" s="628"/>
      <c r="EH33" s="628"/>
      <c r="EI33" s="628"/>
      <c r="EJ33" s="628"/>
      <c r="EK33" s="628"/>
      <c r="EL33" s="628"/>
      <c r="EM33" s="628"/>
      <c r="EN33" s="628"/>
      <c r="EO33" s="628"/>
      <c r="EP33" s="628"/>
      <c r="EQ33" s="628"/>
      <c r="ER33" s="628"/>
      <c r="ES33" s="628"/>
      <c r="ET33" s="628"/>
      <c r="EU33" s="628"/>
      <c r="EV33" s="628"/>
      <c r="EW33" s="628"/>
      <c r="EX33" s="628"/>
      <c r="EY33" s="628"/>
      <c r="EZ33" s="628"/>
      <c r="FA33" s="628"/>
      <c r="FB33" s="628"/>
      <c r="FC33" s="628"/>
      <c r="FD33" s="628"/>
      <c r="FE33" s="628"/>
      <c r="FF33" s="628"/>
      <c r="FG33" s="628"/>
      <c r="FH33" s="628"/>
      <c r="FI33" s="628"/>
      <c r="FJ33" s="628"/>
      <c r="FK33" s="628"/>
      <c r="FL33" s="628"/>
      <c r="FM33" s="628"/>
      <c r="FN33" s="628"/>
      <c r="FO33" s="628"/>
      <c r="FP33" s="628"/>
      <c r="FQ33" s="628"/>
      <c r="FR33" s="628"/>
      <c r="FS33" s="628"/>
      <c r="FT33" s="628"/>
      <c r="FU33" s="628"/>
      <c r="FV33" s="628"/>
      <c r="FW33" s="628"/>
      <c r="FX33" s="628"/>
      <c r="FY33" s="628"/>
      <c r="FZ33" s="628"/>
      <c r="GA33" s="628"/>
      <c r="GB33" s="628"/>
      <c r="GC33" s="628"/>
      <c r="GD33" s="628"/>
      <c r="GE33" s="628"/>
      <c r="GF33" s="628"/>
      <c r="GG33" s="628"/>
      <c r="GH33" s="628"/>
      <c r="GI33" s="628"/>
      <c r="GJ33" s="628"/>
      <c r="GK33" s="628"/>
      <c r="GL33" s="628"/>
      <c r="GM33" s="628"/>
      <c r="GN33" s="628"/>
      <c r="GO33" s="628"/>
      <c r="GP33" s="628"/>
      <c r="GQ33" s="628"/>
      <c r="GR33" s="628"/>
      <c r="GS33" s="628"/>
      <c r="GT33" s="628"/>
      <c r="GU33" s="628"/>
      <c r="GV33" s="628"/>
      <c r="GW33" s="628"/>
      <c r="GX33" s="628"/>
      <c r="GY33" s="628"/>
      <c r="GZ33" s="628"/>
      <c r="HA33" s="628"/>
      <c r="HB33" s="628"/>
      <c r="HC33" s="628"/>
      <c r="HD33" s="628"/>
      <c r="HE33" s="628"/>
      <c r="HF33" s="628"/>
      <c r="HG33" s="628"/>
      <c r="HH33" s="628"/>
      <c r="HI33" s="628"/>
      <c r="HJ33" s="628"/>
      <c r="HK33" s="628"/>
      <c r="HL33" s="628"/>
      <c r="HM33" s="628"/>
      <c r="HN33" s="628"/>
      <c r="HO33" s="628"/>
      <c r="HP33" s="628"/>
      <c r="HQ33" s="628"/>
      <c r="HR33" s="628"/>
      <c r="HS33" s="628"/>
      <c r="HT33" s="628"/>
      <c r="HU33" s="628"/>
      <c r="HV33" s="628"/>
      <c r="HW33" s="628"/>
      <c r="HX33" s="628"/>
      <c r="HY33" s="628"/>
      <c r="HZ33" s="628"/>
      <c r="IA33" s="628"/>
      <c r="IB33" s="628"/>
      <c r="IC33" s="628"/>
      <c r="ID33" s="628"/>
      <c r="IE33" s="628"/>
      <c r="IF33" s="628"/>
      <c r="IG33" s="628"/>
      <c r="IH33" s="628"/>
      <c r="II33" s="628"/>
      <c r="IJ33" s="628"/>
      <c r="IK33" s="628"/>
      <c r="IL33" s="628"/>
      <c r="IM33" s="628"/>
      <c r="IN33" s="628"/>
      <c r="IO33" s="628"/>
      <c r="IP33" s="628"/>
      <c r="IQ33" s="628"/>
      <c r="IR33" s="628"/>
      <c r="IS33" s="628"/>
      <c r="IT33" s="628"/>
      <c r="IU33" s="628"/>
      <c r="IV33" s="628"/>
      <c r="IW33" s="628"/>
      <c r="IX33" s="628"/>
    </row>
    <row r="34" spans="1:258" ht="15" x14ac:dyDescent="0.25">
      <c r="A34" s="1590"/>
      <c r="B34" s="1477"/>
      <c r="C34" s="1473"/>
      <c r="D34" s="1473"/>
      <c r="E34" s="1475"/>
      <c r="F34" s="1475"/>
      <c r="G34" s="1476"/>
      <c r="H34" s="1475"/>
      <c r="I34" s="1475"/>
      <c r="J34" s="1475"/>
      <c r="K34" s="1475"/>
      <c r="L34" s="1475"/>
      <c r="M34" s="1475"/>
      <c r="N34" s="1475"/>
      <c r="O34" s="1591"/>
      <c r="P34" s="629"/>
      <c r="Q34" s="629"/>
      <c r="R34" s="628"/>
      <c r="S34" s="628"/>
      <c r="T34" s="628"/>
      <c r="U34" s="628"/>
      <c r="V34" s="628"/>
      <c r="W34" s="628"/>
      <c r="X34" s="628"/>
      <c r="Y34" s="628"/>
      <c r="Z34" s="628"/>
      <c r="AA34" s="628"/>
      <c r="AB34" s="628"/>
      <c r="AC34" s="628"/>
      <c r="AD34" s="628"/>
      <c r="AE34" s="628"/>
      <c r="AF34" s="628"/>
      <c r="AG34" s="628"/>
      <c r="AH34" s="628"/>
      <c r="AI34" s="628"/>
      <c r="AJ34" s="628"/>
      <c r="AK34" s="628"/>
      <c r="AL34" s="628"/>
      <c r="AM34" s="628"/>
      <c r="AN34" s="628"/>
      <c r="AO34" s="628"/>
      <c r="AP34" s="628"/>
      <c r="AQ34" s="628"/>
      <c r="AR34" s="628"/>
      <c r="AS34" s="628"/>
      <c r="AT34" s="628"/>
      <c r="AU34" s="628"/>
      <c r="AV34" s="628"/>
      <c r="AW34" s="628"/>
      <c r="AX34" s="628"/>
      <c r="AY34" s="628"/>
      <c r="AZ34" s="628"/>
      <c r="BA34" s="628"/>
      <c r="BB34" s="628"/>
      <c r="BC34" s="628"/>
      <c r="BD34" s="628"/>
      <c r="BE34" s="628"/>
      <c r="BF34" s="628"/>
      <c r="BG34" s="628"/>
      <c r="BH34" s="628"/>
      <c r="BI34" s="628"/>
      <c r="BJ34" s="628"/>
      <c r="BK34" s="628"/>
      <c r="BL34" s="628"/>
      <c r="BM34" s="628"/>
      <c r="BN34" s="628"/>
      <c r="BO34" s="628"/>
      <c r="BP34" s="628"/>
      <c r="BQ34" s="628"/>
      <c r="BR34" s="628"/>
      <c r="BS34" s="628"/>
      <c r="BT34" s="628"/>
      <c r="BU34" s="628"/>
      <c r="BV34" s="628"/>
      <c r="BW34" s="628"/>
      <c r="BX34" s="628"/>
      <c r="BY34" s="628"/>
      <c r="BZ34" s="628"/>
      <c r="CA34" s="628"/>
      <c r="CB34" s="628"/>
      <c r="CC34" s="628"/>
      <c r="CD34" s="628"/>
      <c r="CE34" s="628"/>
      <c r="CF34" s="628"/>
      <c r="CG34" s="628"/>
      <c r="CH34" s="628"/>
      <c r="CI34" s="628"/>
      <c r="CJ34" s="628"/>
      <c r="CK34" s="628"/>
      <c r="CL34" s="628"/>
      <c r="CM34" s="628"/>
      <c r="CN34" s="628"/>
      <c r="CO34" s="628"/>
      <c r="CP34" s="628"/>
      <c r="CQ34" s="628"/>
      <c r="CR34" s="628"/>
      <c r="CS34" s="628"/>
      <c r="CT34" s="628"/>
      <c r="CU34" s="628"/>
      <c r="CV34" s="628"/>
      <c r="CW34" s="628"/>
      <c r="CX34" s="628"/>
      <c r="CY34" s="628"/>
      <c r="CZ34" s="628"/>
      <c r="DA34" s="628"/>
      <c r="DB34" s="628"/>
      <c r="DC34" s="628"/>
      <c r="DD34" s="628"/>
      <c r="DE34" s="628"/>
      <c r="DF34" s="628"/>
      <c r="DG34" s="628"/>
      <c r="DH34" s="628"/>
      <c r="DI34" s="628"/>
      <c r="DJ34" s="628"/>
      <c r="DK34" s="628"/>
      <c r="DL34" s="628"/>
      <c r="DM34" s="628"/>
      <c r="DN34" s="628"/>
      <c r="DO34" s="628"/>
      <c r="DP34" s="628"/>
      <c r="DQ34" s="628"/>
      <c r="DR34" s="628"/>
      <c r="DS34" s="628"/>
      <c r="DT34" s="628"/>
      <c r="DU34" s="628"/>
      <c r="DV34" s="628"/>
      <c r="DW34" s="628"/>
      <c r="DX34" s="628"/>
      <c r="DY34" s="628"/>
      <c r="DZ34" s="628"/>
      <c r="EA34" s="628"/>
      <c r="EB34" s="628"/>
      <c r="EC34" s="628"/>
      <c r="ED34" s="628"/>
      <c r="EE34" s="628"/>
      <c r="EF34" s="628"/>
      <c r="EG34" s="628"/>
      <c r="EH34" s="628"/>
      <c r="EI34" s="628"/>
      <c r="EJ34" s="628"/>
      <c r="EK34" s="628"/>
      <c r="EL34" s="628"/>
      <c r="EM34" s="628"/>
      <c r="EN34" s="628"/>
      <c r="EO34" s="628"/>
      <c r="EP34" s="628"/>
      <c r="EQ34" s="628"/>
      <c r="ER34" s="628"/>
      <c r="ES34" s="628"/>
      <c r="ET34" s="628"/>
      <c r="EU34" s="628"/>
      <c r="EV34" s="628"/>
      <c r="EW34" s="628"/>
      <c r="EX34" s="628"/>
      <c r="EY34" s="628"/>
      <c r="EZ34" s="628"/>
      <c r="FA34" s="628"/>
      <c r="FB34" s="628"/>
      <c r="FC34" s="628"/>
      <c r="FD34" s="628"/>
      <c r="FE34" s="628"/>
      <c r="FF34" s="628"/>
      <c r="FG34" s="628"/>
      <c r="FH34" s="628"/>
      <c r="FI34" s="628"/>
      <c r="FJ34" s="628"/>
      <c r="FK34" s="628"/>
      <c r="FL34" s="628"/>
      <c r="FM34" s="628"/>
      <c r="FN34" s="628"/>
      <c r="FO34" s="628"/>
      <c r="FP34" s="628"/>
      <c r="FQ34" s="628"/>
      <c r="FR34" s="628"/>
      <c r="FS34" s="628"/>
      <c r="FT34" s="628"/>
      <c r="FU34" s="628"/>
      <c r="FV34" s="628"/>
      <c r="FW34" s="628"/>
      <c r="FX34" s="628"/>
      <c r="FY34" s="628"/>
      <c r="FZ34" s="628"/>
      <c r="GA34" s="628"/>
      <c r="GB34" s="628"/>
      <c r="GC34" s="628"/>
      <c r="GD34" s="628"/>
      <c r="GE34" s="628"/>
      <c r="GF34" s="628"/>
      <c r="GG34" s="628"/>
      <c r="GH34" s="628"/>
      <c r="GI34" s="628"/>
      <c r="GJ34" s="628"/>
      <c r="GK34" s="628"/>
      <c r="GL34" s="628"/>
      <c r="GM34" s="628"/>
      <c r="GN34" s="628"/>
      <c r="GO34" s="628"/>
      <c r="GP34" s="628"/>
      <c r="GQ34" s="628"/>
      <c r="GR34" s="628"/>
      <c r="GS34" s="628"/>
      <c r="GT34" s="628"/>
      <c r="GU34" s="628"/>
      <c r="GV34" s="628"/>
      <c r="GW34" s="628"/>
      <c r="GX34" s="628"/>
      <c r="GY34" s="628"/>
      <c r="GZ34" s="628"/>
      <c r="HA34" s="628"/>
      <c r="HB34" s="628"/>
      <c r="HC34" s="628"/>
      <c r="HD34" s="628"/>
      <c r="HE34" s="628"/>
      <c r="HF34" s="628"/>
      <c r="HG34" s="628"/>
      <c r="HH34" s="628"/>
      <c r="HI34" s="628"/>
      <c r="HJ34" s="628"/>
      <c r="HK34" s="628"/>
      <c r="HL34" s="628"/>
      <c r="HM34" s="628"/>
      <c r="HN34" s="628"/>
      <c r="HO34" s="628"/>
      <c r="HP34" s="628"/>
      <c r="HQ34" s="628"/>
      <c r="HR34" s="628"/>
      <c r="HS34" s="628"/>
      <c r="HT34" s="628"/>
      <c r="HU34" s="628"/>
      <c r="HV34" s="628"/>
      <c r="HW34" s="628"/>
      <c r="HX34" s="628"/>
      <c r="HY34" s="628"/>
      <c r="HZ34" s="628"/>
      <c r="IA34" s="628"/>
      <c r="IB34" s="628"/>
      <c r="IC34" s="628"/>
      <c r="ID34" s="628"/>
      <c r="IE34" s="628"/>
      <c r="IF34" s="628"/>
      <c r="IG34" s="628"/>
      <c r="IH34" s="628"/>
      <c r="II34" s="628"/>
      <c r="IJ34" s="628"/>
      <c r="IK34" s="628"/>
      <c r="IL34" s="628"/>
      <c r="IM34" s="628"/>
      <c r="IN34" s="628"/>
      <c r="IO34" s="628"/>
      <c r="IP34" s="628"/>
      <c r="IQ34" s="628"/>
      <c r="IR34" s="628"/>
      <c r="IS34" s="628"/>
      <c r="IT34" s="628"/>
      <c r="IU34" s="628"/>
      <c r="IV34" s="628"/>
      <c r="IW34" s="628"/>
      <c r="IX34" s="628"/>
    </row>
    <row r="35" spans="1:258" ht="15.6" x14ac:dyDescent="0.3">
      <c r="A35" s="1592" t="s">
        <v>47</v>
      </c>
      <c r="B35" s="975"/>
      <c r="C35" s="976">
        <f>SUM(C18:C33)</f>
        <v>15151078.056962015</v>
      </c>
      <c r="D35" s="976"/>
      <c r="E35" s="977">
        <f>SUM(E18:E30)</f>
        <v>5990239.0099999988</v>
      </c>
      <c r="F35" s="977"/>
      <c r="G35" s="978"/>
      <c r="H35" s="979">
        <f>SUM(H18:H30)</f>
        <v>498431.42999999993</v>
      </c>
      <c r="I35" s="979"/>
      <c r="J35" s="979">
        <f>SUM(J18:J30)</f>
        <v>505774.73</v>
      </c>
      <c r="K35" s="979"/>
      <c r="L35" s="979"/>
      <c r="M35" s="979">
        <f>SUM(M18:M33)</f>
        <v>505774.73</v>
      </c>
      <c r="N35" s="979"/>
      <c r="O35" s="1593"/>
      <c r="P35" s="176"/>
      <c r="Q35" s="176"/>
      <c r="R35" s="169"/>
      <c r="S35" s="169"/>
      <c r="T35" s="169"/>
      <c r="U35" s="169"/>
      <c r="V35" s="169"/>
      <c r="W35" s="169"/>
      <c r="X35" s="169"/>
      <c r="Y35" s="169"/>
      <c r="Z35" s="169"/>
      <c r="AA35" s="169"/>
      <c r="AB35" s="169"/>
      <c r="AC35" s="169"/>
      <c r="AD35" s="169"/>
      <c r="AE35" s="169"/>
      <c r="AF35" s="169"/>
      <c r="AG35" s="169"/>
      <c r="AH35" s="169"/>
      <c r="AI35" s="169"/>
      <c r="AJ35" s="169"/>
      <c r="AK35" s="169"/>
      <c r="AL35" s="169"/>
      <c r="AM35" s="169"/>
      <c r="AN35" s="169"/>
      <c r="AO35" s="169"/>
      <c r="AP35" s="169"/>
      <c r="AQ35" s="169"/>
      <c r="AR35" s="169"/>
      <c r="AS35" s="169"/>
      <c r="AT35" s="169"/>
      <c r="AU35" s="169"/>
      <c r="AV35" s="169"/>
      <c r="AW35" s="169"/>
      <c r="AX35" s="169"/>
      <c r="AY35" s="169"/>
      <c r="AZ35" s="169"/>
      <c r="BA35" s="169"/>
      <c r="BB35" s="169"/>
      <c r="BC35" s="169"/>
      <c r="BD35" s="169"/>
      <c r="BE35" s="169"/>
      <c r="BF35" s="169"/>
      <c r="BG35" s="169"/>
      <c r="BH35" s="169"/>
      <c r="BI35" s="169"/>
      <c r="BJ35" s="169"/>
      <c r="BK35" s="169"/>
      <c r="BL35" s="169"/>
      <c r="BM35" s="169"/>
      <c r="BN35" s="169"/>
      <c r="BO35" s="169"/>
      <c r="BP35" s="169"/>
      <c r="BQ35" s="169"/>
      <c r="BR35" s="169"/>
      <c r="BS35" s="169"/>
      <c r="BT35" s="169"/>
      <c r="BU35" s="169"/>
      <c r="BV35" s="169"/>
      <c r="BW35" s="169"/>
      <c r="BX35" s="169"/>
      <c r="BY35" s="169"/>
      <c r="BZ35" s="169"/>
      <c r="CA35" s="169"/>
      <c r="CB35" s="169"/>
      <c r="CC35" s="169"/>
      <c r="CD35" s="169"/>
      <c r="CE35" s="169"/>
      <c r="CF35" s="169"/>
      <c r="CG35" s="169"/>
      <c r="CH35" s="169"/>
      <c r="CI35" s="169"/>
      <c r="CJ35" s="169"/>
      <c r="CK35" s="169"/>
      <c r="CL35" s="169"/>
      <c r="CM35" s="169"/>
      <c r="CN35" s="169"/>
      <c r="CO35" s="169"/>
      <c r="CP35" s="169"/>
      <c r="CQ35" s="169"/>
      <c r="CR35" s="169"/>
      <c r="CS35" s="169"/>
      <c r="CT35" s="169"/>
      <c r="CU35" s="169"/>
      <c r="CV35" s="169"/>
      <c r="CW35" s="169"/>
      <c r="CX35" s="169"/>
      <c r="CY35" s="169"/>
      <c r="CZ35" s="169"/>
      <c r="DA35" s="169"/>
      <c r="DB35" s="169"/>
      <c r="DC35" s="169"/>
      <c r="DD35" s="169"/>
      <c r="DE35" s="169"/>
      <c r="DF35" s="169"/>
      <c r="DG35" s="169"/>
      <c r="DH35" s="169"/>
      <c r="DI35" s="169"/>
      <c r="DJ35" s="169"/>
      <c r="DK35" s="169"/>
      <c r="DL35" s="169"/>
      <c r="DM35" s="169"/>
      <c r="DN35" s="169"/>
      <c r="DO35" s="169"/>
      <c r="DP35" s="169"/>
      <c r="DQ35" s="169"/>
      <c r="DR35" s="169"/>
      <c r="DS35" s="169"/>
      <c r="DT35" s="169"/>
      <c r="DU35" s="169"/>
      <c r="DV35" s="169"/>
      <c r="DW35" s="169"/>
      <c r="DX35" s="169"/>
      <c r="DY35" s="169"/>
      <c r="DZ35" s="169"/>
      <c r="EA35" s="169"/>
      <c r="EB35" s="169"/>
      <c r="EC35" s="169"/>
      <c r="ED35" s="169"/>
      <c r="EE35" s="169"/>
      <c r="EF35" s="169"/>
      <c r="EG35" s="169"/>
      <c r="EH35" s="169"/>
      <c r="EI35" s="169"/>
      <c r="EJ35" s="169"/>
      <c r="EK35" s="169"/>
      <c r="EL35" s="169"/>
      <c r="EM35" s="169"/>
      <c r="EN35" s="169"/>
      <c r="EO35" s="169"/>
      <c r="EP35" s="169"/>
      <c r="EQ35" s="169"/>
      <c r="ER35" s="169"/>
      <c r="ES35" s="169"/>
      <c r="ET35" s="169"/>
      <c r="EU35" s="169"/>
      <c r="EV35" s="169"/>
      <c r="EW35" s="169"/>
      <c r="EX35" s="169"/>
      <c r="EY35" s="169"/>
      <c r="EZ35" s="169"/>
      <c r="FA35" s="169"/>
      <c r="FB35" s="169"/>
      <c r="FC35" s="169"/>
      <c r="FD35" s="169"/>
      <c r="FE35" s="169"/>
      <c r="FF35" s="169"/>
      <c r="FG35" s="169"/>
      <c r="FH35" s="169"/>
      <c r="FI35" s="169"/>
      <c r="FJ35" s="169"/>
      <c r="FK35" s="169"/>
      <c r="FL35" s="169"/>
      <c r="FM35" s="169"/>
      <c r="FN35" s="169"/>
      <c r="FO35" s="169"/>
      <c r="FP35" s="169"/>
      <c r="FQ35" s="169"/>
      <c r="FR35" s="169"/>
      <c r="FS35" s="169"/>
      <c r="FT35" s="169"/>
      <c r="FU35" s="169"/>
      <c r="FV35" s="169"/>
      <c r="FW35" s="169"/>
      <c r="FX35" s="169"/>
      <c r="FY35" s="169"/>
      <c r="FZ35" s="169"/>
      <c r="GA35" s="169"/>
      <c r="GB35" s="169"/>
      <c r="GC35" s="169"/>
      <c r="GD35" s="169"/>
      <c r="GE35" s="169"/>
      <c r="GF35" s="169"/>
      <c r="GG35" s="169"/>
      <c r="GH35" s="169"/>
      <c r="GI35" s="169"/>
      <c r="GJ35" s="169"/>
      <c r="GK35" s="169"/>
      <c r="GL35" s="169"/>
      <c r="GM35" s="169"/>
      <c r="GN35" s="169"/>
      <c r="GO35" s="169"/>
      <c r="GP35" s="169"/>
      <c r="GQ35" s="169"/>
      <c r="GR35" s="169"/>
      <c r="GS35" s="169"/>
      <c r="GT35" s="169"/>
      <c r="GU35" s="169"/>
      <c r="GV35" s="169"/>
      <c r="GW35" s="169"/>
      <c r="GX35" s="169"/>
      <c r="GY35" s="169"/>
      <c r="GZ35" s="169"/>
      <c r="HA35" s="169"/>
      <c r="HB35" s="169"/>
      <c r="HC35" s="169"/>
      <c r="HD35" s="169"/>
      <c r="HE35" s="169"/>
      <c r="HF35" s="169"/>
      <c r="HG35" s="169"/>
      <c r="HH35" s="169"/>
      <c r="HI35" s="169"/>
      <c r="HJ35" s="169"/>
      <c r="HK35" s="169"/>
      <c r="HL35" s="169"/>
      <c r="HM35" s="169"/>
      <c r="HN35" s="169"/>
      <c r="HO35" s="169"/>
      <c r="HP35" s="169"/>
      <c r="HQ35" s="169"/>
      <c r="HR35" s="169"/>
      <c r="HS35" s="169"/>
      <c r="HT35" s="169"/>
      <c r="HU35" s="169"/>
      <c r="HV35" s="169"/>
      <c r="HW35" s="169"/>
      <c r="HX35" s="169"/>
      <c r="HY35" s="169"/>
      <c r="HZ35" s="169"/>
      <c r="IA35" s="169"/>
      <c r="IB35" s="169"/>
      <c r="IC35" s="169"/>
      <c r="ID35" s="169"/>
      <c r="IE35" s="169"/>
      <c r="IF35" s="169"/>
      <c r="IG35" s="169"/>
      <c r="IH35" s="169"/>
      <c r="II35" s="169"/>
      <c r="IJ35" s="169"/>
      <c r="IK35" s="169"/>
      <c r="IL35" s="169"/>
      <c r="IM35" s="169"/>
      <c r="IN35" s="169"/>
      <c r="IO35" s="169"/>
      <c r="IP35" s="169"/>
      <c r="IQ35" s="169"/>
      <c r="IR35" s="169"/>
      <c r="IS35" s="169"/>
      <c r="IT35" s="169"/>
      <c r="IU35" s="169"/>
      <c r="IV35" s="169"/>
      <c r="IW35" s="169"/>
      <c r="IX35" s="169"/>
    </row>
    <row r="36" spans="1:258" ht="15.6" x14ac:dyDescent="0.3">
      <c r="A36" s="1374"/>
      <c r="B36" s="1372"/>
      <c r="C36" s="1373"/>
      <c r="D36" s="1367"/>
      <c r="E36" s="1366"/>
      <c r="G36" s="1371" t="s">
        <v>1799</v>
      </c>
      <c r="H36" s="1362"/>
      <c r="I36" s="1362"/>
      <c r="J36" s="1362"/>
      <c r="K36" s="1362"/>
      <c r="L36" s="1362"/>
      <c r="M36" s="1370">
        <f>+M35</f>
        <v>505774.73</v>
      </c>
      <c r="N36" s="979"/>
      <c r="O36" s="1593"/>
      <c r="P36" s="176"/>
      <c r="Q36" s="176"/>
      <c r="R36" s="169"/>
      <c r="S36" s="169"/>
      <c r="T36" s="169"/>
      <c r="U36" s="169"/>
      <c r="V36" s="169"/>
      <c r="W36" s="169"/>
      <c r="X36" s="169"/>
      <c r="Y36" s="169"/>
      <c r="Z36" s="169"/>
      <c r="AA36" s="169"/>
      <c r="AB36" s="169"/>
      <c r="AC36" s="169"/>
      <c r="AD36" s="169"/>
      <c r="AE36" s="169"/>
      <c r="AF36" s="169"/>
      <c r="AG36" s="169"/>
      <c r="AH36" s="169"/>
      <c r="AI36" s="169"/>
      <c r="AJ36" s="169"/>
      <c r="AK36" s="169"/>
      <c r="AL36" s="169"/>
      <c r="AM36" s="169"/>
      <c r="AN36" s="169"/>
      <c r="AO36" s="169"/>
      <c r="AP36" s="169"/>
      <c r="AQ36" s="169"/>
      <c r="AR36" s="169"/>
      <c r="AS36" s="169"/>
      <c r="AT36" s="169"/>
      <c r="AU36" s="169"/>
      <c r="AV36" s="169"/>
      <c r="AW36" s="169"/>
      <c r="AX36" s="169"/>
      <c r="AY36" s="169"/>
      <c r="AZ36" s="169"/>
      <c r="BA36" s="169"/>
      <c r="BB36" s="169"/>
      <c r="BC36" s="169"/>
      <c r="BD36" s="169"/>
      <c r="BE36" s="169"/>
      <c r="BF36" s="169"/>
      <c r="BG36" s="169"/>
      <c r="BH36" s="169"/>
      <c r="BI36" s="169"/>
      <c r="BJ36" s="169"/>
      <c r="BK36" s="169"/>
      <c r="BL36" s="169"/>
      <c r="BM36" s="169"/>
      <c r="BN36" s="169"/>
      <c r="BO36" s="169"/>
      <c r="BP36" s="169"/>
      <c r="BQ36" s="169"/>
      <c r="BR36" s="169"/>
      <c r="BS36" s="169"/>
      <c r="BT36" s="169"/>
      <c r="BU36" s="169"/>
      <c r="BV36" s="169"/>
      <c r="BW36" s="169"/>
      <c r="BX36" s="169"/>
      <c r="BY36" s="169"/>
      <c r="BZ36" s="169"/>
      <c r="CA36" s="169"/>
      <c r="CB36" s="169"/>
      <c r="CC36" s="169"/>
      <c r="CD36" s="169"/>
      <c r="CE36" s="169"/>
      <c r="CF36" s="169"/>
      <c r="CG36" s="169"/>
      <c r="CH36" s="169"/>
      <c r="CI36" s="169"/>
      <c r="CJ36" s="169"/>
      <c r="CK36" s="169"/>
      <c r="CL36" s="169"/>
      <c r="CM36" s="169"/>
      <c r="CN36" s="169"/>
      <c r="CO36" s="169"/>
      <c r="CP36" s="169"/>
      <c r="CQ36" s="169"/>
      <c r="CR36" s="169"/>
      <c r="CS36" s="169"/>
      <c r="CT36" s="169"/>
      <c r="CU36" s="169"/>
      <c r="CV36" s="169"/>
      <c r="CW36" s="169"/>
      <c r="CX36" s="169"/>
      <c r="CY36" s="169"/>
      <c r="CZ36" s="169"/>
      <c r="DA36" s="169"/>
      <c r="DB36" s="169"/>
      <c r="DC36" s="169"/>
      <c r="DD36" s="169"/>
      <c r="DE36" s="169"/>
      <c r="DF36" s="169"/>
      <c r="DG36" s="169"/>
      <c r="DH36" s="169"/>
      <c r="DI36" s="169"/>
      <c r="DJ36" s="169"/>
      <c r="DK36" s="169"/>
      <c r="DL36" s="169"/>
      <c r="DM36" s="169"/>
      <c r="DN36" s="169"/>
      <c r="DO36" s="169"/>
      <c r="DP36" s="169"/>
      <c r="DQ36" s="169"/>
      <c r="DR36" s="169"/>
      <c r="DS36" s="169"/>
      <c r="DT36" s="169"/>
      <c r="DU36" s="169"/>
      <c r="DV36" s="169"/>
      <c r="DW36" s="169"/>
      <c r="DX36" s="169"/>
      <c r="DY36" s="169"/>
      <c r="DZ36" s="169"/>
      <c r="EA36" s="169"/>
      <c r="EB36" s="169"/>
      <c r="EC36" s="169"/>
      <c r="ED36" s="169"/>
      <c r="EE36" s="169"/>
      <c r="EF36" s="169"/>
      <c r="EG36" s="169"/>
      <c r="EH36" s="169"/>
      <c r="EI36" s="169"/>
      <c r="EJ36" s="169"/>
      <c r="EK36" s="169"/>
      <c r="EL36" s="169"/>
      <c r="EM36" s="169"/>
      <c r="EN36" s="169"/>
      <c r="EO36" s="169"/>
      <c r="EP36" s="169"/>
      <c r="EQ36" s="169"/>
      <c r="ER36" s="169"/>
      <c r="ES36" s="169"/>
      <c r="ET36" s="169"/>
      <c r="EU36" s="169"/>
      <c r="EV36" s="169"/>
      <c r="EW36" s="169"/>
      <c r="EX36" s="169"/>
      <c r="EY36" s="169"/>
      <c r="EZ36" s="169"/>
      <c r="FA36" s="169"/>
      <c r="FB36" s="169"/>
      <c r="FC36" s="169"/>
      <c r="FD36" s="169"/>
      <c r="FE36" s="169"/>
      <c r="FF36" s="169"/>
      <c r="FG36" s="169"/>
      <c r="FH36" s="169"/>
      <c r="FI36" s="169"/>
      <c r="FJ36" s="169"/>
      <c r="FK36" s="169"/>
      <c r="FL36" s="169"/>
      <c r="FM36" s="169"/>
      <c r="FN36" s="169"/>
      <c r="FO36" s="169"/>
      <c r="FP36" s="169"/>
      <c r="FQ36" s="169"/>
      <c r="FR36" s="169"/>
      <c r="FS36" s="169"/>
      <c r="FT36" s="169"/>
      <c r="FU36" s="169"/>
      <c r="FV36" s="169"/>
      <c r="FW36" s="169"/>
      <c r="FX36" s="169"/>
      <c r="FY36" s="169"/>
      <c r="FZ36" s="169"/>
      <c r="GA36" s="169"/>
      <c r="GB36" s="169"/>
      <c r="GC36" s="169"/>
      <c r="GD36" s="169"/>
      <c r="GE36" s="169"/>
      <c r="GF36" s="169"/>
      <c r="GG36" s="169"/>
      <c r="GH36" s="169"/>
      <c r="GI36" s="169"/>
      <c r="GJ36" s="169"/>
      <c r="GK36" s="169"/>
      <c r="GL36" s="169"/>
      <c r="GM36" s="169"/>
      <c r="GN36" s="169"/>
      <c r="GO36" s="169"/>
      <c r="GP36" s="169"/>
      <c r="GQ36" s="169"/>
      <c r="GR36" s="169"/>
      <c r="GS36" s="169"/>
      <c r="GT36" s="169"/>
      <c r="GU36" s="169"/>
      <c r="GV36" s="169"/>
      <c r="GW36" s="169"/>
      <c r="GX36" s="169"/>
      <c r="GY36" s="169"/>
      <c r="GZ36" s="169"/>
      <c r="HA36" s="169"/>
      <c r="HB36" s="169"/>
      <c r="HC36" s="169"/>
      <c r="HD36" s="169"/>
      <c r="HE36" s="169"/>
      <c r="HF36" s="169"/>
      <c r="HG36" s="169"/>
      <c r="HH36" s="169"/>
      <c r="HI36" s="169"/>
      <c r="HJ36" s="169"/>
      <c r="HK36" s="169"/>
      <c r="HL36" s="169"/>
      <c r="HM36" s="169"/>
      <c r="HN36" s="169"/>
      <c r="HO36" s="169"/>
      <c r="HP36" s="169"/>
      <c r="HQ36" s="169"/>
      <c r="HR36" s="169"/>
      <c r="HS36" s="169"/>
      <c r="HT36" s="169"/>
      <c r="HU36" s="169"/>
      <c r="HV36" s="169"/>
      <c r="HW36" s="169"/>
      <c r="HX36" s="169"/>
      <c r="HY36" s="169"/>
      <c r="HZ36" s="169"/>
      <c r="IA36" s="169"/>
      <c r="IB36" s="169"/>
      <c r="IC36" s="169"/>
      <c r="ID36" s="169"/>
      <c r="IE36" s="169"/>
      <c r="IF36" s="169"/>
      <c r="IG36" s="169"/>
      <c r="IH36" s="169"/>
      <c r="II36" s="169"/>
      <c r="IJ36" s="169"/>
      <c r="IK36" s="169"/>
      <c r="IL36" s="169"/>
      <c r="IM36" s="169"/>
      <c r="IN36" s="169"/>
      <c r="IO36" s="169"/>
      <c r="IP36" s="169"/>
      <c r="IQ36" s="169"/>
      <c r="IR36" s="169"/>
      <c r="IS36" s="169"/>
      <c r="IT36" s="169"/>
      <c r="IU36" s="169"/>
      <c r="IV36" s="169"/>
      <c r="IW36" s="169"/>
      <c r="IX36" s="169"/>
    </row>
    <row r="37" spans="1:258" ht="16.2" thickBot="1" x14ac:dyDescent="0.35">
      <c r="A37" s="1594"/>
      <c r="B37" s="1595"/>
      <c r="C37" s="1596"/>
      <c r="D37" s="1390"/>
      <c r="E37" s="1597"/>
      <c r="F37" s="1597"/>
      <c r="G37" s="1595" t="s">
        <v>1456</v>
      </c>
      <c r="H37" s="1598"/>
      <c r="I37" s="1598"/>
      <c r="J37" s="1598"/>
      <c r="K37" s="1598"/>
      <c r="L37" s="1598"/>
      <c r="M37" s="1599">
        <v>513244.09</v>
      </c>
      <c r="N37" s="1480"/>
      <c r="O37" s="1600"/>
      <c r="P37" s="176"/>
      <c r="Q37" s="169"/>
      <c r="R37" s="169"/>
      <c r="S37" s="169"/>
      <c r="T37" s="169"/>
      <c r="U37" s="169"/>
      <c r="V37" s="169"/>
      <c r="W37" s="169"/>
      <c r="X37" s="169"/>
      <c r="Y37" s="169"/>
      <c r="Z37" s="169"/>
      <c r="AA37" s="169"/>
      <c r="AB37" s="169"/>
      <c r="AC37" s="169"/>
      <c r="AD37" s="169"/>
      <c r="AE37" s="169"/>
      <c r="AF37" s="169"/>
      <c r="AG37" s="169"/>
      <c r="AH37" s="169"/>
      <c r="AI37" s="169"/>
      <c r="AJ37" s="169"/>
      <c r="AK37" s="169"/>
      <c r="AL37" s="169"/>
      <c r="AM37" s="169"/>
      <c r="AN37" s="169"/>
      <c r="AO37" s="169"/>
      <c r="AP37" s="169"/>
      <c r="AQ37" s="169"/>
      <c r="AR37" s="169"/>
      <c r="AS37" s="169"/>
      <c r="AT37" s="169"/>
      <c r="AU37" s="169"/>
      <c r="AV37" s="169"/>
      <c r="AW37" s="169"/>
      <c r="AX37" s="169"/>
      <c r="AY37" s="169"/>
      <c r="AZ37" s="169"/>
      <c r="BA37" s="169"/>
      <c r="BB37" s="169"/>
      <c r="BC37" s="169"/>
      <c r="BD37" s="169"/>
      <c r="BE37" s="169"/>
      <c r="BF37" s="169"/>
      <c r="BG37" s="169"/>
      <c r="BH37" s="169"/>
      <c r="BI37" s="169"/>
      <c r="BJ37" s="169"/>
      <c r="BK37" s="169"/>
      <c r="BL37" s="169"/>
      <c r="BM37" s="169"/>
      <c r="BN37" s="169"/>
      <c r="BO37" s="169"/>
      <c r="BP37" s="169"/>
      <c r="BQ37" s="169"/>
      <c r="BR37" s="169"/>
      <c r="BS37" s="169"/>
      <c r="BT37" s="169"/>
      <c r="BU37" s="169"/>
      <c r="BV37" s="169"/>
      <c r="BW37" s="169"/>
      <c r="BX37" s="169"/>
      <c r="BY37" s="169"/>
      <c r="BZ37" s="169"/>
      <c r="CA37" s="169"/>
      <c r="CB37" s="169"/>
      <c r="CC37" s="169"/>
      <c r="CD37" s="169"/>
      <c r="CE37" s="169"/>
      <c r="CF37" s="169"/>
      <c r="CG37" s="169"/>
      <c r="CH37" s="169"/>
      <c r="CI37" s="169"/>
      <c r="CJ37" s="169"/>
      <c r="CK37" s="169"/>
      <c r="CL37" s="169"/>
      <c r="CM37" s="169"/>
      <c r="CN37" s="169"/>
      <c r="CO37" s="169"/>
      <c r="CP37" s="169"/>
      <c r="CQ37" s="169"/>
      <c r="CR37" s="169"/>
      <c r="CS37" s="169"/>
      <c r="CT37" s="169"/>
      <c r="CU37" s="169"/>
      <c r="CV37" s="169"/>
      <c r="CW37" s="169"/>
      <c r="CX37" s="169"/>
      <c r="CY37" s="169"/>
      <c r="CZ37" s="169"/>
      <c r="DA37" s="169"/>
      <c r="DB37" s="169"/>
      <c r="DC37" s="169"/>
      <c r="DD37" s="169"/>
      <c r="DE37" s="169"/>
      <c r="DF37" s="169"/>
      <c r="DG37" s="169"/>
      <c r="DH37" s="169"/>
      <c r="DI37" s="169"/>
      <c r="DJ37" s="169"/>
      <c r="DK37" s="169"/>
      <c r="DL37" s="169"/>
      <c r="DM37" s="169"/>
      <c r="DN37" s="169"/>
      <c r="DO37" s="169"/>
      <c r="DP37" s="169"/>
      <c r="DQ37" s="169"/>
      <c r="DR37" s="169"/>
      <c r="DS37" s="169"/>
      <c r="DT37" s="169"/>
      <c r="DU37" s="169"/>
      <c r="DV37" s="169"/>
      <c r="DW37" s="169"/>
      <c r="DX37" s="169"/>
      <c r="DY37" s="169"/>
      <c r="DZ37" s="169"/>
      <c r="EA37" s="169"/>
      <c r="EB37" s="169"/>
      <c r="EC37" s="169"/>
      <c r="ED37" s="169"/>
      <c r="EE37" s="169"/>
      <c r="EF37" s="169"/>
      <c r="EG37" s="169"/>
      <c r="EH37" s="169"/>
      <c r="EI37" s="169"/>
      <c r="EJ37" s="169"/>
      <c r="EK37" s="169"/>
      <c r="EL37" s="169"/>
      <c r="EM37" s="169"/>
      <c r="EN37" s="169"/>
      <c r="EO37" s="169"/>
      <c r="EP37" s="169"/>
      <c r="EQ37" s="169"/>
      <c r="ER37" s="169"/>
      <c r="ES37" s="169"/>
      <c r="ET37" s="169"/>
      <c r="EU37" s="169"/>
      <c r="EV37" s="169"/>
      <c r="EW37" s="169"/>
      <c r="EX37" s="169"/>
      <c r="EY37" s="169"/>
      <c r="EZ37" s="169"/>
      <c r="FA37" s="169"/>
      <c r="FB37" s="169"/>
      <c r="FC37" s="169"/>
      <c r="FD37" s="169"/>
      <c r="FE37" s="169"/>
      <c r="FF37" s="169"/>
      <c r="FG37" s="169"/>
      <c r="FH37" s="169"/>
      <c r="FI37" s="169"/>
      <c r="FJ37" s="169"/>
      <c r="FK37" s="169"/>
      <c r="FL37" s="169"/>
      <c r="FM37" s="169"/>
      <c r="FN37" s="169"/>
      <c r="FO37" s="169"/>
      <c r="FP37" s="169"/>
      <c r="FQ37" s="169"/>
      <c r="FR37" s="169"/>
      <c r="FS37" s="169"/>
      <c r="FT37" s="169"/>
      <c r="FU37" s="169"/>
      <c r="FV37" s="169"/>
      <c r="FW37" s="169"/>
      <c r="FX37" s="169"/>
      <c r="FY37" s="169"/>
      <c r="FZ37" s="169"/>
      <c r="GA37" s="169"/>
      <c r="GB37" s="169"/>
      <c r="GC37" s="169"/>
      <c r="GD37" s="169"/>
      <c r="GE37" s="169"/>
      <c r="GF37" s="169"/>
      <c r="GG37" s="169"/>
      <c r="GH37" s="169"/>
      <c r="GI37" s="169"/>
      <c r="GJ37" s="169"/>
      <c r="GK37" s="169"/>
      <c r="GL37" s="169"/>
      <c r="GM37" s="169"/>
      <c r="GN37" s="169"/>
      <c r="GO37" s="169"/>
      <c r="GP37" s="169"/>
      <c r="GQ37" s="169"/>
      <c r="GR37" s="169"/>
      <c r="GS37" s="169"/>
      <c r="GT37" s="169"/>
      <c r="GU37" s="169"/>
      <c r="GV37" s="169"/>
      <c r="GW37" s="169"/>
      <c r="GX37" s="169"/>
      <c r="GY37" s="169"/>
      <c r="GZ37" s="169"/>
      <c r="HA37" s="169"/>
      <c r="HB37" s="169"/>
      <c r="HC37" s="169"/>
      <c r="HD37" s="169"/>
      <c r="HE37" s="169"/>
      <c r="HF37" s="169"/>
      <c r="HG37" s="169"/>
      <c r="HH37" s="169"/>
      <c r="HI37" s="169"/>
      <c r="HJ37" s="169"/>
      <c r="HK37" s="169"/>
      <c r="HL37" s="169"/>
      <c r="HM37" s="169"/>
      <c r="HN37" s="169"/>
      <c r="HO37" s="169"/>
      <c r="HP37" s="169"/>
      <c r="HQ37" s="169"/>
      <c r="HR37" s="169"/>
      <c r="HS37" s="169"/>
      <c r="HT37" s="169"/>
      <c r="HU37" s="169"/>
      <c r="HV37" s="169"/>
      <c r="HW37" s="169"/>
      <c r="HX37" s="169"/>
      <c r="HY37" s="169"/>
      <c r="HZ37" s="169"/>
      <c r="IA37" s="169"/>
      <c r="IB37" s="169"/>
      <c r="IC37" s="169"/>
      <c r="ID37" s="169"/>
      <c r="IE37" s="169"/>
      <c r="IF37" s="169"/>
      <c r="IG37" s="169"/>
      <c r="IH37" s="169"/>
      <c r="II37" s="169"/>
      <c r="IJ37" s="169"/>
      <c r="IK37" s="169"/>
      <c r="IL37" s="169"/>
      <c r="IM37" s="169"/>
      <c r="IN37" s="169"/>
      <c r="IO37" s="169"/>
      <c r="IP37" s="169"/>
      <c r="IQ37" s="169"/>
      <c r="IR37" s="169"/>
      <c r="IS37" s="169"/>
      <c r="IT37" s="169"/>
      <c r="IU37" s="169"/>
      <c r="IV37" s="169"/>
      <c r="IW37" s="169"/>
      <c r="IX37" s="169"/>
    </row>
    <row r="38" spans="1:258" ht="16.2" thickBot="1" x14ac:dyDescent="0.35">
      <c r="A38" s="1478"/>
      <c r="B38" s="1479"/>
      <c r="C38" s="1375"/>
      <c r="D38" s="1369"/>
      <c r="E38" s="490"/>
      <c r="F38" s="490"/>
      <c r="G38" s="1376" t="s">
        <v>1808</v>
      </c>
      <c r="H38" s="308"/>
      <c r="I38" s="308"/>
      <c r="J38" s="308"/>
      <c r="K38" s="308"/>
      <c r="L38" s="308"/>
      <c r="M38" s="1323">
        <f>+M35-M37</f>
        <v>-7469.3600000000442</v>
      </c>
      <c r="N38" s="1363"/>
      <c r="O38" s="1601"/>
      <c r="P38" s="309"/>
      <c r="Q38" s="169"/>
      <c r="R38" s="169"/>
      <c r="S38" s="169"/>
      <c r="T38" s="169"/>
      <c r="U38" s="169"/>
      <c r="V38" s="169"/>
      <c r="W38" s="169"/>
      <c r="X38" s="169"/>
      <c r="Y38" s="169"/>
      <c r="Z38" s="169"/>
      <c r="AA38" s="169"/>
      <c r="AB38" s="169"/>
      <c r="AC38" s="169"/>
      <c r="AD38" s="169"/>
      <c r="AE38" s="169"/>
      <c r="AF38" s="169"/>
      <c r="AG38" s="169"/>
      <c r="AH38" s="169"/>
      <c r="AI38" s="169"/>
      <c r="AJ38" s="169"/>
      <c r="AK38" s="169"/>
      <c r="AL38" s="169"/>
      <c r="AM38" s="169"/>
      <c r="AN38" s="169"/>
      <c r="AO38" s="169"/>
      <c r="AP38" s="169"/>
      <c r="AQ38" s="169"/>
      <c r="AR38" s="169"/>
      <c r="AS38" s="169"/>
      <c r="AT38" s="169"/>
      <c r="AU38" s="169"/>
      <c r="AV38" s="169"/>
      <c r="AW38" s="169"/>
      <c r="AX38" s="169"/>
      <c r="AY38" s="169"/>
      <c r="AZ38" s="169"/>
      <c r="BA38" s="169"/>
      <c r="BB38" s="169"/>
      <c r="BC38" s="169"/>
      <c r="BD38" s="169"/>
      <c r="BE38" s="169"/>
      <c r="BF38" s="169"/>
      <c r="BG38" s="169"/>
      <c r="BH38" s="169"/>
      <c r="BI38" s="169"/>
      <c r="BJ38" s="169"/>
      <c r="BK38" s="169"/>
      <c r="BL38" s="169"/>
      <c r="BM38" s="169"/>
      <c r="BN38" s="169"/>
      <c r="BO38" s="169"/>
      <c r="BP38" s="169"/>
      <c r="BQ38" s="169"/>
      <c r="BR38" s="169"/>
      <c r="BS38" s="169"/>
      <c r="BT38" s="169"/>
      <c r="BU38" s="169"/>
      <c r="BV38" s="169"/>
      <c r="BW38" s="169"/>
      <c r="BX38" s="169"/>
      <c r="BY38" s="169"/>
      <c r="BZ38" s="169"/>
      <c r="CA38" s="169"/>
      <c r="CB38" s="169"/>
      <c r="CC38" s="169"/>
      <c r="CD38" s="169"/>
      <c r="CE38" s="169"/>
      <c r="CF38" s="169"/>
      <c r="CG38" s="169"/>
      <c r="CH38" s="169"/>
      <c r="CI38" s="169"/>
      <c r="CJ38" s="169"/>
      <c r="CK38" s="169"/>
      <c r="CL38" s="169"/>
      <c r="CM38" s="169"/>
      <c r="CN38" s="169"/>
      <c r="CO38" s="169"/>
      <c r="CP38" s="169"/>
      <c r="CQ38" s="169"/>
      <c r="CR38" s="169"/>
      <c r="CS38" s="169"/>
      <c r="CT38" s="169"/>
      <c r="CU38" s="169"/>
      <c r="CV38" s="169"/>
      <c r="CW38" s="169"/>
      <c r="CX38" s="169"/>
      <c r="CY38" s="169"/>
      <c r="CZ38" s="169"/>
      <c r="DA38" s="169"/>
      <c r="DB38" s="169"/>
      <c r="DC38" s="169"/>
      <c r="DD38" s="169"/>
      <c r="DE38" s="169"/>
      <c r="DF38" s="169"/>
      <c r="DG38" s="169"/>
      <c r="DH38" s="169"/>
      <c r="DI38" s="169"/>
      <c r="DJ38" s="169"/>
      <c r="DK38" s="169"/>
      <c r="DL38" s="169"/>
      <c r="DM38" s="169"/>
      <c r="DN38" s="169"/>
      <c r="DO38" s="169"/>
      <c r="DP38" s="169"/>
      <c r="DQ38" s="169"/>
      <c r="DR38" s="169"/>
      <c r="DS38" s="169"/>
      <c r="DT38" s="169"/>
      <c r="DU38" s="169"/>
      <c r="DV38" s="169"/>
      <c r="DW38" s="169"/>
      <c r="DX38" s="169"/>
      <c r="DY38" s="169"/>
      <c r="DZ38" s="169"/>
      <c r="EA38" s="169"/>
      <c r="EB38" s="169"/>
      <c r="EC38" s="169"/>
      <c r="ED38" s="169"/>
      <c r="EE38" s="169"/>
      <c r="EF38" s="169"/>
      <c r="EG38" s="169"/>
      <c r="EH38" s="169"/>
      <c r="EI38" s="169"/>
      <c r="EJ38" s="169"/>
      <c r="EK38" s="169"/>
      <c r="EL38" s="169"/>
      <c r="EM38" s="169"/>
      <c r="EN38" s="169"/>
      <c r="EO38" s="169"/>
      <c r="EP38" s="169"/>
      <c r="EQ38" s="169"/>
      <c r="ER38" s="169"/>
      <c r="ES38" s="169"/>
      <c r="ET38" s="169"/>
      <c r="EU38" s="169"/>
      <c r="EV38" s="169"/>
      <c r="EW38" s="169"/>
      <c r="EX38" s="169"/>
      <c r="EY38" s="169"/>
      <c r="EZ38" s="169"/>
      <c r="FA38" s="169"/>
      <c r="FB38" s="169"/>
      <c r="FC38" s="169"/>
      <c r="FD38" s="169"/>
      <c r="FE38" s="169"/>
      <c r="FF38" s="169"/>
      <c r="FG38" s="169"/>
      <c r="FH38" s="169"/>
      <c r="FI38" s="169"/>
      <c r="FJ38" s="169"/>
      <c r="FK38" s="169"/>
      <c r="FL38" s="169"/>
      <c r="FM38" s="169"/>
      <c r="FN38" s="169"/>
      <c r="FO38" s="169"/>
      <c r="FP38" s="169"/>
      <c r="FQ38" s="169"/>
      <c r="FR38" s="169"/>
      <c r="FS38" s="169"/>
      <c r="FT38" s="169"/>
      <c r="FU38" s="169"/>
      <c r="FV38" s="169"/>
      <c r="FW38" s="169"/>
      <c r="FX38" s="169"/>
      <c r="FY38" s="169"/>
      <c r="FZ38" s="169"/>
      <c r="GA38" s="169"/>
      <c r="GB38" s="169"/>
      <c r="GC38" s="169"/>
      <c r="GD38" s="169"/>
      <c r="GE38" s="169"/>
      <c r="GF38" s="169"/>
      <c r="GG38" s="169"/>
      <c r="GH38" s="169"/>
      <c r="GI38" s="169"/>
      <c r="GJ38" s="169"/>
      <c r="GK38" s="169"/>
      <c r="GL38" s="169"/>
      <c r="GM38" s="169"/>
      <c r="GN38" s="169"/>
      <c r="GO38" s="169"/>
      <c r="GP38" s="169"/>
      <c r="GQ38" s="169"/>
      <c r="GR38" s="169"/>
      <c r="GS38" s="169"/>
      <c r="GT38" s="169"/>
      <c r="GU38" s="169"/>
      <c r="GV38" s="169"/>
      <c r="GW38" s="169"/>
      <c r="GX38" s="169"/>
      <c r="GY38" s="169"/>
      <c r="GZ38" s="169"/>
      <c r="HA38" s="169"/>
      <c r="HB38" s="169"/>
      <c r="HC38" s="169"/>
      <c r="HD38" s="169"/>
      <c r="HE38" s="169"/>
      <c r="HF38" s="169"/>
      <c r="HG38" s="169"/>
      <c r="HH38" s="169"/>
      <c r="HI38" s="169"/>
      <c r="HJ38" s="169"/>
      <c r="HK38" s="169"/>
      <c r="HL38" s="169"/>
      <c r="HM38" s="169"/>
      <c r="HN38" s="169"/>
      <c r="HO38" s="169"/>
      <c r="HP38" s="169"/>
      <c r="HQ38" s="169"/>
      <c r="HR38" s="169"/>
      <c r="HS38" s="169"/>
      <c r="HT38" s="169"/>
      <c r="HU38" s="169"/>
      <c r="HV38" s="169"/>
      <c r="HW38" s="169"/>
      <c r="HX38" s="169"/>
      <c r="HY38" s="169"/>
      <c r="HZ38" s="169"/>
      <c r="IA38" s="169"/>
      <c r="IB38" s="169"/>
      <c r="IC38" s="169"/>
      <c r="ID38" s="169"/>
      <c r="IE38" s="169"/>
      <c r="IF38" s="169"/>
      <c r="IG38" s="169"/>
      <c r="IH38" s="169"/>
      <c r="II38" s="169"/>
      <c r="IJ38" s="169"/>
      <c r="IK38" s="169"/>
      <c r="IL38" s="169"/>
      <c r="IM38" s="169"/>
      <c r="IN38" s="169"/>
      <c r="IO38" s="169"/>
      <c r="IP38" s="169"/>
      <c r="IQ38" s="169"/>
      <c r="IR38" s="169"/>
      <c r="IS38" s="169"/>
      <c r="IT38" s="169"/>
      <c r="IU38" s="169"/>
      <c r="IV38" s="169"/>
      <c r="IW38" s="169"/>
      <c r="IX38" s="169"/>
    </row>
    <row r="40" spans="1:258" x14ac:dyDescent="0.25">
      <c r="C40" s="179">
        <f>+CALEND_!G23</f>
        <v>15151078.059999999</v>
      </c>
      <c r="D40" s="179"/>
    </row>
    <row r="41" spans="1:258" x14ac:dyDescent="0.25">
      <c r="C41" s="177">
        <f>+C38-C40</f>
        <v>-15151078.059999999</v>
      </c>
      <c r="D41" s="177"/>
      <c r="H41" s="326"/>
      <c r="I41" s="326"/>
      <c r="J41" s="179"/>
      <c r="K41" s="179"/>
      <c r="L41" s="179"/>
      <c r="M41" s="340"/>
      <c r="N41" s="340"/>
    </row>
    <row r="42" spans="1:258" x14ac:dyDescent="0.25">
      <c r="C42" s="179"/>
      <c r="D42" s="179"/>
      <c r="E42" s="343">
        <v>1669307.74</v>
      </c>
      <c r="F42" s="343">
        <v>4228497.1399999997</v>
      </c>
      <c r="G42" s="1666">
        <v>6.800000000000006E-2</v>
      </c>
      <c r="H42" s="343">
        <v>147284.06</v>
      </c>
      <c r="I42" s="343">
        <v>366569.36</v>
      </c>
      <c r="J42" s="343">
        <v>113512.93</v>
      </c>
      <c r="K42" s="343">
        <v>294379.11</v>
      </c>
      <c r="L42" s="343"/>
      <c r="M42" s="343">
        <v>113512.93</v>
      </c>
      <c r="N42" s="343">
        <v>292454.90999999997</v>
      </c>
    </row>
    <row r="43" spans="1:258" x14ac:dyDescent="0.25">
      <c r="C43" s="179"/>
      <c r="D43" s="179"/>
      <c r="E43" s="179"/>
      <c r="F43" s="179"/>
      <c r="H43" s="179"/>
      <c r="I43" s="179"/>
      <c r="J43" s="179"/>
      <c r="K43" s="179"/>
      <c r="L43" s="179"/>
      <c r="M43" s="327"/>
      <c r="N43" s="327"/>
    </row>
    <row r="44" spans="1:258" x14ac:dyDescent="0.25">
      <c r="C44" s="179"/>
      <c r="D44" s="179"/>
      <c r="E44" s="179"/>
      <c r="F44" s="179"/>
      <c r="H44" s="328"/>
      <c r="I44" s="328"/>
      <c r="J44" s="328"/>
      <c r="K44" s="328"/>
      <c r="L44" s="328"/>
      <c r="M44" s="343"/>
      <c r="N44" s="343"/>
    </row>
    <row r="45" spans="1:258" x14ac:dyDescent="0.25">
      <c r="C45" s="179"/>
      <c r="D45" s="179"/>
      <c r="E45" s="179"/>
      <c r="F45" s="179"/>
    </row>
    <row r="46" spans="1:258" x14ac:dyDescent="0.25">
      <c r="C46" s="179"/>
      <c r="D46" s="179"/>
      <c r="E46" s="179"/>
      <c r="F46" s="179"/>
    </row>
    <row r="47" spans="1:258" x14ac:dyDescent="0.25">
      <c r="C47" s="179"/>
      <c r="D47" s="179"/>
    </row>
    <row r="48" spans="1:258" x14ac:dyDescent="0.25">
      <c r="C48" s="179"/>
      <c r="D48" s="179"/>
    </row>
  </sheetData>
  <mergeCells count="13">
    <mergeCell ref="A1:E1"/>
    <mergeCell ref="A2:N2"/>
    <mergeCell ref="A3:N3"/>
    <mergeCell ref="A5:N5"/>
    <mergeCell ref="E8:N9"/>
    <mergeCell ref="O14:O16"/>
    <mergeCell ref="C15:D15"/>
    <mergeCell ref="E15:F15"/>
    <mergeCell ref="H15:I15"/>
    <mergeCell ref="J15:K15"/>
    <mergeCell ref="H14:K14"/>
    <mergeCell ref="M14:N14"/>
    <mergeCell ref="C14:E14"/>
  </mergeCells>
  <hyperlinks>
    <hyperlink ref="A7" r:id="rId1" display=" L.P.I.N  °"/>
  </hyperlinks>
  <printOptions horizontalCentered="1"/>
  <pageMargins left="0.23622047244094491" right="0.11811023622047245" top="0.98425196850393704" bottom="0.51181102362204722" header="0.51181102362204722" footer="0.51181102362204722"/>
  <pageSetup paperSize="9" scale="65" firstPageNumber="0" orientation="landscape" horizontalDpi="4294967293" verticalDpi="4294967294" r:id="rId2"/>
  <headerFooter alignWithMargins="0"/>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59999389629810485"/>
  </sheetPr>
  <dimension ref="A1:IV92"/>
  <sheetViews>
    <sheetView view="pageBreakPreview" zoomScaleNormal="85" zoomScaleSheetLayoutView="100" workbookViewId="0">
      <selection activeCell="E93" sqref="E93"/>
    </sheetView>
  </sheetViews>
  <sheetFormatPr baseColWidth="10" defaultColWidth="10.5546875" defaultRowHeight="13.2" x14ac:dyDescent="0.25"/>
  <cols>
    <col min="1" max="1" width="6" style="193" customWidth="1"/>
    <col min="2" max="2" width="12.33203125" style="193" customWidth="1"/>
    <col min="3" max="3" width="13.44140625" style="193" customWidth="1"/>
    <col min="4" max="4" width="10.109375" style="622" bestFit="1" customWidth="1"/>
    <col min="5" max="5" width="15.44140625" style="622" customWidth="1"/>
    <col min="6" max="6" width="11.88671875" style="193" customWidth="1"/>
    <col min="7" max="7" width="9.109375" style="193" customWidth="1"/>
    <col min="8" max="8" width="8.44140625" style="193" customWidth="1"/>
    <col min="9" max="9" width="7.88671875" style="193" customWidth="1"/>
    <col min="10" max="10" width="9.33203125" style="193" customWidth="1"/>
    <col min="11" max="11" width="11.5546875" style="193" customWidth="1"/>
    <col min="12" max="12" width="11.33203125" style="193" customWidth="1"/>
    <col min="13" max="13" width="13.88671875" style="193" customWidth="1"/>
    <col min="14" max="14" width="10.5546875" style="193"/>
    <col min="15" max="15" width="13.6640625" style="193" customWidth="1"/>
    <col min="16" max="16384" width="10.5546875" style="193"/>
  </cols>
  <sheetData>
    <row r="1" spans="1:256" x14ac:dyDescent="0.25">
      <c r="A1" s="2021" t="str">
        <f>RESUM_VAL_!A1</f>
        <v>GOBIERNO REGIONAL AYACUCHO</v>
      </c>
      <c r="B1" s="2021"/>
      <c r="C1" s="2021"/>
      <c r="D1" s="2021"/>
      <c r="E1" s="2021"/>
      <c r="F1" s="169"/>
      <c r="G1" s="169"/>
      <c r="H1" s="169"/>
      <c r="I1" s="169"/>
      <c r="J1" s="169"/>
      <c r="K1" s="169"/>
      <c r="L1" s="169"/>
      <c r="M1" s="169"/>
      <c r="N1" s="169"/>
      <c r="O1" s="169"/>
      <c r="P1" s="169"/>
      <c r="Q1" s="169"/>
      <c r="R1" s="169"/>
      <c r="S1" s="169"/>
      <c r="T1" s="169"/>
      <c r="U1" s="169"/>
      <c r="V1" s="169"/>
      <c r="W1" s="169"/>
      <c r="X1" s="169"/>
      <c r="Y1" s="169"/>
      <c r="Z1" s="169"/>
      <c r="AA1" s="169"/>
      <c r="AB1" s="169"/>
      <c r="AC1" s="169"/>
      <c r="AD1" s="169"/>
      <c r="AE1" s="169"/>
      <c r="AF1" s="169"/>
      <c r="AG1" s="169"/>
      <c r="AH1" s="169"/>
      <c r="AI1" s="169"/>
      <c r="AJ1" s="169"/>
      <c r="AK1" s="169"/>
      <c r="AL1" s="169"/>
      <c r="AM1" s="169"/>
      <c r="AN1" s="169"/>
      <c r="AO1" s="169"/>
      <c r="AP1" s="169"/>
      <c r="AQ1" s="169"/>
      <c r="AR1" s="169"/>
      <c r="AS1" s="169"/>
      <c r="AT1" s="169"/>
      <c r="AU1" s="169"/>
      <c r="AV1" s="169"/>
      <c r="AW1" s="169"/>
      <c r="AX1" s="169"/>
      <c r="AY1" s="169"/>
      <c r="AZ1" s="169"/>
      <c r="BA1" s="169"/>
      <c r="BB1" s="169"/>
      <c r="BC1" s="169"/>
      <c r="BD1" s="169"/>
      <c r="BE1" s="169"/>
      <c r="BF1" s="169"/>
      <c r="BG1" s="169"/>
      <c r="BH1" s="169"/>
      <c r="BI1" s="169"/>
      <c r="BJ1" s="169"/>
      <c r="BK1" s="169"/>
      <c r="BL1" s="169"/>
      <c r="BM1" s="169"/>
      <c r="BN1" s="169"/>
      <c r="BO1" s="169"/>
      <c r="BP1" s="169"/>
      <c r="BQ1" s="169"/>
      <c r="BR1" s="169"/>
      <c r="BS1" s="169"/>
      <c r="BT1" s="169"/>
      <c r="BU1" s="169"/>
      <c r="BV1" s="169"/>
      <c r="BW1" s="169"/>
      <c r="BX1" s="169"/>
      <c r="BY1" s="169"/>
      <c r="BZ1" s="169"/>
      <c r="CA1" s="169"/>
      <c r="CB1" s="169"/>
      <c r="CC1" s="169"/>
      <c r="CD1" s="169"/>
      <c r="CE1" s="169"/>
      <c r="CF1" s="169"/>
      <c r="CG1" s="169"/>
      <c r="CH1" s="169"/>
      <c r="CI1" s="169"/>
      <c r="CJ1" s="169"/>
      <c r="CK1" s="169"/>
      <c r="CL1" s="169"/>
      <c r="CM1" s="169"/>
      <c r="CN1" s="169"/>
      <c r="CO1" s="169"/>
      <c r="CP1" s="169"/>
      <c r="CQ1" s="169"/>
      <c r="CR1" s="169"/>
      <c r="CS1" s="169"/>
      <c r="CT1" s="169"/>
      <c r="CU1" s="169"/>
      <c r="CV1" s="169"/>
      <c r="CW1" s="169"/>
      <c r="CX1" s="169"/>
      <c r="CY1" s="169"/>
      <c r="CZ1" s="169"/>
      <c r="DA1" s="169"/>
      <c r="DB1" s="169"/>
      <c r="DC1" s="169"/>
      <c r="DD1" s="169"/>
      <c r="DE1" s="169"/>
      <c r="DF1" s="169"/>
      <c r="DG1" s="169"/>
      <c r="DH1" s="169"/>
      <c r="DI1" s="169"/>
      <c r="DJ1" s="169"/>
      <c r="DK1" s="169"/>
      <c r="DL1" s="169"/>
      <c r="DM1" s="169"/>
      <c r="DN1" s="169"/>
      <c r="DO1" s="169"/>
      <c r="DP1" s="169"/>
      <c r="DQ1" s="169"/>
      <c r="DR1" s="169"/>
      <c r="DS1" s="169"/>
      <c r="DT1" s="169"/>
      <c r="DU1" s="169"/>
      <c r="DV1" s="169"/>
      <c r="DW1" s="169"/>
      <c r="DX1" s="169"/>
      <c r="DY1" s="169"/>
      <c r="DZ1" s="169"/>
      <c r="EA1" s="169"/>
      <c r="EB1" s="169"/>
      <c r="EC1" s="169"/>
      <c r="ED1" s="169"/>
      <c r="EE1" s="169"/>
      <c r="EF1" s="169"/>
      <c r="EG1" s="169"/>
      <c r="EH1" s="169"/>
      <c r="EI1" s="169"/>
      <c r="EJ1" s="169"/>
      <c r="EK1" s="169"/>
      <c r="EL1" s="169"/>
      <c r="EM1" s="169"/>
      <c r="EN1" s="169"/>
      <c r="EO1" s="169"/>
      <c r="EP1" s="169"/>
      <c r="EQ1" s="169"/>
      <c r="ER1" s="169"/>
      <c r="ES1" s="169"/>
      <c r="ET1" s="169"/>
      <c r="EU1" s="169"/>
      <c r="EV1" s="169"/>
      <c r="EW1" s="169"/>
      <c r="EX1" s="169"/>
      <c r="EY1" s="169"/>
      <c r="EZ1" s="169"/>
      <c r="FA1" s="169"/>
      <c r="FB1" s="169"/>
      <c r="FC1" s="169"/>
      <c r="FD1" s="169"/>
      <c r="FE1" s="169"/>
      <c r="FF1" s="169"/>
      <c r="FG1" s="169"/>
      <c r="FH1" s="169"/>
      <c r="FI1" s="169"/>
      <c r="FJ1" s="169"/>
      <c r="FK1" s="169"/>
      <c r="FL1" s="169"/>
      <c r="FM1" s="169"/>
      <c r="FN1" s="169"/>
      <c r="FO1" s="169"/>
      <c r="FP1" s="169"/>
      <c r="FQ1" s="169"/>
      <c r="FR1" s="169"/>
      <c r="FS1" s="169"/>
      <c r="FT1" s="169"/>
      <c r="FU1" s="169"/>
      <c r="FV1" s="169"/>
      <c r="FW1" s="169"/>
      <c r="FX1" s="169"/>
      <c r="FY1" s="169"/>
      <c r="FZ1" s="169"/>
      <c r="GA1" s="169"/>
      <c r="GB1" s="169"/>
      <c r="GC1" s="169"/>
      <c r="GD1" s="169"/>
      <c r="GE1" s="169"/>
      <c r="GF1" s="169"/>
      <c r="GG1" s="169"/>
      <c r="GH1" s="169"/>
      <c r="GI1" s="169"/>
      <c r="GJ1" s="169"/>
      <c r="GK1" s="169"/>
      <c r="GL1" s="169"/>
      <c r="GM1" s="169"/>
      <c r="GN1" s="169"/>
      <c r="GO1" s="169"/>
      <c r="GP1" s="169"/>
      <c r="GQ1" s="169"/>
      <c r="GR1" s="169"/>
      <c r="GS1" s="169"/>
      <c r="GT1" s="169"/>
      <c r="GU1" s="169"/>
      <c r="GV1" s="169"/>
      <c r="GW1" s="169"/>
      <c r="GX1" s="169"/>
      <c r="GY1" s="169"/>
      <c r="GZ1" s="169"/>
      <c r="HA1" s="169"/>
      <c r="HB1" s="169"/>
      <c r="HC1" s="169"/>
      <c r="HD1" s="169"/>
      <c r="HE1" s="169"/>
      <c r="HF1" s="169"/>
      <c r="HG1" s="169"/>
      <c r="HH1" s="169"/>
      <c r="HI1" s="169"/>
      <c r="HJ1" s="169"/>
      <c r="HK1" s="169"/>
      <c r="HL1" s="169"/>
      <c r="HM1" s="169"/>
      <c r="HN1" s="169"/>
      <c r="HO1" s="169"/>
      <c r="HP1" s="169"/>
      <c r="HQ1" s="169"/>
      <c r="HR1" s="169"/>
      <c r="HS1" s="169"/>
      <c r="HT1" s="169"/>
      <c r="HU1" s="169"/>
      <c r="HV1" s="169"/>
      <c r="HW1" s="169"/>
      <c r="HX1" s="169"/>
      <c r="HY1" s="169"/>
      <c r="HZ1" s="169"/>
      <c r="IA1" s="169"/>
      <c r="IB1" s="169"/>
      <c r="IC1" s="169"/>
      <c r="ID1" s="169"/>
      <c r="IE1" s="169"/>
      <c r="IF1" s="169"/>
      <c r="IG1" s="169"/>
      <c r="IH1" s="169"/>
      <c r="II1" s="169"/>
      <c r="IJ1" s="169"/>
      <c r="IK1" s="169"/>
      <c r="IL1" s="169"/>
      <c r="IM1" s="169"/>
      <c r="IN1" s="169"/>
      <c r="IO1" s="169"/>
      <c r="IP1" s="169"/>
      <c r="IQ1" s="169"/>
      <c r="IR1" s="169"/>
      <c r="IS1" s="169"/>
      <c r="IT1" s="169"/>
      <c r="IU1" s="169"/>
      <c r="IV1" s="169"/>
    </row>
    <row r="2" spans="1:256" x14ac:dyDescent="0.25">
      <c r="A2" s="627" t="str">
        <f>RESUM_VAL_!A2</f>
        <v>SUBGERENCIA DE SUPERVISION Y LIQUIDACION</v>
      </c>
      <c r="B2" s="627"/>
      <c r="C2" s="627"/>
      <c r="D2" s="627"/>
      <c r="E2" s="492"/>
      <c r="F2" s="169"/>
      <c r="G2" s="169"/>
      <c r="H2" s="169"/>
      <c r="I2" s="169"/>
      <c r="J2" s="169"/>
      <c r="K2" s="169"/>
      <c r="L2" s="169"/>
      <c r="M2" s="169"/>
      <c r="N2" s="169"/>
      <c r="O2" s="169"/>
      <c r="P2" s="169"/>
      <c r="Q2" s="169"/>
      <c r="R2" s="169"/>
      <c r="S2" s="169"/>
      <c r="T2" s="169"/>
      <c r="U2" s="169"/>
      <c r="V2" s="169"/>
      <c r="W2" s="169"/>
      <c r="X2" s="169"/>
      <c r="Y2" s="169"/>
      <c r="Z2" s="169"/>
      <c r="AA2" s="169"/>
      <c r="AB2" s="169"/>
      <c r="AC2" s="169"/>
      <c r="AD2" s="169"/>
      <c r="AE2" s="169"/>
      <c r="AF2" s="169"/>
      <c r="AG2" s="169"/>
      <c r="AH2" s="169"/>
      <c r="AI2" s="169"/>
      <c r="AJ2" s="169"/>
      <c r="AK2" s="169"/>
      <c r="AL2" s="169"/>
      <c r="AM2" s="169"/>
      <c r="AN2" s="169"/>
      <c r="AO2" s="169"/>
      <c r="AP2" s="169"/>
      <c r="AQ2" s="169"/>
      <c r="AR2" s="169"/>
      <c r="AS2" s="169"/>
      <c r="AT2" s="169"/>
      <c r="AU2" s="169"/>
      <c r="AV2" s="169"/>
      <c r="AW2" s="169"/>
      <c r="AX2" s="169"/>
      <c r="AY2" s="169"/>
      <c r="AZ2" s="169"/>
      <c r="BA2" s="169"/>
      <c r="BB2" s="169"/>
      <c r="BC2" s="169"/>
      <c r="BD2" s="169"/>
      <c r="BE2" s="169"/>
      <c r="BF2" s="169"/>
      <c r="BG2" s="169"/>
      <c r="BH2" s="169"/>
      <c r="BI2" s="169"/>
      <c r="BJ2" s="169"/>
      <c r="BK2" s="169"/>
      <c r="BL2" s="169"/>
      <c r="BM2" s="169"/>
      <c r="BN2" s="169"/>
      <c r="BO2" s="169"/>
      <c r="BP2" s="169"/>
      <c r="BQ2" s="169"/>
      <c r="BR2" s="169"/>
      <c r="BS2" s="169"/>
      <c r="BT2" s="169"/>
      <c r="BU2" s="169"/>
      <c r="BV2" s="169"/>
      <c r="BW2" s="169"/>
      <c r="BX2" s="169"/>
      <c r="BY2" s="169"/>
      <c r="BZ2" s="169"/>
      <c r="CA2" s="169"/>
      <c r="CB2" s="169"/>
      <c r="CC2" s="169"/>
      <c r="CD2" s="169"/>
      <c r="CE2" s="169"/>
      <c r="CF2" s="169"/>
      <c r="CG2" s="169"/>
      <c r="CH2" s="169"/>
      <c r="CI2" s="169"/>
      <c r="CJ2" s="169"/>
      <c r="CK2" s="169"/>
      <c r="CL2" s="169"/>
      <c r="CM2" s="169"/>
      <c r="CN2" s="169"/>
      <c r="CO2" s="169"/>
      <c r="CP2" s="169"/>
      <c r="CQ2" s="169"/>
      <c r="CR2" s="169"/>
      <c r="CS2" s="169"/>
      <c r="CT2" s="169"/>
      <c r="CU2" s="169"/>
      <c r="CV2" s="169"/>
      <c r="CW2" s="169"/>
      <c r="CX2" s="169"/>
      <c r="CY2" s="169"/>
      <c r="CZ2" s="169"/>
      <c r="DA2" s="169"/>
      <c r="DB2" s="169"/>
      <c r="DC2" s="169"/>
      <c r="DD2" s="169"/>
      <c r="DE2" s="169"/>
      <c r="DF2" s="169"/>
      <c r="DG2" s="169"/>
      <c r="DH2" s="169"/>
      <c r="DI2" s="169"/>
      <c r="DJ2" s="169"/>
      <c r="DK2" s="169"/>
      <c r="DL2" s="169"/>
      <c r="DM2" s="169"/>
      <c r="DN2" s="169"/>
      <c r="DO2" s="169"/>
      <c r="DP2" s="169"/>
      <c r="DQ2" s="169"/>
      <c r="DR2" s="169"/>
      <c r="DS2" s="169"/>
      <c r="DT2" s="169"/>
      <c r="DU2" s="169"/>
      <c r="DV2" s="169"/>
      <c r="DW2" s="169"/>
      <c r="DX2" s="169"/>
      <c r="DY2" s="169"/>
      <c r="DZ2" s="169"/>
      <c r="EA2" s="169"/>
      <c r="EB2" s="169"/>
      <c r="EC2" s="169"/>
      <c r="ED2" s="169"/>
      <c r="EE2" s="169"/>
      <c r="EF2" s="169"/>
      <c r="EG2" s="169"/>
      <c r="EH2" s="169"/>
      <c r="EI2" s="169"/>
      <c r="EJ2" s="169"/>
      <c r="EK2" s="169"/>
      <c r="EL2" s="169"/>
      <c r="EM2" s="169"/>
      <c r="EN2" s="169"/>
      <c r="EO2" s="169"/>
      <c r="EP2" s="169"/>
      <c r="EQ2" s="169"/>
      <c r="ER2" s="169"/>
      <c r="ES2" s="169"/>
      <c r="ET2" s="169"/>
      <c r="EU2" s="169"/>
      <c r="EV2" s="169"/>
      <c r="EW2" s="169"/>
      <c r="EX2" s="169"/>
      <c r="EY2" s="169"/>
      <c r="EZ2" s="169"/>
      <c r="FA2" s="169"/>
      <c r="FB2" s="169"/>
      <c r="FC2" s="169"/>
      <c r="FD2" s="169"/>
      <c r="FE2" s="169"/>
      <c r="FF2" s="169"/>
      <c r="FG2" s="169"/>
      <c r="FH2" s="169"/>
      <c r="FI2" s="169"/>
      <c r="FJ2" s="169"/>
      <c r="FK2" s="169"/>
      <c r="FL2" s="169"/>
      <c r="FM2" s="169"/>
      <c r="FN2" s="169"/>
      <c r="FO2" s="169"/>
      <c r="FP2" s="169"/>
      <c r="FQ2" s="169"/>
      <c r="FR2" s="169"/>
      <c r="FS2" s="169"/>
      <c r="FT2" s="169"/>
      <c r="FU2" s="169"/>
      <c r="FV2" s="169"/>
      <c r="FW2" s="169"/>
      <c r="FX2" s="169"/>
      <c r="FY2" s="169"/>
      <c r="FZ2" s="169"/>
      <c r="GA2" s="169"/>
      <c r="GB2" s="169"/>
      <c r="GC2" s="169"/>
      <c r="GD2" s="169"/>
      <c r="GE2" s="169"/>
      <c r="GF2" s="169"/>
      <c r="GG2" s="169"/>
      <c r="GH2" s="169"/>
      <c r="GI2" s="169"/>
      <c r="GJ2" s="169"/>
      <c r="GK2" s="169"/>
      <c r="GL2" s="169"/>
      <c r="GM2" s="169"/>
      <c r="GN2" s="169"/>
      <c r="GO2" s="169"/>
      <c r="GP2" s="169"/>
      <c r="GQ2" s="169"/>
      <c r="GR2" s="169"/>
      <c r="GS2" s="169"/>
      <c r="GT2" s="169"/>
      <c r="GU2" s="169"/>
      <c r="GV2" s="169"/>
      <c r="GW2" s="169"/>
      <c r="GX2" s="169"/>
      <c r="GY2" s="169"/>
      <c r="GZ2" s="169"/>
      <c r="HA2" s="169"/>
      <c r="HB2" s="169"/>
      <c r="HC2" s="169"/>
      <c r="HD2" s="169"/>
      <c r="HE2" s="169"/>
      <c r="HF2" s="169"/>
      <c r="HG2" s="169"/>
      <c r="HH2" s="169"/>
      <c r="HI2" s="169"/>
      <c r="HJ2" s="169"/>
      <c r="HK2" s="169"/>
      <c r="HL2" s="169"/>
      <c r="HM2" s="169"/>
      <c r="HN2" s="169"/>
      <c r="HO2" s="169"/>
      <c r="HP2" s="169"/>
      <c r="HQ2" s="169"/>
      <c r="HR2" s="169"/>
      <c r="HS2" s="169"/>
      <c r="HT2" s="169"/>
      <c r="HU2" s="169"/>
      <c r="HV2" s="169"/>
      <c r="HW2" s="169"/>
      <c r="HX2" s="169"/>
      <c r="HY2" s="169"/>
      <c r="HZ2" s="169"/>
      <c r="IA2" s="169"/>
      <c r="IB2" s="169"/>
      <c r="IC2" s="169"/>
      <c r="ID2" s="169"/>
      <c r="IE2" s="169"/>
      <c r="IF2" s="169"/>
      <c r="IG2" s="169"/>
      <c r="IH2" s="169"/>
      <c r="II2" s="169"/>
      <c r="IJ2" s="169"/>
      <c r="IK2" s="169"/>
      <c r="IL2" s="169"/>
      <c r="IM2" s="169"/>
      <c r="IN2" s="169"/>
      <c r="IO2" s="169"/>
      <c r="IP2" s="169"/>
      <c r="IQ2" s="169"/>
      <c r="IR2" s="169"/>
      <c r="IS2" s="169"/>
      <c r="IT2" s="169"/>
      <c r="IU2" s="169"/>
      <c r="IV2" s="169"/>
    </row>
    <row r="3" spans="1:256" s="169" customFormat="1" x14ac:dyDescent="0.25">
      <c r="A3" s="2021"/>
      <c r="B3" s="2021"/>
      <c r="C3" s="2021"/>
      <c r="D3" s="2021"/>
      <c r="E3" s="492"/>
    </row>
    <row r="4" spans="1:256" ht="19.5" customHeight="1" x14ac:dyDescent="0.3">
      <c r="A4" s="2279" t="s">
        <v>49</v>
      </c>
      <c r="B4" s="2279"/>
      <c r="C4" s="2279"/>
      <c r="D4" s="2279"/>
      <c r="E4" s="2279"/>
      <c r="F4" s="2279"/>
      <c r="G4" s="2279"/>
      <c r="H4" s="2279"/>
      <c r="I4" s="2279"/>
      <c r="J4" s="2279"/>
      <c r="K4" s="2279"/>
      <c r="L4" s="2279"/>
      <c r="M4" s="2279"/>
      <c r="N4" s="169"/>
      <c r="O4" s="169"/>
      <c r="P4" s="169"/>
      <c r="Q4" s="169"/>
      <c r="R4" s="169"/>
      <c r="S4" s="169"/>
      <c r="T4" s="169"/>
      <c r="U4" s="169"/>
      <c r="V4" s="169"/>
      <c r="W4" s="169"/>
      <c r="X4" s="169"/>
      <c r="Y4" s="169"/>
      <c r="Z4" s="169"/>
      <c r="AA4" s="169"/>
      <c r="AB4" s="169"/>
      <c r="AC4" s="169"/>
      <c r="AD4" s="169"/>
      <c r="AE4" s="169"/>
      <c r="AF4" s="169"/>
      <c r="AG4" s="169"/>
      <c r="AH4" s="169"/>
      <c r="AI4" s="169"/>
      <c r="AJ4" s="169"/>
      <c r="AK4" s="169"/>
      <c r="AL4" s="169"/>
      <c r="AM4" s="169"/>
      <c r="AN4" s="169"/>
      <c r="AO4" s="169"/>
      <c r="AP4" s="169"/>
      <c r="AQ4" s="169"/>
      <c r="AR4" s="169"/>
      <c r="AS4" s="169"/>
      <c r="AT4" s="169"/>
      <c r="AU4" s="169"/>
      <c r="AV4" s="169"/>
      <c r="AW4" s="169"/>
      <c r="AX4" s="169"/>
      <c r="AY4" s="169"/>
      <c r="AZ4" s="169"/>
      <c r="BA4" s="169"/>
      <c r="BB4" s="169"/>
      <c r="BC4" s="169"/>
      <c r="BD4" s="169"/>
      <c r="BE4" s="169"/>
      <c r="BF4" s="169"/>
      <c r="BG4" s="169"/>
      <c r="BH4" s="169"/>
      <c r="BI4" s="169"/>
      <c r="BJ4" s="169"/>
      <c r="BK4" s="169"/>
      <c r="BL4" s="169"/>
      <c r="BM4" s="169"/>
      <c r="BN4" s="169"/>
      <c r="BO4" s="169"/>
      <c r="BP4" s="169"/>
      <c r="BQ4" s="169"/>
      <c r="BR4" s="169"/>
      <c r="BS4" s="169"/>
      <c r="BT4" s="169"/>
      <c r="BU4" s="169"/>
      <c r="BV4" s="169"/>
      <c r="BW4" s="169"/>
      <c r="BX4" s="169"/>
      <c r="BY4" s="169"/>
      <c r="BZ4" s="169"/>
      <c r="CA4" s="169"/>
      <c r="CB4" s="169"/>
      <c r="CC4" s="169"/>
      <c r="CD4" s="169"/>
      <c r="CE4" s="169"/>
      <c r="CF4" s="169"/>
      <c r="CG4" s="169"/>
      <c r="CH4" s="169"/>
      <c r="CI4" s="169"/>
      <c r="CJ4" s="169"/>
      <c r="CK4" s="169"/>
      <c r="CL4" s="169"/>
      <c r="CM4" s="169"/>
      <c r="CN4" s="169"/>
      <c r="CO4" s="169"/>
      <c r="CP4" s="169"/>
      <c r="CQ4" s="169"/>
      <c r="CR4" s="169"/>
      <c r="CS4" s="169"/>
      <c r="CT4" s="169"/>
      <c r="CU4" s="169"/>
      <c r="CV4" s="169"/>
      <c r="CW4" s="169"/>
      <c r="CX4" s="169"/>
      <c r="CY4" s="169"/>
      <c r="CZ4" s="169"/>
      <c r="DA4" s="169"/>
      <c r="DB4" s="169"/>
      <c r="DC4" s="169"/>
      <c r="DD4" s="169"/>
      <c r="DE4" s="169"/>
      <c r="DF4" s="169"/>
      <c r="DG4" s="169"/>
      <c r="DH4" s="169"/>
      <c r="DI4" s="169"/>
      <c r="DJ4" s="169"/>
      <c r="DK4" s="169"/>
      <c r="DL4" s="169"/>
      <c r="DM4" s="169"/>
      <c r="DN4" s="169"/>
      <c r="DO4" s="169"/>
      <c r="DP4" s="169"/>
      <c r="DQ4" s="169"/>
      <c r="DR4" s="169"/>
      <c r="DS4" s="169"/>
      <c r="DT4" s="169"/>
      <c r="DU4" s="169"/>
      <c r="DV4" s="169"/>
      <c r="DW4" s="169"/>
      <c r="DX4" s="169"/>
      <c r="DY4" s="169"/>
      <c r="DZ4" s="169"/>
      <c r="EA4" s="169"/>
      <c r="EB4" s="169"/>
      <c r="EC4" s="169"/>
      <c r="ED4" s="169"/>
      <c r="EE4" s="169"/>
      <c r="EF4" s="169"/>
      <c r="EG4" s="169"/>
      <c r="EH4" s="169"/>
      <c r="EI4" s="169"/>
      <c r="EJ4" s="169"/>
      <c r="EK4" s="169"/>
      <c r="EL4" s="169"/>
      <c r="EM4" s="169"/>
      <c r="EN4" s="169"/>
      <c r="EO4" s="169"/>
      <c r="EP4" s="169"/>
      <c r="EQ4" s="169"/>
      <c r="ER4" s="169"/>
      <c r="ES4" s="169"/>
      <c r="ET4" s="169"/>
      <c r="EU4" s="169"/>
      <c r="EV4" s="169"/>
      <c r="EW4" s="169"/>
      <c r="EX4" s="169"/>
      <c r="EY4" s="169"/>
      <c r="EZ4" s="169"/>
      <c r="FA4" s="169"/>
      <c r="FB4" s="169"/>
      <c r="FC4" s="169"/>
      <c r="FD4" s="169"/>
      <c r="FE4" s="169"/>
      <c r="FF4" s="169"/>
      <c r="FG4" s="169"/>
      <c r="FH4" s="169"/>
      <c r="FI4" s="169"/>
      <c r="FJ4" s="169"/>
      <c r="FK4" s="169"/>
      <c r="FL4" s="169"/>
      <c r="FM4" s="169"/>
      <c r="FN4" s="169"/>
      <c r="FO4" s="169"/>
      <c r="FP4" s="169"/>
      <c r="FQ4" s="169"/>
      <c r="FR4" s="169"/>
      <c r="FS4" s="169"/>
      <c r="FT4" s="169"/>
      <c r="FU4" s="169"/>
      <c r="FV4" s="169"/>
      <c r="FW4" s="169"/>
      <c r="FX4" s="169"/>
      <c r="FY4" s="169"/>
      <c r="FZ4" s="169"/>
      <c r="GA4" s="169"/>
      <c r="GB4" s="169"/>
      <c r="GC4" s="169"/>
      <c r="GD4" s="169"/>
      <c r="GE4" s="169"/>
      <c r="GF4" s="169"/>
      <c r="GG4" s="169"/>
      <c r="GH4" s="169"/>
      <c r="GI4" s="169"/>
      <c r="GJ4" s="169"/>
      <c r="GK4" s="169"/>
      <c r="GL4" s="169"/>
      <c r="GM4" s="169"/>
      <c r="GN4" s="169"/>
      <c r="GO4" s="169"/>
      <c r="GP4" s="169"/>
      <c r="GQ4" s="169"/>
      <c r="GR4" s="169"/>
      <c r="GS4" s="169"/>
      <c r="GT4" s="169"/>
      <c r="GU4" s="169"/>
      <c r="GV4" s="169"/>
      <c r="GW4" s="169"/>
      <c r="GX4" s="169"/>
      <c r="GY4" s="169"/>
      <c r="GZ4" s="169"/>
      <c r="HA4" s="169"/>
      <c r="HB4" s="169"/>
      <c r="HC4" s="169"/>
      <c r="HD4" s="169"/>
      <c r="HE4" s="169"/>
      <c r="HF4" s="169"/>
      <c r="HG4" s="169"/>
      <c r="HH4" s="169"/>
      <c r="HI4" s="169"/>
      <c r="HJ4" s="169"/>
      <c r="HK4" s="169"/>
      <c r="HL4" s="169"/>
      <c r="HM4" s="169"/>
      <c r="HN4" s="169"/>
      <c r="HO4" s="169"/>
      <c r="HP4" s="169"/>
      <c r="HQ4" s="169"/>
      <c r="HR4" s="169"/>
      <c r="HS4" s="169"/>
      <c r="HT4" s="169"/>
      <c r="HU4" s="169"/>
      <c r="HV4" s="169"/>
      <c r="HW4" s="169"/>
      <c r="HX4" s="169"/>
      <c r="HY4" s="169"/>
      <c r="HZ4" s="169"/>
      <c r="IA4" s="169"/>
      <c r="IB4" s="169"/>
      <c r="IC4" s="169"/>
      <c r="ID4" s="169"/>
      <c r="IE4" s="169"/>
      <c r="IF4" s="169"/>
      <c r="IG4" s="169"/>
      <c r="IH4" s="169"/>
      <c r="II4" s="169"/>
      <c r="IJ4" s="169"/>
      <c r="IK4" s="169"/>
      <c r="IL4" s="169"/>
      <c r="IM4" s="169"/>
      <c r="IN4" s="169"/>
      <c r="IO4" s="169"/>
      <c r="IP4" s="169"/>
      <c r="IQ4" s="169"/>
      <c r="IR4" s="169"/>
      <c r="IS4" s="169"/>
      <c r="IT4" s="169"/>
      <c r="IU4" s="169"/>
      <c r="IV4" s="169"/>
    </row>
    <row r="5" spans="1:256" ht="12.75" customHeight="1" x14ac:dyDescent="0.25">
      <c r="A5" s="2298" t="s">
        <v>39</v>
      </c>
      <c r="B5" s="2298"/>
      <c r="C5" s="2298"/>
      <c r="D5" s="2298"/>
      <c r="E5" s="2298"/>
      <c r="F5" s="2298"/>
      <c r="G5" s="2298"/>
      <c r="H5" s="2298"/>
      <c r="I5" s="2298"/>
      <c r="J5" s="2298"/>
      <c r="K5" s="2298"/>
      <c r="L5" s="2298"/>
      <c r="M5" s="2298"/>
      <c r="N5" s="169"/>
      <c r="O5" s="169"/>
      <c r="P5" s="169"/>
      <c r="Q5" s="169"/>
      <c r="R5" s="169"/>
      <c r="S5" s="169"/>
      <c r="T5" s="169"/>
      <c r="U5" s="169"/>
      <c r="V5" s="169"/>
      <c r="W5" s="169"/>
      <c r="X5" s="169"/>
      <c r="Y5" s="169"/>
      <c r="Z5" s="169"/>
      <c r="AA5" s="169"/>
      <c r="AB5" s="169"/>
      <c r="AC5" s="169"/>
      <c r="AD5" s="169"/>
      <c r="AE5" s="169"/>
      <c r="AF5" s="169"/>
      <c r="AG5" s="169"/>
      <c r="AH5" s="169"/>
      <c r="AI5" s="169"/>
      <c r="AJ5" s="169"/>
      <c r="AK5" s="169"/>
      <c r="AL5" s="169"/>
      <c r="AM5" s="169"/>
      <c r="AN5" s="169"/>
      <c r="AO5" s="169"/>
      <c r="AP5" s="169"/>
      <c r="AQ5" s="169"/>
      <c r="AR5" s="169"/>
      <c r="AS5" s="169"/>
      <c r="AT5" s="169"/>
      <c r="AU5" s="169"/>
      <c r="AV5" s="169"/>
      <c r="AW5" s="169"/>
      <c r="AX5" s="169"/>
      <c r="AY5" s="169"/>
      <c r="AZ5" s="169"/>
      <c r="BA5" s="169"/>
      <c r="BB5" s="169"/>
      <c r="BC5" s="169"/>
      <c r="BD5" s="169"/>
      <c r="BE5" s="169"/>
      <c r="BF5" s="169"/>
      <c r="BG5" s="169"/>
      <c r="BH5" s="169"/>
      <c r="BI5" s="169"/>
      <c r="BJ5" s="169"/>
      <c r="BK5" s="169"/>
      <c r="BL5" s="169"/>
      <c r="BM5" s="169"/>
      <c r="BN5" s="169"/>
      <c r="BO5" s="169"/>
      <c r="BP5" s="169"/>
      <c r="BQ5" s="169"/>
      <c r="BR5" s="169"/>
      <c r="BS5" s="169"/>
      <c r="BT5" s="169"/>
      <c r="BU5" s="169"/>
      <c r="BV5" s="169"/>
      <c r="BW5" s="169"/>
      <c r="BX5" s="169"/>
      <c r="BY5" s="169"/>
      <c r="BZ5" s="169"/>
      <c r="CA5" s="169"/>
      <c r="CB5" s="169"/>
      <c r="CC5" s="169"/>
      <c r="CD5" s="169"/>
      <c r="CE5" s="169"/>
      <c r="CF5" s="169"/>
      <c r="CG5" s="169"/>
      <c r="CH5" s="169"/>
      <c r="CI5" s="169"/>
      <c r="CJ5" s="169"/>
      <c r="CK5" s="169"/>
      <c r="CL5" s="169"/>
      <c r="CM5" s="169"/>
      <c r="CN5" s="169"/>
      <c r="CO5" s="169"/>
      <c r="CP5" s="169"/>
      <c r="CQ5" s="169"/>
      <c r="CR5" s="169"/>
      <c r="CS5" s="169"/>
      <c r="CT5" s="169"/>
      <c r="CU5" s="169"/>
      <c r="CV5" s="169"/>
      <c r="CW5" s="169"/>
      <c r="CX5" s="169"/>
      <c r="CY5" s="169"/>
      <c r="CZ5" s="169"/>
      <c r="DA5" s="169"/>
      <c r="DB5" s="169"/>
      <c r="DC5" s="169"/>
      <c r="DD5" s="169"/>
      <c r="DE5" s="169"/>
      <c r="DF5" s="169"/>
      <c r="DG5" s="169"/>
      <c r="DH5" s="169"/>
      <c r="DI5" s="169"/>
      <c r="DJ5" s="169"/>
      <c r="DK5" s="169"/>
      <c r="DL5" s="169"/>
      <c r="DM5" s="169"/>
      <c r="DN5" s="169"/>
      <c r="DO5" s="169"/>
      <c r="DP5" s="169"/>
      <c r="DQ5" s="169"/>
      <c r="DR5" s="169"/>
      <c r="DS5" s="169"/>
      <c r="DT5" s="169"/>
      <c r="DU5" s="169"/>
      <c r="DV5" s="169"/>
      <c r="DW5" s="169"/>
      <c r="DX5" s="169"/>
      <c r="DY5" s="169"/>
      <c r="DZ5" s="169"/>
      <c r="EA5" s="169"/>
      <c r="EB5" s="169"/>
      <c r="EC5" s="169"/>
      <c r="ED5" s="169"/>
      <c r="EE5" s="169"/>
      <c r="EF5" s="169"/>
      <c r="EG5" s="169"/>
      <c r="EH5" s="169"/>
      <c r="EI5" s="169"/>
      <c r="EJ5" s="169"/>
      <c r="EK5" s="169"/>
      <c r="EL5" s="169"/>
      <c r="EM5" s="169"/>
      <c r="EN5" s="169"/>
      <c r="EO5" s="169"/>
      <c r="EP5" s="169"/>
      <c r="EQ5" s="169"/>
      <c r="ER5" s="169"/>
      <c r="ES5" s="169"/>
      <c r="ET5" s="169"/>
      <c r="EU5" s="169"/>
      <c r="EV5" s="169"/>
      <c r="EW5" s="169"/>
      <c r="EX5" s="169"/>
      <c r="EY5" s="169"/>
      <c r="EZ5" s="169"/>
      <c r="FA5" s="169"/>
      <c r="FB5" s="169"/>
      <c r="FC5" s="169"/>
      <c r="FD5" s="169"/>
      <c r="FE5" s="169"/>
      <c r="FF5" s="169"/>
      <c r="FG5" s="169"/>
      <c r="FH5" s="169"/>
      <c r="FI5" s="169"/>
      <c r="FJ5" s="169"/>
      <c r="FK5" s="169"/>
      <c r="FL5" s="169"/>
      <c r="FM5" s="169"/>
      <c r="FN5" s="169"/>
      <c r="FO5" s="169"/>
      <c r="FP5" s="169"/>
      <c r="FQ5" s="169"/>
      <c r="FR5" s="169"/>
      <c r="FS5" s="169"/>
      <c r="FT5" s="169"/>
      <c r="FU5" s="169"/>
      <c r="FV5" s="169"/>
      <c r="FW5" s="169"/>
      <c r="FX5" s="169"/>
      <c r="FY5" s="169"/>
      <c r="FZ5" s="169"/>
      <c r="GA5" s="169"/>
      <c r="GB5" s="169"/>
      <c r="GC5" s="169"/>
      <c r="GD5" s="169"/>
      <c r="GE5" s="169"/>
      <c r="GF5" s="169"/>
      <c r="GG5" s="169"/>
      <c r="GH5" s="169"/>
      <c r="GI5" s="169"/>
      <c r="GJ5" s="169"/>
      <c r="GK5" s="169"/>
      <c r="GL5" s="169"/>
      <c r="GM5" s="169"/>
      <c r="GN5" s="169"/>
      <c r="GO5" s="169"/>
      <c r="GP5" s="169"/>
      <c r="GQ5" s="169"/>
      <c r="GR5" s="169"/>
      <c r="GS5" s="169"/>
      <c r="GT5" s="169"/>
      <c r="GU5" s="169"/>
      <c r="GV5" s="169"/>
      <c r="GW5" s="169"/>
      <c r="GX5" s="169"/>
      <c r="GY5" s="169"/>
      <c r="GZ5" s="169"/>
      <c r="HA5" s="169"/>
      <c r="HB5" s="169"/>
      <c r="HC5" s="169"/>
      <c r="HD5" s="169"/>
      <c r="HE5" s="169"/>
      <c r="HF5" s="169"/>
      <c r="HG5" s="169"/>
      <c r="HH5" s="169"/>
      <c r="HI5" s="169"/>
      <c r="HJ5" s="169"/>
      <c r="HK5" s="169"/>
      <c r="HL5" s="169"/>
      <c r="HM5" s="169"/>
      <c r="HN5" s="169"/>
      <c r="HO5" s="169"/>
      <c r="HP5" s="169"/>
      <c r="HQ5" s="169"/>
      <c r="HR5" s="169"/>
      <c r="HS5" s="169"/>
      <c r="HT5" s="169"/>
      <c r="HU5" s="169"/>
      <c r="HV5" s="169"/>
      <c r="HW5" s="169"/>
      <c r="HX5" s="169"/>
      <c r="HY5" s="169"/>
      <c r="HZ5" s="169"/>
      <c r="IA5" s="169"/>
      <c r="IB5" s="169"/>
      <c r="IC5" s="169"/>
      <c r="ID5" s="169"/>
      <c r="IE5" s="169"/>
      <c r="IF5" s="169"/>
      <c r="IG5" s="169"/>
      <c r="IH5" s="169"/>
      <c r="II5" s="169"/>
      <c r="IJ5" s="169"/>
      <c r="IK5" s="169"/>
      <c r="IL5" s="169"/>
      <c r="IM5" s="169"/>
      <c r="IN5" s="169"/>
      <c r="IO5" s="169"/>
      <c r="IP5" s="169"/>
      <c r="IQ5" s="169"/>
      <c r="IR5" s="169"/>
      <c r="IS5" s="169"/>
      <c r="IT5" s="169"/>
      <c r="IU5" s="169"/>
      <c r="IV5" s="169"/>
    </row>
    <row r="6" spans="1:256" ht="12.75" customHeight="1" x14ac:dyDescent="0.25">
      <c r="A6" s="2298"/>
      <c r="B6" s="2298"/>
      <c r="C6" s="2298"/>
      <c r="D6" s="2298"/>
      <c r="E6" s="2298"/>
      <c r="F6" s="2298"/>
      <c r="G6" s="2298"/>
      <c r="H6" s="2298"/>
      <c r="I6" s="2298"/>
      <c r="J6" s="2298"/>
      <c r="K6" s="2298"/>
      <c r="L6" s="2298"/>
      <c r="M6" s="2298"/>
      <c r="N6" s="169"/>
      <c r="O6" s="169"/>
      <c r="P6" s="169"/>
      <c r="Q6" s="169"/>
      <c r="R6" s="169"/>
      <c r="S6" s="169"/>
      <c r="T6" s="169"/>
      <c r="U6" s="169"/>
      <c r="V6" s="169"/>
      <c r="W6" s="169"/>
      <c r="X6" s="169"/>
      <c r="Y6" s="169"/>
      <c r="Z6" s="169"/>
      <c r="AA6" s="169"/>
      <c r="AB6" s="169"/>
      <c r="AC6" s="169"/>
      <c r="AD6" s="169"/>
      <c r="AE6" s="169"/>
      <c r="AF6" s="169"/>
      <c r="AG6" s="169"/>
      <c r="AH6" s="169"/>
      <c r="AI6" s="169"/>
      <c r="AJ6" s="169"/>
      <c r="AK6" s="169"/>
      <c r="AL6" s="169"/>
      <c r="AM6" s="169"/>
      <c r="AN6" s="169"/>
      <c r="AO6" s="169"/>
      <c r="AP6" s="169"/>
      <c r="AQ6" s="169"/>
      <c r="AR6" s="169"/>
      <c r="AS6" s="169"/>
      <c r="AT6" s="169"/>
      <c r="AU6" s="169"/>
      <c r="AV6" s="169"/>
      <c r="AW6" s="169"/>
      <c r="AX6" s="169"/>
      <c r="AY6" s="169"/>
      <c r="AZ6" s="169"/>
      <c r="BA6" s="169"/>
      <c r="BB6" s="169"/>
      <c r="BC6" s="169"/>
      <c r="BD6" s="169"/>
      <c r="BE6" s="169"/>
      <c r="BF6" s="169"/>
      <c r="BG6" s="169"/>
      <c r="BH6" s="169"/>
      <c r="BI6" s="169"/>
      <c r="BJ6" s="169"/>
      <c r="BK6" s="169"/>
      <c r="BL6" s="169"/>
      <c r="BM6" s="169"/>
      <c r="BN6" s="169"/>
      <c r="BO6" s="169"/>
      <c r="BP6" s="169"/>
      <c r="BQ6" s="169"/>
      <c r="BR6" s="169"/>
      <c r="BS6" s="169"/>
      <c r="BT6" s="169"/>
      <c r="BU6" s="169"/>
      <c r="BV6" s="169"/>
      <c r="BW6" s="169"/>
      <c r="BX6" s="169"/>
      <c r="BY6" s="169"/>
      <c r="BZ6" s="169"/>
      <c r="CA6" s="169"/>
      <c r="CB6" s="169"/>
      <c r="CC6" s="169"/>
      <c r="CD6" s="169"/>
      <c r="CE6" s="169"/>
      <c r="CF6" s="169"/>
      <c r="CG6" s="169"/>
      <c r="CH6" s="169"/>
      <c r="CI6" s="169"/>
      <c r="CJ6" s="169"/>
      <c r="CK6" s="169"/>
      <c r="CL6" s="169"/>
      <c r="CM6" s="169"/>
      <c r="CN6" s="169"/>
      <c r="CO6" s="169"/>
      <c r="CP6" s="169"/>
      <c r="CQ6" s="169"/>
      <c r="CR6" s="169"/>
      <c r="CS6" s="169"/>
      <c r="CT6" s="169"/>
      <c r="CU6" s="169"/>
      <c r="CV6" s="169"/>
      <c r="CW6" s="169"/>
      <c r="CX6" s="169"/>
      <c r="CY6" s="169"/>
      <c r="CZ6" s="169"/>
      <c r="DA6" s="169"/>
      <c r="DB6" s="169"/>
      <c r="DC6" s="169"/>
      <c r="DD6" s="169"/>
      <c r="DE6" s="169"/>
      <c r="DF6" s="169"/>
      <c r="DG6" s="169"/>
      <c r="DH6" s="169"/>
      <c r="DI6" s="169"/>
      <c r="DJ6" s="169"/>
      <c r="DK6" s="169"/>
      <c r="DL6" s="169"/>
      <c r="DM6" s="169"/>
      <c r="DN6" s="169"/>
      <c r="DO6" s="169"/>
      <c r="DP6" s="169"/>
      <c r="DQ6" s="169"/>
      <c r="DR6" s="169"/>
      <c r="DS6" s="169"/>
      <c r="DT6" s="169"/>
      <c r="DU6" s="169"/>
      <c r="DV6" s="169"/>
      <c r="DW6" s="169"/>
      <c r="DX6" s="169"/>
      <c r="DY6" s="169"/>
      <c r="DZ6" s="169"/>
      <c r="EA6" s="169"/>
      <c r="EB6" s="169"/>
      <c r="EC6" s="169"/>
      <c r="ED6" s="169"/>
      <c r="EE6" s="169"/>
      <c r="EF6" s="169"/>
      <c r="EG6" s="169"/>
      <c r="EH6" s="169"/>
      <c r="EI6" s="169"/>
      <c r="EJ6" s="169"/>
      <c r="EK6" s="169"/>
      <c r="EL6" s="169"/>
      <c r="EM6" s="169"/>
      <c r="EN6" s="169"/>
      <c r="EO6" s="169"/>
      <c r="EP6" s="169"/>
      <c r="EQ6" s="169"/>
      <c r="ER6" s="169"/>
      <c r="ES6" s="169"/>
      <c r="ET6" s="169"/>
      <c r="EU6" s="169"/>
      <c r="EV6" s="169"/>
      <c r="EW6" s="169"/>
      <c r="EX6" s="169"/>
      <c r="EY6" s="169"/>
      <c r="EZ6" s="169"/>
      <c r="FA6" s="169"/>
      <c r="FB6" s="169"/>
      <c r="FC6" s="169"/>
      <c r="FD6" s="169"/>
      <c r="FE6" s="169"/>
      <c r="FF6" s="169"/>
      <c r="FG6" s="169"/>
      <c r="FH6" s="169"/>
      <c r="FI6" s="169"/>
      <c r="FJ6" s="169"/>
      <c r="FK6" s="169"/>
      <c r="FL6" s="169"/>
      <c r="FM6" s="169"/>
      <c r="FN6" s="169"/>
      <c r="FO6" s="169"/>
      <c r="FP6" s="169"/>
      <c r="FQ6" s="169"/>
      <c r="FR6" s="169"/>
      <c r="FS6" s="169"/>
      <c r="FT6" s="169"/>
      <c r="FU6" s="169"/>
      <c r="FV6" s="169"/>
      <c r="FW6" s="169"/>
      <c r="FX6" s="169"/>
      <c r="FY6" s="169"/>
      <c r="FZ6" s="169"/>
      <c r="GA6" s="169"/>
      <c r="GB6" s="169"/>
      <c r="GC6" s="169"/>
      <c r="GD6" s="169"/>
      <c r="GE6" s="169"/>
      <c r="GF6" s="169"/>
      <c r="GG6" s="169"/>
      <c r="GH6" s="169"/>
      <c r="GI6" s="169"/>
      <c r="GJ6" s="169"/>
      <c r="GK6" s="169"/>
      <c r="GL6" s="169"/>
      <c r="GM6" s="169"/>
      <c r="GN6" s="169"/>
      <c r="GO6" s="169"/>
      <c r="GP6" s="169"/>
      <c r="GQ6" s="169"/>
      <c r="GR6" s="169"/>
      <c r="GS6" s="169"/>
      <c r="GT6" s="169"/>
      <c r="GU6" s="169"/>
      <c r="GV6" s="169"/>
      <c r="GW6" s="169"/>
      <c r="GX6" s="169"/>
      <c r="GY6" s="169"/>
      <c r="GZ6" s="169"/>
      <c r="HA6" s="169"/>
      <c r="HB6" s="169"/>
      <c r="HC6" s="169"/>
      <c r="HD6" s="169"/>
      <c r="HE6" s="169"/>
      <c r="HF6" s="169"/>
      <c r="HG6" s="169"/>
      <c r="HH6" s="169"/>
      <c r="HI6" s="169"/>
      <c r="HJ6" s="169"/>
      <c r="HK6" s="169"/>
      <c r="HL6" s="169"/>
      <c r="HM6" s="169"/>
      <c r="HN6" s="169"/>
      <c r="HO6" s="169"/>
      <c r="HP6" s="169"/>
      <c r="HQ6" s="169"/>
      <c r="HR6" s="169"/>
      <c r="HS6" s="169"/>
      <c r="HT6" s="169"/>
      <c r="HU6" s="169"/>
      <c r="HV6" s="169"/>
      <c r="HW6" s="169"/>
      <c r="HX6" s="169"/>
      <c r="HY6" s="169"/>
      <c r="HZ6" s="169"/>
      <c r="IA6" s="169"/>
      <c r="IB6" s="169"/>
      <c r="IC6" s="169"/>
      <c r="ID6" s="169"/>
      <c r="IE6" s="169"/>
      <c r="IF6" s="169"/>
      <c r="IG6" s="169"/>
      <c r="IH6" s="169"/>
      <c r="II6" s="169"/>
      <c r="IJ6" s="169"/>
      <c r="IK6" s="169"/>
      <c r="IL6" s="169"/>
      <c r="IM6" s="169"/>
      <c r="IN6" s="169"/>
      <c r="IO6" s="169"/>
      <c r="IP6" s="169"/>
      <c r="IQ6" s="169"/>
      <c r="IR6" s="169"/>
      <c r="IS6" s="169"/>
      <c r="IT6" s="169"/>
      <c r="IU6" s="169"/>
      <c r="IV6" s="169"/>
    </row>
    <row r="7" spans="1:256" x14ac:dyDescent="0.25">
      <c r="A7" s="172" t="s">
        <v>1481</v>
      </c>
      <c r="B7" s="170"/>
      <c r="C7" s="170"/>
      <c r="D7" s="618" t="s">
        <v>7</v>
      </c>
      <c r="E7" s="625" t="str">
        <f>CARAT_!$F$47</f>
        <v>ESPECIFICO Nº SP-2022-012</v>
      </c>
      <c r="F7" s="173"/>
      <c r="G7" s="173"/>
      <c r="H7" s="173"/>
      <c r="I7" s="173"/>
      <c r="J7" s="479"/>
      <c r="K7" s="173"/>
      <c r="L7" s="480"/>
      <c r="M7" s="480"/>
      <c r="N7" s="169"/>
      <c r="O7" s="169"/>
      <c r="P7" s="169"/>
      <c r="Q7" s="169"/>
      <c r="R7" s="169"/>
      <c r="S7" s="169"/>
      <c r="T7" s="169"/>
      <c r="U7" s="169"/>
      <c r="V7" s="169"/>
      <c r="W7" s="169"/>
      <c r="X7" s="169"/>
      <c r="Y7" s="169"/>
      <c r="Z7" s="169"/>
      <c r="AA7" s="169"/>
      <c r="AB7" s="169"/>
      <c r="AC7" s="169"/>
      <c r="AD7" s="169"/>
      <c r="AE7" s="169"/>
      <c r="AF7" s="169"/>
      <c r="AG7" s="169"/>
      <c r="AH7" s="169"/>
      <c r="AI7" s="169"/>
      <c r="AJ7" s="169"/>
      <c r="AK7" s="169"/>
      <c r="AL7" s="169"/>
      <c r="AM7" s="169"/>
      <c r="AN7" s="169"/>
      <c r="AO7" s="169"/>
      <c r="AP7" s="169"/>
      <c r="AQ7" s="169"/>
      <c r="AR7" s="169"/>
      <c r="AS7" s="169"/>
      <c r="AT7" s="169"/>
      <c r="AU7" s="169"/>
      <c r="AV7" s="169"/>
      <c r="AW7" s="169"/>
      <c r="AX7" s="169"/>
      <c r="AY7" s="169"/>
      <c r="AZ7" s="169"/>
      <c r="BA7" s="169"/>
      <c r="BB7" s="169"/>
      <c r="BC7" s="169"/>
      <c r="BD7" s="169"/>
      <c r="BE7" s="169"/>
      <c r="BF7" s="169"/>
      <c r="BG7" s="169"/>
      <c r="BH7" s="169"/>
      <c r="BI7" s="169"/>
      <c r="BJ7" s="169"/>
      <c r="BK7" s="169"/>
      <c r="BL7" s="169"/>
      <c r="BM7" s="169"/>
      <c r="BN7" s="169"/>
      <c r="BO7" s="169"/>
      <c r="BP7" s="169"/>
      <c r="BQ7" s="169"/>
      <c r="BR7" s="169"/>
      <c r="BS7" s="169"/>
      <c r="BT7" s="169"/>
      <c r="BU7" s="169"/>
      <c r="BV7" s="169"/>
      <c r="BW7" s="169"/>
      <c r="BX7" s="169"/>
      <c r="BY7" s="169"/>
      <c r="BZ7" s="169"/>
      <c r="CA7" s="169"/>
      <c r="CB7" s="169"/>
      <c r="CC7" s="169"/>
      <c r="CD7" s="169"/>
      <c r="CE7" s="169"/>
      <c r="CF7" s="169"/>
      <c r="CG7" s="169"/>
      <c r="CH7" s="169"/>
      <c r="CI7" s="169"/>
      <c r="CJ7" s="169"/>
      <c r="CK7" s="169"/>
      <c r="CL7" s="169"/>
      <c r="CM7" s="169"/>
      <c r="CN7" s="169"/>
      <c r="CO7" s="169"/>
      <c r="CP7" s="169"/>
      <c r="CQ7" s="169"/>
      <c r="CR7" s="169"/>
      <c r="CS7" s="169"/>
      <c r="CT7" s="169"/>
      <c r="CU7" s="169"/>
      <c r="CV7" s="169"/>
      <c r="CW7" s="169"/>
      <c r="CX7" s="169"/>
      <c r="CY7" s="169"/>
      <c r="CZ7" s="169"/>
      <c r="DA7" s="169"/>
      <c r="DB7" s="169"/>
      <c r="DC7" s="169"/>
      <c r="DD7" s="169"/>
      <c r="DE7" s="169"/>
      <c r="DF7" s="169"/>
      <c r="DG7" s="169"/>
      <c r="DH7" s="169"/>
      <c r="DI7" s="169"/>
      <c r="DJ7" s="169"/>
      <c r="DK7" s="169"/>
      <c r="DL7" s="169"/>
      <c r="DM7" s="169"/>
      <c r="DN7" s="169"/>
      <c r="DO7" s="169"/>
      <c r="DP7" s="169"/>
      <c r="DQ7" s="169"/>
      <c r="DR7" s="169"/>
      <c r="DS7" s="169"/>
      <c r="DT7" s="169"/>
      <c r="DU7" s="169"/>
      <c r="DV7" s="169"/>
      <c r="DW7" s="169"/>
      <c r="DX7" s="169"/>
      <c r="DY7" s="169"/>
      <c r="DZ7" s="169"/>
      <c r="EA7" s="169"/>
      <c r="EB7" s="169"/>
      <c r="EC7" s="169"/>
      <c r="ED7" s="169"/>
      <c r="EE7" s="169"/>
      <c r="EF7" s="169"/>
      <c r="EG7" s="169"/>
      <c r="EH7" s="169"/>
      <c r="EI7" s="169"/>
      <c r="EJ7" s="169"/>
      <c r="EK7" s="169"/>
      <c r="EL7" s="169"/>
      <c r="EM7" s="169"/>
      <c r="EN7" s="169"/>
      <c r="EO7" s="169"/>
      <c r="EP7" s="169"/>
      <c r="EQ7" s="169"/>
      <c r="ER7" s="169"/>
      <c r="ES7" s="169"/>
      <c r="ET7" s="169"/>
      <c r="EU7" s="169"/>
      <c r="EV7" s="169"/>
      <c r="EW7" s="169"/>
      <c r="EX7" s="169"/>
      <c r="EY7" s="169"/>
      <c r="EZ7" s="169"/>
      <c r="FA7" s="169"/>
      <c r="FB7" s="169"/>
      <c r="FC7" s="169"/>
      <c r="FD7" s="169"/>
      <c r="FE7" s="169"/>
      <c r="FF7" s="169"/>
      <c r="FG7" s="169"/>
      <c r="FH7" s="169"/>
      <c r="FI7" s="169"/>
      <c r="FJ7" s="169"/>
      <c r="FK7" s="169"/>
      <c r="FL7" s="169"/>
      <c r="FM7" s="169"/>
      <c r="FN7" s="169"/>
      <c r="FO7" s="169"/>
      <c r="FP7" s="169"/>
      <c r="FQ7" s="169"/>
      <c r="FR7" s="169"/>
      <c r="FS7" s="169"/>
      <c r="FT7" s="169"/>
      <c r="FU7" s="169"/>
      <c r="FV7" s="169"/>
      <c r="FW7" s="169"/>
      <c r="FX7" s="169"/>
      <c r="FY7" s="169"/>
      <c r="FZ7" s="169"/>
      <c r="GA7" s="169"/>
      <c r="GB7" s="169"/>
      <c r="GC7" s="169"/>
      <c r="GD7" s="169"/>
      <c r="GE7" s="169"/>
      <c r="GF7" s="169"/>
      <c r="GG7" s="169"/>
      <c r="GH7" s="169"/>
      <c r="GI7" s="169"/>
      <c r="GJ7" s="169"/>
      <c r="GK7" s="169"/>
      <c r="GL7" s="169"/>
      <c r="GM7" s="169"/>
      <c r="GN7" s="169"/>
      <c r="GO7" s="169"/>
      <c r="GP7" s="169"/>
      <c r="GQ7" s="169"/>
      <c r="GR7" s="169"/>
      <c r="GS7" s="169"/>
      <c r="GT7" s="169"/>
      <c r="GU7" s="169"/>
      <c r="GV7" s="169"/>
      <c r="GW7" s="169"/>
      <c r="GX7" s="169"/>
      <c r="GY7" s="169"/>
      <c r="GZ7" s="169"/>
      <c r="HA7" s="169"/>
      <c r="HB7" s="169"/>
      <c r="HC7" s="169"/>
      <c r="HD7" s="169"/>
      <c r="HE7" s="169"/>
      <c r="HF7" s="169"/>
      <c r="HG7" s="169"/>
      <c r="HH7" s="169"/>
      <c r="HI7" s="169"/>
      <c r="HJ7" s="169"/>
      <c r="HK7" s="169"/>
      <c r="HL7" s="169"/>
      <c r="HM7" s="169"/>
      <c r="HN7" s="169"/>
      <c r="HO7" s="169"/>
      <c r="HP7" s="169"/>
      <c r="HQ7" s="169"/>
      <c r="HR7" s="169"/>
      <c r="HS7" s="169"/>
      <c r="HT7" s="169"/>
      <c r="HU7" s="169"/>
      <c r="HV7" s="169"/>
      <c r="HW7" s="169"/>
      <c r="HX7" s="169"/>
      <c r="HY7" s="169"/>
      <c r="HZ7" s="169"/>
      <c r="IA7" s="169"/>
      <c r="IB7" s="169"/>
      <c r="IC7" s="169"/>
      <c r="ID7" s="169"/>
      <c r="IE7" s="169"/>
      <c r="IF7" s="169"/>
      <c r="IG7" s="169"/>
      <c r="IH7" s="169"/>
      <c r="II7" s="169"/>
      <c r="IJ7" s="169"/>
      <c r="IK7" s="169"/>
      <c r="IL7" s="169"/>
      <c r="IM7" s="169"/>
      <c r="IN7" s="169"/>
      <c r="IO7" s="169"/>
      <c r="IP7" s="169"/>
      <c r="IQ7" s="169"/>
      <c r="IR7" s="169"/>
      <c r="IS7" s="169"/>
      <c r="IT7" s="169"/>
      <c r="IU7" s="169"/>
      <c r="IV7" s="169"/>
    </row>
    <row r="8" spans="1:256" x14ac:dyDescent="0.25">
      <c r="A8" s="172" t="s">
        <v>18</v>
      </c>
      <c r="B8" s="170"/>
      <c r="C8" s="170"/>
      <c r="D8" s="618" t="s">
        <v>7</v>
      </c>
      <c r="E8" s="2277" t="str">
        <f>CARAT_!F48</f>
        <v>“CREACION DEL PUENTE VEHICULAR CCANCHIS SOBRE EL RIO PAMPAS, DISTRITO DE CHUNGUI - PROVINCIA LA MAR - DEPARTAMENTO AYACUCHO”.</v>
      </c>
      <c r="F8" s="2277"/>
      <c r="G8" s="2277"/>
      <c r="H8" s="2277"/>
      <c r="I8" s="2277"/>
      <c r="J8" s="2277"/>
      <c r="K8" s="2277"/>
      <c r="L8" s="2277"/>
      <c r="M8" s="2277"/>
      <c r="N8" s="169"/>
      <c r="O8" s="169"/>
      <c r="P8" s="169"/>
      <c r="Q8" s="169"/>
      <c r="R8" s="169"/>
      <c r="S8" s="169"/>
      <c r="T8" s="169"/>
      <c r="U8" s="169"/>
      <c r="V8" s="169"/>
      <c r="W8" s="169"/>
      <c r="X8" s="169"/>
      <c r="Y8" s="169"/>
      <c r="Z8" s="169"/>
      <c r="AA8" s="169"/>
      <c r="AB8" s="169"/>
      <c r="AC8" s="169"/>
      <c r="AD8" s="169"/>
      <c r="AE8" s="169"/>
      <c r="AF8" s="169"/>
      <c r="AG8" s="169"/>
      <c r="AH8" s="169"/>
      <c r="AI8" s="169"/>
      <c r="AJ8" s="169"/>
      <c r="AK8" s="169"/>
      <c r="AL8" s="169"/>
      <c r="AM8" s="169"/>
      <c r="AN8" s="169"/>
      <c r="AO8" s="169"/>
      <c r="AP8" s="169"/>
      <c r="AQ8" s="169"/>
      <c r="AR8" s="169"/>
      <c r="AS8" s="169"/>
      <c r="AT8" s="169"/>
      <c r="AU8" s="169"/>
      <c r="AV8" s="169"/>
      <c r="AW8" s="169"/>
      <c r="AX8" s="169"/>
      <c r="AY8" s="169"/>
      <c r="AZ8" s="169"/>
      <c r="BA8" s="169"/>
      <c r="BB8" s="169"/>
      <c r="BC8" s="169"/>
      <c r="BD8" s="169"/>
      <c r="BE8" s="169"/>
      <c r="BF8" s="169"/>
      <c r="BG8" s="169"/>
      <c r="BH8" s="169"/>
      <c r="BI8" s="169"/>
      <c r="BJ8" s="169"/>
      <c r="BK8" s="169"/>
      <c r="BL8" s="169"/>
      <c r="BM8" s="169"/>
      <c r="BN8" s="169"/>
      <c r="BO8" s="169"/>
      <c r="BP8" s="169"/>
      <c r="BQ8" s="169"/>
      <c r="BR8" s="169"/>
      <c r="BS8" s="169"/>
      <c r="BT8" s="169"/>
      <c r="BU8" s="169"/>
      <c r="BV8" s="169"/>
      <c r="BW8" s="169"/>
      <c r="BX8" s="169"/>
      <c r="BY8" s="169"/>
      <c r="BZ8" s="169"/>
      <c r="CA8" s="169"/>
      <c r="CB8" s="169"/>
      <c r="CC8" s="169"/>
      <c r="CD8" s="169"/>
      <c r="CE8" s="169"/>
      <c r="CF8" s="169"/>
      <c r="CG8" s="169"/>
      <c r="CH8" s="169"/>
      <c r="CI8" s="169"/>
      <c r="CJ8" s="169"/>
      <c r="CK8" s="169"/>
      <c r="CL8" s="169"/>
      <c r="CM8" s="169"/>
      <c r="CN8" s="169"/>
      <c r="CO8" s="169"/>
      <c r="CP8" s="169"/>
      <c r="CQ8" s="169"/>
      <c r="CR8" s="169"/>
      <c r="CS8" s="169"/>
      <c r="CT8" s="169"/>
      <c r="CU8" s="169"/>
      <c r="CV8" s="169"/>
      <c r="CW8" s="169"/>
      <c r="CX8" s="169"/>
      <c r="CY8" s="169"/>
      <c r="CZ8" s="169"/>
      <c r="DA8" s="169"/>
      <c r="DB8" s="169"/>
      <c r="DC8" s="169"/>
      <c r="DD8" s="169"/>
      <c r="DE8" s="169"/>
      <c r="DF8" s="169"/>
      <c r="DG8" s="169"/>
      <c r="DH8" s="169"/>
      <c r="DI8" s="169"/>
      <c r="DJ8" s="169"/>
      <c r="DK8" s="169"/>
      <c r="DL8" s="169"/>
      <c r="DM8" s="169"/>
      <c r="DN8" s="169"/>
      <c r="DO8" s="169"/>
      <c r="DP8" s="169"/>
      <c r="DQ8" s="169"/>
      <c r="DR8" s="169"/>
      <c r="DS8" s="169"/>
      <c r="DT8" s="169"/>
      <c r="DU8" s="169"/>
      <c r="DV8" s="169"/>
      <c r="DW8" s="169"/>
      <c r="DX8" s="169"/>
      <c r="DY8" s="169"/>
      <c r="DZ8" s="169"/>
      <c r="EA8" s="169"/>
      <c r="EB8" s="169"/>
      <c r="EC8" s="169"/>
      <c r="ED8" s="169"/>
      <c r="EE8" s="169"/>
      <c r="EF8" s="169"/>
      <c r="EG8" s="169"/>
      <c r="EH8" s="169"/>
      <c r="EI8" s="169"/>
      <c r="EJ8" s="169"/>
      <c r="EK8" s="169"/>
      <c r="EL8" s="169"/>
      <c r="EM8" s="169"/>
      <c r="EN8" s="169"/>
      <c r="EO8" s="169"/>
      <c r="EP8" s="169"/>
      <c r="EQ8" s="169"/>
      <c r="ER8" s="169"/>
      <c r="ES8" s="169"/>
      <c r="ET8" s="169"/>
      <c r="EU8" s="169"/>
      <c r="EV8" s="169"/>
      <c r="EW8" s="169"/>
      <c r="EX8" s="169"/>
      <c r="EY8" s="169"/>
      <c r="EZ8" s="169"/>
      <c r="FA8" s="169"/>
      <c r="FB8" s="169"/>
      <c r="FC8" s="169"/>
      <c r="FD8" s="169"/>
      <c r="FE8" s="169"/>
      <c r="FF8" s="169"/>
      <c r="FG8" s="169"/>
      <c r="FH8" s="169"/>
      <c r="FI8" s="169"/>
      <c r="FJ8" s="169"/>
      <c r="FK8" s="169"/>
      <c r="FL8" s="169"/>
      <c r="FM8" s="169"/>
      <c r="FN8" s="169"/>
      <c r="FO8" s="169"/>
      <c r="FP8" s="169"/>
      <c r="FQ8" s="169"/>
      <c r="FR8" s="169"/>
      <c r="FS8" s="169"/>
      <c r="FT8" s="169"/>
      <c r="FU8" s="169"/>
      <c r="FV8" s="169"/>
      <c r="FW8" s="169"/>
      <c r="FX8" s="169"/>
      <c r="FY8" s="169"/>
      <c r="FZ8" s="169"/>
      <c r="GA8" s="169"/>
      <c r="GB8" s="169"/>
      <c r="GC8" s="169"/>
      <c r="GD8" s="169"/>
      <c r="GE8" s="169"/>
      <c r="GF8" s="169"/>
      <c r="GG8" s="169"/>
      <c r="GH8" s="169"/>
      <c r="GI8" s="169"/>
      <c r="GJ8" s="169"/>
      <c r="GK8" s="169"/>
      <c r="GL8" s="169"/>
      <c r="GM8" s="169"/>
      <c r="GN8" s="169"/>
      <c r="GO8" s="169"/>
      <c r="GP8" s="169"/>
      <c r="GQ8" s="169"/>
      <c r="GR8" s="169"/>
      <c r="GS8" s="169"/>
      <c r="GT8" s="169"/>
      <c r="GU8" s="169"/>
      <c r="GV8" s="169"/>
      <c r="GW8" s="169"/>
      <c r="GX8" s="169"/>
      <c r="GY8" s="169"/>
      <c r="GZ8" s="169"/>
      <c r="HA8" s="169"/>
      <c r="HB8" s="169"/>
      <c r="HC8" s="169"/>
      <c r="HD8" s="169"/>
      <c r="HE8" s="169"/>
      <c r="HF8" s="169"/>
      <c r="HG8" s="169"/>
      <c r="HH8" s="169"/>
      <c r="HI8" s="169"/>
      <c r="HJ8" s="169"/>
      <c r="HK8" s="169"/>
      <c r="HL8" s="169"/>
      <c r="HM8" s="169"/>
      <c r="HN8" s="169"/>
      <c r="HO8" s="169"/>
      <c r="HP8" s="169"/>
      <c r="HQ8" s="169"/>
      <c r="HR8" s="169"/>
      <c r="HS8" s="169"/>
      <c r="HT8" s="169"/>
      <c r="HU8" s="169"/>
      <c r="HV8" s="169"/>
      <c r="HW8" s="169"/>
      <c r="HX8" s="169"/>
      <c r="HY8" s="169"/>
      <c r="HZ8" s="169"/>
      <c r="IA8" s="169"/>
      <c r="IB8" s="169"/>
      <c r="IC8" s="169"/>
      <c r="ID8" s="169"/>
      <c r="IE8" s="169"/>
      <c r="IF8" s="169"/>
      <c r="IG8" s="169"/>
      <c r="IH8" s="169"/>
      <c r="II8" s="169"/>
      <c r="IJ8" s="169"/>
      <c r="IK8" s="169"/>
      <c r="IL8" s="169"/>
      <c r="IM8" s="169"/>
      <c r="IN8" s="169"/>
      <c r="IO8" s="169"/>
      <c r="IP8" s="169"/>
      <c r="IQ8" s="169"/>
      <c r="IR8" s="169"/>
      <c r="IS8" s="169"/>
      <c r="IT8" s="169"/>
      <c r="IU8" s="169"/>
      <c r="IV8" s="169"/>
    </row>
    <row r="9" spans="1:256" x14ac:dyDescent="0.25">
      <c r="A9" s="172"/>
      <c r="B9" s="170"/>
      <c r="C9" s="170"/>
      <c r="D9" s="618"/>
      <c r="E9" s="2277"/>
      <c r="F9" s="2277"/>
      <c r="G9" s="2277"/>
      <c r="H9" s="2277"/>
      <c r="I9" s="2277"/>
      <c r="J9" s="2277"/>
      <c r="K9" s="2277"/>
      <c r="L9" s="2277"/>
      <c r="M9" s="2277"/>
      <c r="N9" s="169"/>
      <c r="O9" s="169"/>
      <c r="P9" s="169"/>
      <c r="Q9" s="169"/>
      <c r="R9" s="169"/>
      <c r="S9" s="169"/>
      <c r="T9" s="169"/>
      <c r="U9" s="169"/>
      <c r="V9" s="169"/>
      <c r="W9" s="169"/>
      <c r="X9" s="169"/>
      <c r="Y9" s="169"/>
      <c r="Z9" s="169"/>
      <c r="AA9" s="169"/>
      <c r="AB9" s="169"/>
      <c r="AC9" s="169"/>
      <c r="AD9" s="169"/>
      <c r="AE9" s="169"/>
      <c r="AF9" s="169"/>
      <c r="AG9" s="169"/>
      <c r="AH9" s="169"/>
      <c r="AI9" s="169"/>
      <c r="AJ9" s="169"/>
      <c r="AK9" s="169"/>
      <c r="AL9" s="169"/>
      <c r="AM9" s="169"/>
      <c r="AN9" s="169"/>
      <c r="AO9" s="169"/>
      <c r="AP9" s="169"/>
      <c r="AQ9" s="169"/>
      <c r="AR9" s="169"/>
      <c r="AS9" s="169"/>
      <c r="AT9" s="169"/>
      <c r="AU9" s="169"/>
      <c r="AV9" s="169"/>
      <c r="AW9" s="169"/>
      <c r="AX9" s="169"/>
      <c r="AY9" s="169"/>
      <c r="AZ9" s="169"/>
      <c r="BA9" s="169"/>
      <c r="BB9" s="169"/>
      <c r="BC9" s="169"/>
      <c r="BD9" s="169"/>
      <c r="BE9" s="169"/>
      <c r="BF9" s="169"/>
      <c r="BG9" s="169"/>
      <c r="BH9" s="169"/>
      <c r="BI9" s="169"/>
      <c r="BJ9" s="169"/>
      <c r="BK9" s="169"/>
      <c r="BL9" s="169"/>
      <c r="BM9" s="169"/>
      <c r="BN9" s="169"/>
      <c r="BO9" s="169"/>
      <c r="BP9" s="169"/>
      <c r="BQ9" s="169"/>
      <c r="BR9" s="169"/>
      <c r="BS9" s="169"/>
      <c r="BT9" s="169"/>
      <c r="BU9" s="169"/>
      <c r="BV9" s="169"/>
      <c r="BW9" s="169"/>
      <c r="BX9" s="169"/>
      <c r="BY9" s="169"/>
      <c r="BZ9" s="169"/>
      <c r="CA9" s="169"/>
      <c r="CB9" s="169"/>
      <c r="CC9" s="169"/>
      <c r="CD9" s="169"/>
      <c r="CE9" s="169"/>
      <c r="CF9" s="169"/>
      <c r="CG9" s="169"/>
      <c r="CH9" s="169"/>
      <c r="CI9" s="169"/>
      <c r="CJ9" s="169"/>
      <c r="CK9" s="169"/>
      <c r="CL9" s="169"/>
      <c r="CM9" s="169"/>
      <c r="CN9" s="169"/>
      <c r="CO9" s="169"/>
      <c r="CP9" s="169"/>
      <c r="CQ9" s="169"/>
      <c r="CR9" s="169"/>
      <c r="CS9" s="169"/>
      <c r="CT9" s="169"/>
      <c r="CU9" s="169"/>
      <c r="CV9" s="169"/>
      <c r="CW9" s="169"/>
      <c r="CX9" s="169"/>
      <c r="CY9" s="169"/>
      <c r="CZ9" s="169"/>
      <c r="DA9" s="169"/>
      <c r="DB9" s="169"/>
      <c r="DC9" s="169"/>
      <c r="DD9" s="169"/>
      <c r="DE9" s="169"/>
      <c r="DF9" s="169"/>
      <c r="DG9" s="169"/>
      <c r="DH9" s="169"/>
      <c r="DI9" s="169"/>
      <c r="DJ9" s="169"/>
      <c r="DK9" s="169"/>
      <c r="DL9" s="169"/>
      <c r="DM9" s="169"/>
      <c r="DN9" s="169"/>
      <c r="DO9" s="169"/>
      <c r="DP9" s="169"/>
      <c r="DQ9" s="169"/>
      <c r="DR9" s="169"/>
      <c r="DS9" s="169"/>
      <c r="DT9" s="169"/>
      <c r="DU9" s="169"/>
      <c r="DV9" s="169"/>
      <c r="DW9" s="169"/>
      <c r="DX9" s="169"/>
      <c r="DY9" s="169"/>
      <c r="DZ9" s="169"/>
      <c r="EA9" s="169"/>
      <c r="EB9" s="169"/>
      <c r="EC9" s="169"/>
      <c r="ED9" s="169"/>
      <c r="EE9" s="169"/>
      <c r="EF9" s="169"/>
      <c r="EG9" s="169"/>
      <c r="EH9" s="169"/>
      <c r="EI9" s="169"/>
      <c r="EJ9" s="169"/>
      <c r="EK9" s="169"/>
      <c r="EL9" s="169"/>
      <c r="EM9" s="169"/>
      <c r="EN9" s="169"/>
      <c r="EO9" s="169"/>
      <c r="EP9" s="169"/>
      <c r="EQ9" s="169"/>
      <c r="ER9" s="169"/>
      <c r="ES9" s="169"/>
      <c r="ET9" s="169"/>
      <c r="EU9" s="169"/>
      <c r="EV9" s="169"/>
      <c r="EW9" s="169"/>
      <c r="EX9" s="169"/>
      <c r="EY9" s="169"/>
      <c r="EZ9" s="169"/>
      <c r="FA9" s="169"/>
      <c r="FB9" s="169"/>
      <c r="FC9" s="169"/>
      <c r="FD9" s="169"/>
      <c r="FE9" s="169"/>
      <c r="FF9" s="169"/>
      <c r="FG9" s="169"/>
      <c r="FH9" s="169"/>
      <c r="FI9" s="169"/>
      <c r="FJ9" s="169"/>
      <c r="FK9" s="169"/>
      <c r="FL9" s="169"/>
      <c r="FM9" s="169"/>
      <c r="FN9" s="169"/>
      <c r="FO9" s="169"/>
      <c r="FP9" s="169"/>
      <c r="FQ9" s="169"/>
      <c r="FR9" s="169"/>
      <c r="FS9" s="169"/>
      <c r="FT9" s="169"/>
      <c r="FU9" s="169"/>
      <c r="FV9" s="169"/>
      <c r="FW9" s="169"/>
      <c r="FX9" s="169"/>
      <c r="FY9" s="169"/>
      <c r="FZ9" s="169"/>
      <c r="GA9" s="169"/>
      <c r="GB9" s="169"/>
      <c r="GC9" s="169"/>
      <c r="GD9" s="169"/>
      <c r="GE9" s="169"/>
      <c r="GF9" s="169"/>
      <c r="GG9" s="169"/>
      <c r="GH9" s="169"/>
      <c r="GI9" s="169"/>
      <c r="GJ9" s="169"/>
      <c r="GK9" s="169"/>
      <c r="GL9" s="169"/>
      <c r="GM9" s="169"/>
      <c r="GN9" s="169"/>
      <c r="GO9" s="169"/>
      <c r="GP9" s="169"/>
      <c r="GQ9" s="169"/>
      <c r="GR9" s="169"/>
      <c r="GS9" s="169"/>
      <c r="GT9" s="169"/>
      <c r="GU9" s="169"/>
      <c r="GV9" s="169"/>
      <c r="GW9" s="169"/>
      <c r="GX9" s="169"/>
      <c r="GY9" s="169"/>
      <c r="GZ9" s="169"/>
      <c r="HA9" s="169"/>
      <c r="HB9" s="169"/>
      <c r="HC9" s="169"/>
      <c r="HD9" s="169"/>
      <c r="HE9" s="169"/>
      <c r="HF9" s="169"/>
      <c r="HG9" s="169"/>
      <c r="HH9" s="169"/>
      <c r="HI9" s="169"/>
      <c r="HJ9" s="169"/>
      <c r="HK9" s="169"/>
      <c r="HL9" s="169"/>
      <c r="HM9" s="169"/>
      <c r="HN9" s="169"/>
      <c r="HO9" s="169"/>
      <c r="HP9" s="169"/>
      <c r="HQ9" s="169"/>
      <c r="HR9" s="169"/>
      <c r="HS9" s="169"/>
      <c r="HT9" s="169"/>
      <c r="HU9" s="169"/>
      <c r="HV9" s="169"/>
      <c r="HW9" s="169"/>
      <c r="HX9" s="169"/>
      <c r="HY9" s="169"/>
      <c r="HZ9" s="169"/>
      <c r="IA9" s="169"/>
      <c r="IB9" s="169"/>
      <c r="IC9" s="169"/>
      <c r="ID9" s="169"/>
      <c r="IE9" s="169"/>
      <c r="IF9" s="169"/>
      <c r="IG9" s="169"/>
      <c r="IH9" s="169"/>
      <c r="II9" s="169"/>
      <c r="IJ9" s="169"/>
      <c r="IK9" s="169"/>
      <c r="IL9" s="169"/>
      <c r="IM9" s="169"/>
      <c r="IN9" s="169"/>
      <c r="IO9" s="169"/>
      <c r="IP9" s="169"/>
      <c r="IQ9" s="169"/>
      <c r="IR9" s="169"/>
      <c r="IS9" s="169"/>
      <c r="IT9" s="169"/>
      <c r="IU9" s="169"/>
      <c r="IV9" s="169"/>
    </row>
    <row r="10" spans="1:256" x14ac:dyDescent="0.25">
      <c r="A10" s="170" t="s">
        <v>1484</v>
      </c>
      <c r="B10" s="170"/>
      <c r="C10" s="170"/>
      <c r="D10" s="618" t="s">
        <v>7</v>
      </c>
      <c r="E10" s="2299" t="str">
        <f>CARAT_!$F$52</f>
        <v>SIMA PERU S.A.</v>
      </c>
      <c r="F10" s="2299"/>
      <c r="G10" s="2299"/>
      <c r="H10" s="2299"/>
      <c r="I10" s="173"/>
      <c r="J10" s="173"/>
      <c r="K10" s="601"/>
      <c r="L10" s="480"/>
      <c r="M10" s="173"/>
      <c r="N10" s="169"/>
      <c r="O10" s="169"/>
      <c r="P10" s="169"/>
      <c r="Q10" s="169"/>
      <c r="R10" s="169"/>
      <c r="S10" s="169"/>
      <c r="T10" s="169"/>
      <c r="U10" s="169"/>
      <c r="V10" s="169"/>
      <c r="W10" s="169"/>
      <c r="X10" s="169"/>
      <c r="Y10" s="169"/>
      <c r="Z10" s="169"/>
      <c r="AA10" s="169"/>
      <c r="AB10" s="169"/>
      <c r="AC10" s="169"/>
      <c r="AD10" s="169"/>
      <c r="AE10" s="169"/>
      <c r="AF10" s="169"/>
      <c r="AG10" s="169"/>
      <c r="AH10" s="169"/>
      <c r="AI10" s="169"/>
      <c r="AJ10" s="169"/>
      <c r="AK10" s="169"/>
      <c r="AL10" s="169"/>
      <c r="AM10" s="169"/>
      <c r="AN10" s="169"/>
      <c r="AO10" s="169"/>
      <c r="AP10" s="169"/>
      <c r="AQ10" s="169"/>
      <c r="AR10" s="169"/>
      <c r="AS10" s="169"/>
      <c r="AT10" s="169"/>
      <c r="AU10" s="169"/>
      <c r="AV10" s="169"/>
      <c r="AW10" s="169"/>
      <c r="AX10" s="169"/>
      <c r="AY10" s="169"/>
      <c r="AZ10" s="169"/>
      <c r="BA10" s="169"/>
      <c r="BB10" s="169"/>
      <c r="BC10" s="169"/>
      <c r="BD10" s="169"/>
      <c r="BE10" s="169"/>
      <c r="BF10" s="169"/>
      <c r="BG10" s="169"/>
      <c r="BH10" s="169"/>
      <c r="BI10" s="169"/>
      <c r="BJ10" s="169"/>
      <c r="BK10" s="169"/>
      <c r="BL10" s="169"/>
      <c r="BM10" s="169"/>
      <c r="BN10" s="169"/>
      <c r="BO10" s="169"/>
      <c r="BP10" s="169"/>
      <c r="BQ10" s="169"/>
      <c r="BR10" s="169"/>
      <c r="BS10" s="169"/>
      <c r="BT10" s="169"/>
      <c r="BU10" s="169"/>
      <c r="BV10" s="169"/>
      <c r="BW10" s="169"/>
      <c r="BX10" s="169"/>
      <c r="BY10" s="169"/>
      <c r="BZ10" s="169"/>
      <c r="CA10" s="169"/>
      <c r="CB10" s="169"/>
      <c r="CC10" s="169"/>
      <c r="CD10" s="169"/>
      <c r="CE10" s="169"/>
      <c r="CF10" s="169"/>
      <c r="CG10" s="169"/>
      <c r="CH10" s="169"/>
      <c r="CI10" s="169"/>
      <c r="CJ10" s="169"/>
      <c r="CK10" s="169"/>
      <c r="CL10" s="169"/>
      <c r="CM10" s="169"/>
      <c r="CN10" s="169"/>
      <c r="CO10" s="169"/>
      <c r="CP10" s="169"/>
      <c r="CQ10" s="169"/>
      <c r="CR10" s="169"/>
      <c r="CS10" s="169"/>
      <c r="CT10" s="169"/>
      <c r="CU10" s="169"/>
      <c r="CV10" s="169"/>
      <c r="CW10" s="169"/>
      <c r="CX10" s="169"/>
      <c r="CY10" s="169"/>
      <c r="CZ10" s="169"/>
      <c r="DA10" s="169"/>
      <c r="DB10" s="169"/>
      <c r="DC10" s="169"/>
      <c r="DD10" s="169"/>
      <c r="DE10" s="169"/>
      <c r="DF10" s="169"/>
      <c r="DG10" s="169"/>
      <c r="DH10" s="169"/>
      <c r="DI10" s="169"/>
      <c r="DJ10" s="169"/>
      <c r="DK10" s="169"/>
      <c r="DL10" s="169"/>
      <c r="DM10" s="169"/>
      <c r="DN10" s="169"/>
      <c r="DO10" s="169"/>
      <c r="DP10" s="169"/>
      <c r="DQ10" s="169"/>
      <c r="DR10" s="169"/>
      <c r="DS10" s="169"/>
      <c r="DT10" s="169"/>
      <c r="DU10" s="169"/>
      <c r="DV10" s="169"/>
      <c r="DW10" s="169"/>
      <c r="DX10" s="169"/>
      <c r="DY10" s="169"/>
      <c r="DZ10" s="169"/>
      <c r="EA10" s="169"/>
      <c r="EB10" s="169"/>
      <c r="EC10" s="169"/>
      <c r="ED10" s="169"/>
      <c r="EE10" s="169"/>
      <c r="EF10" s="169"/>
      <c r="EG10" s="169"/>
      <c r="EH10" s="169"/>
      <c r="EI10" s="169"/>
      <c r="EJ10" s="169"/>
      <c r="EK10" s="169"/>
      <c r="EL10" s="169"/>
      <c r="EM10" s="169"/>
      <c r="EN10" s="169"/>
      <c r="EO10" s="169"/>
      <c r="EP10" s="169"/>
      <c r="EQ10" s="169"/>
      <c r="ER10" s="169"/>
      <c r="ES10" s="169"/>
      <c r="ET10" s="169"/>
      <c r="EU10" s="169"/>
      <c r="EV10" s="169"/>
      <c r="EW10" s="169"/>
      <c r="EX10" s="169"/>
      <c r="EY10" s="169"/>
      <c r="EZ10" s="169"/>
      <c r="FA10" s="169"/>
      <c r="FB10" s="169"/>
      <c r="FC10" s="169"/>
      <c r="FD10" s="169"/>
      <c r="FE10" s="169"/>
      <c r="FF10" s="169"/>
      <c r="FG10" s="169"/>
      <c r="FH10" s="169"/>
      <c r="FI10" s="169"/>
      <c r="FJ10" s="169"/>
      <c r="FK10" s="169"/>
      <c r="FL10" s="169"/>
      <c r="FM10" s="169"/>
      <c r="FN10" s="169"/>
      <c r="FO10" s="169"/>
      <c r="FP10" s="169"/>
      <c r="FQ10" s="169"/>
      <c r="FR10" s="169"/>
      <c r="FS10" s="169"/>
      <c r="FT10" s="169"/>
      <c r="FU10" s="169"/>
      <c r="FV10" s="169"/>
      <c r="FW10" s="169"/>
      <c r="FX10" s="169"/>
      <c r="FY10" s="169"/>
      <c r="FZ10" s="169"/>
      <c r="GA10" s="169"/>
      <c r="GB10" s="169"/>
      <c r="GC10" s="169"/>
      <c r="GD10" s="169"/>
      <c r="GE10" s="169"/>
      <c r="GF10" s="169"/>
      <c r="GG10" s="169"/>
      <c r="GH10" s="169"/>
      <c r="GI10" s="169"/>
      <c r="GJ10" s="169"/>
      <c r="GK10" s="169"/>
      <c r="GL10" s="169"/>
      <c r="GM10" s="169"/>
      <c r="GN10" s="169"/>
      <c r="GO10" s="169"/>
      <c r="GP10" s="169"/>
      <c r="GQ10" s="169"/>
      <c r="GR10" s="169"/>
      <c r="GS10" s="169"/>
      <c r="GT10" s="169"/>
      <c r="GU10" s="169"/>
      <c r="GV10" s="169"/>
      <c r="GW10" s="169"/>
      <c r="GX10" s="169"/>
      <c r="GY10" s="169"/>
      <c r="GZ10" s="169"/>
      <c r="HA10" s="169"/>
      <c r="HB10" s="169"/>
      <c r="HC10" s="169"/>
      <c r="HD10" s="169"/>
      <c r="HE10" s="169"/>
      <c r="HF10" s="169"/>
      <c r="HG10" s="169"/>
      <c r="HH10" s="169"/>
      <c r="HI10" s="169"/>
      <c r="HJ10" s="169"/>
      <c r="HK10" s="169"/>
      <c r="HL10" s="169"/>
      <c r="HM10" s="169"/>
      <c r="HN10" s="169"/>
      <c r="HO10" s="169"/>
      <c r="HP10" s="169"/>
      <c r="HQ10" s="169"/>
      <c r="HR10" s="169"/>
      <c r="HS10" s="169"/>
      <c r="HT10" s="169"/>
      <c r="HU10" s="169"/>
      <c r="HV10" s="169"/>
      <c r="HW10" s="169"/>
      <c r="HX10" s="169"/>
      <c r="HY10" s="169"/>
      <c r="HZ10" s="169"/>
      <c r="IA10" s="169"/>
      <c r="IB10" s="169"/>
      <c r="IC10" s="169"/>
      <c r="ID10" s="169"/>
      <c r="IE10" s="169"/>
      <c r="IF10" s="169"/>
      <c r="IG10" s="169"/>
      <c r="IH10" s="169"/>
      <c r="II10" s="169"/>
      <c r="IJ10" s="169"/>
      <c r="IK10" s="169"/>
      <c r="IL10" s="169"/>
      <c r="IM10" s="169"/>
      <c r="IN10" s="169"/>
      <c r="IO10" s="169"/>
      <c r="IP10" s="169"/>
      <c r="IQ10" s="169"/>
      <c r="IR10" s="169"/>
      <c r="IS10" s="169"/>
      <c r="IT10" s="169"/>
      <c r="IU10" s="169"/>
      <c r="IV10" s="169"/>
    </row>
    <row r="11" spans="1:256" x14ac:dyDescent="0.25">
      <c r="A11" s="170" t="s">
        <v>25</v>
      </c>
      <c r="B11" s="170"/>
      <c r="C11" s="170"/>
      <c r="D11" s="618" t="s">
        <v>7</v>
      </c>
      <c r="E11" s="2299" t="s">
        <v>1461</v>
      </c>
      <c r="F11" s="2299"/>
      <c r="G11" s="2299"/>
      <c r="H11" s="2299"/>
      <c r="I11" s="173"/>
      <c r="J11" s="173"/>
      <c r="K11" s="601"/>
      <c r="L11" s="480"/>
      <c r="M11" s="173"/>
      <c r="N11" s="169"/>
      <c r="O11" s="169"/>
      <c r="P11" s="169"/>
      <c r="Q11" s="169"/>
      <c r="R11" s="169"/>
      <c r="S11" s="169"/>
      <c r="T11" s="169"/>
      <c r="U11" s="169"/>
      <c r="V11" s="169"/>
      <c r="W11" s="169"/>
      <c r="X11" s="169"/>
      <c r="Y11" s="169"/>
      <c r="Z11" s="169"/>
      <c r="AA11" s="169"/>
      <c r="AB11" s="169"/>
      <c r="AC11" s="169"/>
      <c r="AD11" s="169"/>
      <c r="AE11" s="169"/>
      <c r="AF11" s="169"/>
      <c r="AG11" s="169"/>
      <c r="AH11" s="169"/>
      <c r="AI11" s="169"/>
      <c r="AJ11" s="169"/>
      <c r="AK11" s="169"/>
      <c r="AL11" s="169"/>
      <c r="AM11" s="169"/>
      <c r="AN11" s="169"/>
      <c r="AO11" s="169"/>
      <c r="AP11" s="169"/>
      <c r="AQ11" s="169"/>
      <c r="AR11" s="169"/>
      <c r="AS11" s="169"/>
      <c r="AT11" s="169"/>
      <c r="AU11" s="169"/>
      <c r="AV11" s="169"/>
      <c r="AW11" s="169"/>
      <c r="AX11" s="169"/>
      <c r="AY11" s="169"/>
      <c r="AZ11" s="169"/>
      <c r="BA11" s="169"/>
      <c r="BB11" s="169"/>
      <c r="BC11" s="169"/>
      <c r="BD11" s="169"/>
      <c r="BE11" s="169"/>
      <c r="BF11" s="169"/>
      <c r="BG11" s="169"/>
      <c r="BH11" s="169"/>
      <c r="BI11" s="169"/>
      <c r="BJ11" s="169"/>
      <c r="BK11" s="169"/>
      <c r="BL11" s="169"/>
      <c r="BM11" s="169"/>
      <c r="BN11" s="169"/>
      <c r="BO11" s="169"/>
      <c r="BP11" s="169"/>
      <c r="BQ11" s="169"/>
      <c r="BR11" s="169"/>
      <c r="BS11" s="169"/>
      <c r="BT11" s="169"/>
      <c r="BU11" s="169"/>
      <c r="BV11" s="169"/>
      <c r="BW11" s="169"/>
      <c r="BX11" s="169"/>
      <c r="BY11" s="169"/>
      <c r="BZ11" s="169"/>
      <c r="CA11" s="169"/>
      <c r="CB11" s="169"/>
      <c r="CC11" s="169"/>
      <c r="CD11" s="169"/>
      <c r="CE11" s="169"/>
      <c r="CF11" s="169"/>
      <c r="CG11" s="169"/>
      <c r="CH11" s="169"/>
      <c r="CI11" s="169"/>
      <c r="CJ11" s="169"/>
      <c r="CK11" s="169"/>
      <c r="CL11" s="169"/>
      <c r="CM11" s="169"/>
      <c r="CN11" s="169"/>
      <c r="CO11" s="169"/>
      <c r="CP11" s="169"/>
      <c r="CQ11" s="169"/>
      <c r="CR11" s="169"/>
      <c r="CS11" s="169"/>
      <c r="CT11" s="169"/>
      <c r="CU11" s="169"/>
      <c r="CV11" s="169"/>
      <c r="CW11" s="169"/>
      <c r="CX11" s="169"/>
      <c r="CY11" s="169"/>
      <c r="CZ11" s="169"/>
      <c r="DA11" s="169"/>
      <c r="DB11" s="169"/>
      <c r="DC11" s="169"/>
      <c r="DD11" s="169"/>
      <c r="DE11" s="169"/>
      <c r="DF11" s="169"/>
      <c r="DG11" s="169"/>
      <c r="DH11" s="169"/>
      <c r="DI11" s="169"/>
      <c r="DJ11" s="169"/>
      <c r="DK11" s="169"/>
      <c r="DL11" s="169"/>
      <c r="DM11" s="169"/>
      <c r="DN11" s="169"/>
      <c r="DO11" s="169"/>
      <c r="DP11" s="169"/>
      <c r="DQ11" s="169"/>
      <c r="DR11" s="169"/>
      <c r="DS11" s="169"/>
      <c r="DT11" s="169"/>
      <c r="DU11" s="169"/>
      <c r="DV11" s="169"/>
      <c r="DW11" s="169"/>
      <c r="DX11" s="169"/>
      <c r="DY11" s="169"/>
      <c r="DZ11" s="169"/>
      <c r="EA11" s="169"/>
      <c r="EB11" s="169"/>
      <c r="EC11" s="169"/>
      <c r="ED11" s="169"/>
      <c r="EE11" s="169"/>
      <c r="EF11" s="169"/>
      <c r="EG11" s="169"/>
      <c r="EH11" s="169"/>
      <c r="EI11" s="169"/>
      <c r="EJ11" s="169"/>
      <c r="EK11" s="169"/>
      <c r="EL11" s="169"/>
      <c r="EM11" s="169"/>
      <c r="EN11" s="169"/>
      <c r="EO11" s="169"/>
      <c r="EP11" s="169"/>
      <c r="EQ11" s="169"/>
      <c r="ER11" s="169"/>
      <c r="ES11" s="169"/>
      <c r="ET11" s="169"/>
      <c r="EU11" s="169"/>
      <c r="EV11" s="169"/>
      <c r="EW11" s="169"/>
      <c r="EX11" s="169"/>
      <c r="EY11" s="169"/>
      <c r="EZ11" s="169"/>
      <c r="FA11" s="169"/>
      <c r="FB11" s="169"/>
      <c r="FC11" s="169"/>
      <c r="FD11" s="169"/>
      <c r="FE11" s="169"/>
      <c r="FF11" s="169"/>
      <c r="FG11" s="169"/>
      <c r="FH11" s="169"/>
      <c r="FI11" s="169"/>
      <c r="FJ11" s="169"/>
      <c r="FK11" s="169"/>
      <c r="FL11" s="169"/>
      <c r="FM11" s="169"/>
      <c r="FN11" s="169"/>
      <c r="FO11" s="169"/>
      <c r="FP11" s="169"/>
      <c r="FQ11" s="169"/>
      <c r="FR11" s="169"/>
      <c r="FS11" s="169"/>
      <c r="FT11" s="169"/>
      <c r="FU11" s="169"/>
      <c r="FV11" s="169"/>
      <c r="FW11" s="169"/>
      <c r="FX11" s="169"/>
      <c r="FY11" s="169"/>
      <c r="FZ11" s="169"/>
      <c r="GA11" s="169"/>
      <c r="GB11" s="169"/>
      <c r="GC11" s="169"/>
      <c r="GD11" s="169"/>
      <c r="GE11" s="169"/>
      <c r="GF11" s="169"/>
      <c r="GG11" s="169"/>
      <c r="GH11" s="169"/>
      <c r="GI11" s="169"/>
      <c r="GJ11" s="169"/>
      <c r="GK11" s="169"/>
      <c r="GL11" s="169"/>
      <c r="GM11" s="169"/>
      <c r="GN11" s="169"/>
      <c r="GO11" s="169"/>
      <c r="GP11" s="169"/>
      <c r="GQ11" s="169"/>
      <c r="GR11" s="169"/>
      <c r="GS11" s="169"/>
      <c r="GT11" s="169"/>
      <c r="GU11" s="169"/>
      <c r="GV11" s="169"/>
      <c r="GW11" s="169"/>
      <c r="GX11" s="169"/>
      <c r="GY11" s="169"/>
      <c r="GZ11" s="169"/>
      <c r="HA11" s="169"/>
      <c r="HB11" s="169"/>
      <c r="HC11" s="169"/>
      <c r="HD11" s="169"/>
      <c r="HE11" s="169"/>
      <c r="HF11" s="169"/>
      <c r="HG11" s="169"/>
      <c r="HH11" s="169"/>
      <c r="HI11" s="169"/>
      <c r="HJ11" s="169"/>
      <c r="HK11" s="169"/>
      <c r="HL11" s="169"/>
      <c r="HM11" s="169"/>
      <c r="HN11" s="169"/>
      <c r="HO11" s="169"/>
      <c r="HP11" s="169"/>
      <c r="HQ11" s="169"/>
      <c r="HR11" s="169"/>
      <c r="HS11" s="169"/>
      <c r="HT11" s="169"/>
      <c r="HU11" s="169"/>
      <c r="HV11" s="169"/>
      <c r="HW11" s="169"/>
      <c r="HX11" s="169"/>
      <c r="HY11" s="169"/>
      <c r="HZ11" s="169"/>
      <c r="IA11" s="169"/>
      <c r="IB11" s="169"/>
      <c r="IC11" s="169"/>
      <c r="ID11" s="169"/>
      <c r="IE11" s="169"/>
      <c r="IF11" s="169"/>
      <c r="IG11" s="169"/>
      <c r="IH11" s="169"/>
      <c r="II11" s="169"/>
      <c r="IJ11" s="169"/>
      <c r="IK11" s="169"/>
      <c r="IL11" s="169"/>
      <c r="IM11" s="169"/>
      <c r="IN11" s="169"/>
      <c r="IO11" s="169"/>
      <c r="IP11" s="169"/>
      <c r="IQ11" s="169"/>
      <c r="IR11" s="169"/>
      <c r="IS11" s="169"/>
      <c r="IT11" s="169"/>
      <c r="IU11" s="169"/>
      <c r="IV11" s="169"/>
    </row>
    <row r="12" spans="1:256" x14ac:dyDescent="0.25">
      <c r="A12" s="170" t="s">
        <v>3</v>
      </c>
      <c r="B12" s="170"/>
      <c r="C12" s="170"/>
      <c r="D12" s="618" t="s">
        <v>7</v>
      </c>
      <c r="E12" s="625" t="str">
        <f>CARAT_!$F$54</f>
        <v>MES DE DICIEMBRE DE 2022</v>
      </c>
      <c r="F12" s="479"/>
      <c r="G12" s="479"/>
      <c r="H12" s="173"/>
      <c r="I12" s="173"/>
      <c r="J12" s="173"/>
      <c r="K12" s="601"/>
      <c r="L12" s="480"/>
      <c r="M12" s="480"/>
      <c r="N12" s="169"/>
      <c r="O12" s="169"/>
      <c r="P12" s="169"/>
      <c r="Q12" s="169"/>
      <c r="R12" s="169"/>
      <c r="S12" s="169"/>
      <c r="T12" s="169"/>
      <c r="U12" s="169"/>
      <c r="V12" s="169"/>
      <c r="W12" s="169"/>
      <c r="X12" s="169"/>
      <c r="Y12" s="169"/>
      <c r="Z12" s="169"/>
      <c r="AA12" s="169"/>
      <c r="AB12" s="169"/>
      <c r="AC12" s="169"/>
      <c r="AD12" s="169"/>
      <c r="AE12" s="169"/>
      <c r="AF12" s="169"/>
      <c r="AG12" s="169"/>
      <c r="AH12" s="169"/>
      <c r="AI12" s="169"/>
      <c r="AJ12" s="169"/>
      <c r="AK12" s="169"/>
      <c r="AL12" s="169"/>
      <c r="AM12" s="169"/>
      <c r="AN12" s="169"/>
      <c r="AO12" s="169"/>
      <c r="AP12" s="169"/>
      <c r="AQ12" s="169"/>
      <c r="AR12" s="169"/>
      <c r="AS12" s="169"/>
      <c r="AT12" s="169"/>
      <c r="AU12" s="169"/>
      <c r="AV12" s="169"/>
      <c r="AW12" s="169"/>
      <c r="AX12" s="169"/>
      <c r="AY12" s="169"/>
      <c r="AZ12" s="169"/>
      <c r="BA12" s="169"/>
      <c r="BB12" s="169"/>
      <c r="BC12" s="169"/>
      <c r="BD12" s="169"/>
      <c r="BE12" s="169"/>
      <c r="BF12" s="169"/>
      <c r="BG12" s="169"/>
      <c r="BH12" s="169"/>
      <c r="BI12" s="169"/>
      <c r="BJ12" s="169"/>
      <c r="BK12" s="169"/>
      <c r="BL12" s="169"/>
      <c r="BM12" s="169"/>
      <c r="BN12" s="169"/>
      <c r="BO12" s="169"/>
      <c r="BP12" s="169"/>
      <c r="BQ12" s="169"/>
      <c r="BR12" s="169"/>
      <c r="BS12" s="169"/>
      <c r="BT12" s="169"/>
      <c r="BU12" s="169"/>
      <c r="BV12" s="169"/>
      <c r="BW12" s="169"/>
      <c r="BX12" s="169"/>
      <c r="BY12" s="169"/>
      <c r="BZ12" s="169"/>
      <c r="CA12" s="169"/>
      <c r="CB12" s="169"/>
      <c r="CC12" s="169"/>
      <c r="CD12" s="169"/>
      <c r="CE12" s="169"/>
      <c r="CF12" s="169"/>
      <c r="CG12" s="169"/>
      <c r="CH12" s="169"/>
      <c r="CI12" s="169"/>
      <c r="CJ12" s="169"/>
      <c r="CK12" s="169"/>
      <c r="CL12" s="169"/>
      <c r="CM12" s="169"/>
      <c r="CN12" s="169"/>
      <c r="CO12" s="169"/>
      <c r="CP12" s="169"/>
      <c r="CQ12" s="169"/>
      <c r="CR12" s="169"/>
      <c r="CS12" s="169"/>
      <c r="CT12" s="169"/>
      <c r="CU12" s="169"/>
      <c r="CV12" s="169"/>
      <c r="CW12" s="169"/>
      <c r="CX12" s="169"/>
      <c r="CY12" s="169"/>
      <c r="CZ12" s="169"/>
      <c r="DA12" s="169"/>
      <c r="DB12" s="169"/>
      <c r="DC12" s="169"/>
      <c r="DD12" s="169"/>
      <c r="DE12" s="169"/>
      <c r="DF12" s="169"/>
      <c r="DG12" s="169"/>
      <c r="DH12" s="169"/>
      <c r="DI12" s="169"/>
      <c r="DJ12" s="169"/>
      <c r="DK12" s="169"/>
      <c r="DL12" s="169"/>
      <c r="DM12" s="169"/>
      <c r="DN12" s="169"/>
      <c r="DO12" s="169"/>
      <c r="DP12" s="169"/>
      <c r="DQ12" s="169"/>
      <c r="DR12" s="169"/>
      <c r="DS12" s="169"/>
      <c r="DT12" s="169"/>
      <c r="DU12" s="169"/>
      <c r="DV12" s="169"/>
      <c r="DW12" s="169"/>
      <c r="DX12" s="169"/>
      <c r="DY12" s="169"/>
      <c r="DZ12" s="169"/>
      <c r="EA12" s="169"/>
      <c r="EB12" s="169"/>
      <c r="EC12" s="169"/>
      <c r="ED12" s="169"/>
      <c r="EE12" s="169"/>
      <c r="EF12" s="169"/>
      <c r="EG12" s="169"/>
      <c r="EH12" s="169"/>
      <c r="EI12" s="169"/>
      <c r="EJ12" s="169"/>
      <c r="EK12" s="169"/>
      <c r="EL12" s="169"/>
      <c r="EM12" s="169"/>
      <c r="EN12" s="169"/>
      <c r="EO12" s="169"/>
      <c r="EP12" s="169"/>
      <c r="EQ12" s="169"/>
      <c r="ER12" s="169"/>
      <c r="ES12" s="169"/>
      <c r="ET12" s="169"/>
      <c r="EU12" s="169"/>
      <c r="EV12" s="169"/>
      <c r="EW12" s="169"/>
      <c r="EX12" s="169"/>
      <c r="EY12" s="169"/>
      <c r="EZ12" s="169"/>
      <c r="FA12" s="169"/>
      <c r="FB12" s="169"/>
      <c r="FC12" s="169"/>
      <c r="FD12" s="169"/>
      <c r="FE12" s="169"/>
      <c r="FF12" s="169"/>
      <c r="FG12" s="169"/>
      <c r="FH12" s="169"/>
      <c r="FI12" s="169"/>
      <c r="FJ12" s="169"/>
      <c r="FK12" s="169"/>
      <c r="FL12" s="169"/>
      <c r="FM12" s="169"/>
      <c r="FN12" s="169"/>
      <c r="FO12" s="169"/>
      <c r="FP12" s="169"/>
      <c r="FQ12" s="169"/>
      <c r="FR12" s="169"/>
      <c r="FS12" s="169"/>
      <c r="FT12" s="169"/>
      <c r="FU12" s="169"/>
      <c r="FV12" s="169"/>
      <c r="FW12" s="169"/>
      <c r="FX12" s="169"/>
      <c r="FY12" s="169"/>
      <c r="FZ12" s="169"/>
      <c r="GA12" s="169"/>
      <c r="GB12" s="169"/>
      <c r="GC12" s="169"/>
      <c r="GD12" s="169"/>
      <c r="GE12" s="169"/>
      <c r="GF12" s="169"/>
      <c r="GG12" s="169"/>
      <c r="GH12" s="169"/>
      <c r="GI12" s="169"/>
      <c r="GJ12" s="169"/>
      <c r="GK12" s="169"/>
      <c r="GL12" s="169"/>
      <c r="GM12" s="169"/>
      <c r="GN12" s="169"/>
      <c r="GO12" s="169"/>
      <c r="GP12" s="169"/>
      <c r="GQ12" s="169"/>
      <c r="GR12" s="169"/>
      <c r="GS12" s="169"/>
      <c r="GT12" s="169"/>
      <c r="GU12" s="169"/>
      <c r="GV12" s="169"/>
      <c r="GW12" s="169"/>
      <c r="GX12" s="169"/>
      <c r="GY12" s="169"/>
      <c r="GZ12" s="169"/>
      <c r="HA12" s="169"/>
      <c r="HB12" s="169"/>
      <c r="HC12" s="169"/>
      <c r="HD12" s="169"/>
      <c r="HE12" s="169"/>
      <c r="HF12" s="169"/>
      <c r="HG12" s="169"/>
      <c r="HH12" s="169"/>
      <c r="HI12" s="169"/>
      <c r="HJ12" s="169"/>
      <c r="HK12" s="169"/>
      <c r="HL12" s="169"/>
      <c r="HM12" s="169"/>
      <c r="HN12" s="169"/>
      <c r="HO12" s="169"/>
      <c r="HP12" s="169"/>
      <c r="HQ12" s="169"/>
      <c r="HR12" s="169"/>
      <c r="HS12" s="169"/>
      <c r="HT12" s="169"/>
      <c r="HU12" s="169"/>
      <c r="HV12" s="169"/>
      <c r="HW12" s="169"/>
      <c r="HX12" s="169"/>
      <c r="HY12" s="169"/>
      <c r="HZ12" s="169"/>
      <c r="IA12" s="169"/>
      <c r="IB12" s="169"/>
      <c r="IC12" s="169"/>
      <c r="ID12" s="169"/>
      <c r="IE12" s="169"/>
      <c r="IF12" s="169"/>
      <c r="IG12" s="169"/>
      <c r="IH12" s="169"/>
      <c r="II12" s="169"/>
      <c r="IJ12" s="169"/>
      <c r="IK12" s="169"/>
      <c r="IL12" s="169"/>
      <c r="IM12" s="169"/>
      <c r="IN12" s="169"/>
      <c r="IO12" s="169"/>
      <c r="IP12" s="169"/>
      <c r="IQ12" s="169"/>
      <c r="IR12" s="169"/>
      <c r="IS12" s="169"/>
      <c r="IT12" s="169"/>
      <c r="IU12" s="169"/>
      <c r="IV12" s="169"/>
    </row>
    <row r="13" spans="1:256" ht="18.600000000000001" customHeight="1" x14ac:dyDescent="0.25">
      <c r="A13" s="602" t="s">
        <v>50</v>
      </c>
      <c r="B13" s="603"/>
      <c r="C13" s="603"/>
      <c r="D13" s="619" t="s">
        <v>7</v>
      </c>
      <c r="E13" s="2300">
        <f>+Hoja1!C8/1.18</f>
        <v>15151078.059322035</v>
      </c>
      <c r="F13" s="2300"/>
      <c r="G13" s="173"/>
      <c r="H13" s="173"/>
      <c r="I13" s="173"/>
      <c r="J13" s="173"/>
      <c r="K13" s="601"/>
      <c r="L13" s="480"/>
      <c r="M13" s="480"/>
      <c r="N13" s="169"/>
      <c r="O13" s="169"/>
      <c r="P13" s="169"/>
      <c r="Q13" s="169"/>
      <c r="R13" s="169"/>
      <c r="S13" s="169"/>
      <c r="T13" s="169"/>
      <c r="U13" s="169"/>
      <c r="V13" s="169"/>
      <c r="W13" s="169"/>
      <c r="X13" s="169"/>
      <c r="Y13" s="169"/>
      <c r="Z13" s="169"/>
      <c r="AA13" s="169"/>
      <c r="AB13" s="169"/>
      <c r="AC13" s="169"/>
      <c r="AD13" s="169"/>
      <c r="AE13" s="169"/>
      <c r="AF13" s="169"/>
      <c r="AG13" s="169"/>
      <c r="AH13" s="169"/>
      <c r="AI13" s="169"/>
      <c r="AJ13" s="169"/>
      <c r="AK13" s="169"/>
      <c r="AL13" s="169"/>
      <c r="AM13" s="169"/>
      <c r="AN13" s="169"/>
      <c r="AO13" s="169"/>
      <c r="AP13" s="169"/>
      <c r="AQ13" s="169"/>
      <c r="AR13" s="169"/>
      <c r="AS13" s="169"/>
      <c r="AT13" s="169"/>
      <c r="AU13" s="169"/>
      <c r="AV13" s="169"/>
      <c r="AW13" s="169"/>
      <c r="AX13" s="169"/>
      <c r="AY13" s="169"/>
      <c r="AZ13" s="169"/>
      <c r="BA13" s="169"/>
      <c r="BB13" s="169"/>
      <c r="BC13" s="169"/>
      <c r="BD13" s="169"/>
      <c r="BE13" s="169"/>
      <c r="BF13" s="169"/>
      <c r="BG13" s="169"/>
      <c r="BH13" s="169"/>
      <c r="BI13" s="169"/>
      <c r="BJ13" s="169"/>
      <c r="BK13" s="169"/>
      <c r="BL13" s="169"/>
      <c r="BM13" s="169"/>
      <c r="BN13" s="169"/>
      <c r="BO13" s="169"/>
      <c r="BP13" s="169"/>
      <c r="BQ13" s="169"/>
      <c r="BR13" s="169"/>
      <c r="BS13" s="169"/>
      <c r="BT13" s="169"/>
      <c r="BU13" s="169"/>
      <c r="BV13" s="169"/>
      <c r="BW13" s="169"/>
      <c r="BX13" s="169"/>
      <c r="BY13" s="169"/>
      <c r="BZ13" s="169"/>
      <c r="CA13" s="169"/>
      <c r="CB13" s="169"/>
      <c r="CC13" s="169"/>
      <c r="CD13" s="169"/>
      <c r="CE13" s="169"/>
      <c r="CF13" s="169"/>
      <c r="CG13" s="169"/>
      <c r="CH13" s="169"/>
      <c r="CI13" s="169"/>
      <c r="CJ13" s="169"/>
      <c r="CK13" s="169"/>
      <c r="CL13" s="169"/>
      <c r="CM13" s="169"/>
      <c r="CN13" s="169"/>
      <c r="CO13" s="169"/>
      <c r="CP13" s="169"/>
      <c r="CQ13" s="169"/>
      <c r="CR13" s="169"/>
      <c r="CS13" s="169"/>
      <c r="CT13" s="169"/>
      <c r="CU13" s="169"/>
      <c r="CV13" s="169"/>
      <c r="CW13" s="169"/>
      <c r="CX13" s="169"/>
      <c r="CY13" s="169"/>
      <c r="CZ13" s="169"/>
      <c r="DA13" s="169"/>
      <c r="DB13" s="169"/>
      <c r="DC13" s="169"/>
      <c r="DD13" s="169"/>
      <c r="DE13" s="169"/>
      <c r="DF13" s="169"/>
      <c r="DG13" s="169"/>
      <c r="DH13" s="169"/>
      <c r="DI13" s="169"/>
      <c r="DJ13" s="169"/>
      <c r="DK13" s="169"/>
      <c r="DL13" s="169"/>
      <c r="DM13" s="169"/>
      <c r="DN13" s="169"/>
      <c r="DO13" s="169"/>
      <c r="DP13" s="169"/>
      <c r="DQ13" s="169"/>
      <c r="DR13" s="169"/>
      <c r="DS13" s="169"/>
      <c r="DT13" s="169"/>
      <c r="DU13" s="169"/>
      <c r="DV13" s="169"/>
      <c r="DW13" s="169"/>
      <c r="DX13" s="169"/>
      <c r="DY13" s="169"/>
      <c r="DZ13" s="169"/>
      <c r="EA13" s="169"/>
      <c r="EB13" s="169"/>
      <c r="EC13" s="169"/>
      <c r="ED13" s="169"/>
      <c r="EE13" s="169"/>
      <c r="EF13" s="169"/>
      <c r="EG13" s="169"/>
      <c r="EH13" s="169"/>
      <c r="EI13" s="169"/>
      <c r="EJ13" s="169"/>
      <c r="EK13" s="169"/>
      <c r="EL13" s="169"/>
      <c r="EM13" s="169"/>
      <c r="EN13" s="169"/>
      <c r="EO13" s="169"/>
      <c r="EP13" s="169"/>
      <c r="EQ13" s="169"/>
      <c r="ER13" s="169"/>
      <c r="ES13" s="169"/>
      <c r="ET13" s="169"/>
      <c r="EU13" s="169"/>
      <c r="EV13" s="169"/>
      <c r="EW13" s="169"/>
      <c r="EX13" s="169"/>
      <c r="EY13" s="169"/>
      <c r="EZ13" s="169"/>
      <c r="FA13" s="169"/>
      <c r="FB13" s="169"/>
      <c r="FC13" s="169"/>
      <c r="FD13" s="169"/>
      <c r="FE13" s="169"/>
      <c r="FF13" s="169"/>
      <c r="FG13" s="169"/>
      <c r="FH13" s="169"/>
      <c r="FI13" s="169"/>
      <c r="FJ13" s="169"/>
      <c r="FK13" s="169"/>
      <c r="FL13" s="169"/>
      <c r="FM13" s="169"/>
      <c r="FN13" s="169"/>
      <c r="FO13" s="169"/>
      <c r="FP13" s="169"/>
      <c r="FQ13" s="169"/>
      <c r="FR13" s="169"/>
      <c r="FS13" s="169"/>
      <c r="FT13" s="169"/>
      <c r="FU13" s="169"/>
      <c r="FV13" s="169"/>
      <c r="FW13" s="169"/>
      <c r="FX13" s="169"/>
      <c r="FY13" s="169"/>
      <c r="FZ13" s="169"/>
      <c r="GA13" s="169"/>
      <c r="GB13" s="169"/>
      <c r="GC13" s="169"/>
      <c r="GD13" s="169"/>
      <c r="GE13" s="169"/>
      <c r="GF13" s="169"/>
      <c r="GG13" s="169"/>
      <c r="GH13" s="169"/>
      <c r="GI13" s="169"/>
      <c r="GJ13" s="169"/>
      <c r="GK13" s="169"/>
      <c r="GL13" s="169"/>
      <c r="GM13" s="169"/>
      <c r="GN13" s="169"/>
      <c r="GO13" s="169"/>
      <c r="GP13" s="169"/>
      <c r="GQ13" s="169"/>
      <c r="GR13" s="169"/>
      <c r="GS13" s="169"/>
      <c r="GT13" s="169"/>
      <c r="GU13" s="169"/>
      <c r="GV13" s="169"/>
      <c r="GW13" s="169"/>
      <c r="GX13" s="169"/>
      <c r="GY13" s="169"/>
      <c r="GZ13" s="169"/>
      <c r="HA13" s="169"/>
      <c r="HB13" s="169"/>
      <c r="HC13" s="169"/>
      <c r="HD13" s="169"/>
      <c r="HE13" s="169"/>
      <c r="HF13" s="169"/>
      <c r="HG13" s="169"/>
      <c r="HH13" s="169"/>
      <c r="HI13" s="169"/>
      <c r="HJ13" s="169"/>
      <c r="HK13" s="169"/>
      <c r="HL13" s="169"/>
      <c r="HM13" s="169"/>
      <c r="HN13" s="169"/>
      <c r="HO13" s="169"/>
      <c r="HP13" s="169"/>
      <c r="HQ13" s="169"/>
      <c r="HR13" s="169"/>
      <c r="HS13" s="169"/>
      <c r="HT13" s="169"/>
      <c r="HU13" s="169"/>
      <c r="HV13" s="169"/>
      <c r="HW13" s="169"/>
      <c r="HX13" s="169"/>
      <c r="HY13" s="169"/>
      <c r="HZ13" s="169"/>
      <c r="IA13" s="169"/>
      <c r="IB13" s="169"/>
      <c r="IC13" s="169"/>
      <c r="ID13" s="169"/>
      <c r="IE13" s="169"/>
      <c r="IF13" s="169"/>
      <c r="IG13" s="169"/>
      <c r="IH13" s="169"/>
      <c r="II13" s="169"/>
      <c r="IJ13" s="169"/>
      <c r="IK13" s="169"/>
      <c r="IL13" s="169"/>
      <c r="IM13" s="169"/>
      <c r="IN13" s="169"/>
      <c r="IO13" s="169"/>
      <c r="IP13" s="169"/>
      <c r="IQ13" s="169"/>
      <c r="IR13" s="169"/>
      <c r="IS13" s="169"/>
      <c r="IT13" s="169"/>
      <c r="IU13" s="169"/>
      <c r="IV13" s="169"/>
    </row>
    <row r="14" spans="1:256" x14ac:dyDescent="0.25">
      <c r="A14" s="602" t="s">
        <v>51</v>
      </c>
      <c r="B14" s="603"/>
      <c r="C14" s="603"/>
      <c r="D14" s="620" t="s">
        <v>7</v>
      </c>
      <c r="E14" s="2300">
        <f>+Hoja1!D15</f>
        <v>3030215.61</v>
      </c>
      <c r="F14" s="2300"/>
      <c r="G14" s="480"/>
      <c r="H14" s="173"/>
      <c r="I14" s="173"/>
      <c r="J14" s="173"/>
      <c r="K14" s="173"/>
      <c r="L14" s="173"/>
      <c r="M14" s="601"/>
      <c r="N14" s="169"/>
      <c r="O14" s="169"/>
      <c r="P14" s="169"/>
      <c r="Q14" s="169"/>
      <c r="R14" s="169"/>
      <c r="S14" s="169"/>
      <c r="T14" s="169"/>
      <c r="U14" s="169"/>
      <c r="V14" s="169"/>
      <c r="W14" s="169"/>
      <c r="X14" s="169"/>
      <c r="Y14" s="169"/>
      <c r="Z14" s="169"/>
      <c r="AA14" s="169"/>
      <c r="AB14" s="169"/>
      <c r="AC14" s="169"/>
      <c r="AD14" s="169"/>
      <c r="AE14" s="169"/>
      <c r="AF14" s="169"/>
      <c r="AG14" s="169"/>
      <c r="AH14" s="169"/>
      <c r="AI14" s="169"/>
      <c r="AJ14" s="169"/>
      <c r="AK14" s="169"/>
      <c r="AL14" s="169"/>
      <c r="AM14" s="169"/>
      <c r="AN14" s="169"/>
      <c r="AO14" s="169"/>
      <c r="AP14" s="169"/>
      <c r="AQ14" s="169"/>
      <c r="AR14" s="169"/>
      <c r="AS14" s="169"/>
      <c r="AT14" s="169"/>
      <c r="AU14" s="169"/>
      <c r="AV14" s="169"/>
      <c r="AW14" s="169"/>
      <c r="AX14" s="169"/>
      <c r="AY14" s="169"/>
      <c r="AZ14" s="169"/>
      <c r="BA14" s="169"/>
      <c r="BB14" s="169"/>
      <c r="BC14" s="169"/>
      <c r="BD14" s="169"/>
      <c r="BE14" s="169"/>
      <c r="BF14" s="169"/>
      <c r="BG14" s="169"/>
      <c r="BH14" s="169"/>
      <c r="BI14" s="169"/>
      <c r="BJ14" s="169"/>
      <c r="BK14" s="169"/>
      <c r="BL14" s="169"/>
      <c r="BM14" s="169"/>
      <c r="BN14" s="169"/>
      <c r="BO14" s="169"/>
      <c r="BP14" s="169"/>
      <c r="BQ14" s="169"/>
      <c r="BR14" s="169"/>
      <c r="BS14" s="169"/>
      <c r="BT14" s="169"/>
      <c r="BU14" s="169"/>
      <c r="BV14" s="169"/>
      <c r="BW14" s="169"/>
      <c r="BX14" s="169"/>
      <c r="BY14" s="169"/>
      <c r="BZ14" s="169"/>
      <c r="CA14" s="169"/>
      <c r="CB14" s="169"/>
      <c r="CC14" s="169"/>
      <c r="CD14" s="169"/>
      <c r="CE14" s="169"/>
      <c r="CF14" s="169"/>
      <c r="CG14" s="169"/>
      <c r="CH14" s="169"/>
      <c r="CI14" s="169"/>
      <c r="CJ14" s="169"/>
      <c r="CK14" s="169"/>
      <c r="CL14" s="169"/>
      <c r="CM14" s="169"/>
      <c r="CN14" s="169"/>
      <c r="CO14" s="169"/>
      <c r="CP14" s="169"/>
      <c r="CQ14" s="169"/>
      <c r="CR14" s="169"/>
      <c r="CS14" s="169"/>
      <c r="CT14" s="169"/>
      <c r="CU14" s="169"/>
      <c r="CV14" s="169"/>
      <c r="CW14" s="169"/>
      <c r="CX14" s="169"/>
      <c r="CY14" s="169"/>
      <c r="CZ14" s="169"/>
      <c r="DA14" s="169"/>
      <c r="DB14" s="169"/>
      <c r="DC14" s="169"/>
      <c r="DD14" s="169"/>
      <c r="DE14" s="169"/>
      <c r="DF14" s="169"/>
      <c r="DG14" s="169"/>
      <c r="DH14" s="169"/>
      <c r="DI14" s="169"/>
      <c r="DJ14" s="169"/>
      <c r="DK14" s="169"/>
      <c r="DL14" s="169"/>
      <c r="DM14" s="169"/>
      <c r="DN14" s="169"/>
      <c r="DO14" s="169"/>
      <c r="DP14" s="169"/>
      <c r="DQ14" s="169"/>
      <c r="DR14" s="169"/>
      <c r="DS14" s="169"/>
      <c r="DT14" s="169"/>
      <c r="DU14" s="169"/>
      <c r="DV14" s="169"/>
      <c r="DW14" s="169"/>
      <c r="DX14" s="169"/>
      <c r="DY14" s="169"/>
      <c r="DZ14" s="169"/>
      <c r="EA14" s="169"/>
      <c r="EB14" s="169"/>
      <c r="EC14" s="169"/>
      <c r="ED14" s="169"/>
      <c r="EE14" s="169"/>
      <c r="EF14" s="169"/>
      <c r="EG14" s="169"/>
      <c r="EH14" s="169"/>
      <c r="EI14" s="169"/>
      <c r="EJ14" s="169"/>
      <c r="EK14" s="169"/>
      <c r="EL14" s="169"/>
      <c r="EM14" s="169"/>
      <c r="EN14" s="169"/>
      <c r="EO14" s="169"/>
      <c r="EP14" s="169"/>
      <c r="EQ14" s="169"/>
      <c r="ER14" s="169"/>
      <c r="ES14" s="169"/>
      <c r="ET14" s="169"/>
      <c r="EU14" s="169"/>
      <c r="EV14" s="169"/>
      <c r="EW14" s="169"/>
      <c r="EX14" s="169"/>
      <c r="EY14" s="169"/>
      <c r="EZ14" s="169"/>
      <c r="FA14" s="169"/>
      <c r="FB14" s="169"/>
      <c r="FC14" s="169"/>
      <c r="FD14" s="169"/>
      <c r="FE14" s="169"/>
      <c r="FF14" s="169"/>
      <c r="FG14" s="169"/>
      <c r="FH14" s="169"/>
      <c r="FI14" s="169"/>
      <c r="FJ14" s="169"/>
      <c r="FK14" s="169"/>
      <c r="FL14" s="169"/>
      <c r="FM14" s="169"/>
      <c r="FN14" s="169"/>
      <c r="FO14" s="169"/>
      <c r="FP14" s="169"/>
      <c r="FQ14" s="169"/>
      <c r="FR14" s="169"/>
      <c r="FS14" s="169"/>
      <c r="FT14" s="169"/>
      <c r="FU14" s="169"/>
      <c r="FV14" s="169"/>
      <c r="FW14" s="169"/>
      <c r="FX14" s="169"/>
      <c r="FY14" s="169"/>
      <c r="FZ14" s="169"/>
      <c r="GA14" s="169"/>
      <c r="GB14" s="169"/>
      <c r="GC14" s="169"/>
      <c r="GD14" s="169"/>
      <c r="GE14" s="169"/>
      <c r="GF14" s="169"/>
      <c r="GG14" s="169"/>
      <c r="GH14" s="169"/>
      <c r="GI14" s="169"/>
      <c r="GJ14" s="169"/>
      <c r="GK14" s="169"/>
      <c r="GL14" s="169"/>
      <c r="GM14" s="169"/>
      <c r="GN14" s="169"/>
      <c r="GO14" s="169"/>
      <c r="GP14" s="169"/>
      <c r="GQ14" s="169"/>
      <c r="GR14" s="169"/>
      <c r="GS14" s="169"/>
      <c r="GT14" s="169"/>
      <c r="GU14" s="169"/>
      <c r="GV14" s="169"/>
      <c r="GW14" s="169"/>
      <c r="GX14" s="169"/>
      <c r="GY14" s="169"/>
      <c r="GZ14" s="169"/>
      <c r="HA14" s="169"/>
      <c r="HB14" s="169"/>
      <c r="HC14" s="169"/>
      <c r="HD14" s="169"/>
      <c r="HE14" s="169"/>
      <c r="HF14" s="169"/>
      <c r="HG14" s="169"/>
      <c r="HH14" s="169"/>
      <c r="HI14" s="169"/>
      <c r="HJ14" s="169"/>
      <c r="HK14" s="169"/>
      <c r="HL14" s="169"/>
      <c r="HM14" s="169"/>
      <c r="HN14" s="169"/>
      <c r="HO14" s="169"/>
      <c r="HP14" s="169"/>
      <c r="HQ14" s="169"/>
      <c r="HR14" s="169"/>
      <c r="HS14" s="169"/>
      <c r="HT14" s="169"/>
      <c r="HU14" s="169"/>
      <c r="HV14" s="169"/>
      <c r="HW14" s="169"/>
      <c r="HX14" s="169"/>
      <c r="HY14" s="169"/>
      <c r="HZ14" s="169"/>
      <c r="IA14" s="169"/>
      <c r="IB14" s="169"/>
      <c r="IC14" s="169"/>
      <c r="ID14" s="169"/>
      <c r="IE14" s="169"/>
      <c r="IF14" s="169"/>
      <c r="IG14" s="169"/>
      <c r="IH14" s="169"/>
      <c r="II14" s="169"/>
      <c r="IJ14" s="169"/>
      <c r="IK14" s="169"/>
      <c r="IL14" s="169"/>
      <c r="IM14" s="169"/>
      <c r="IN14" s="169"/>
      <c r="IO14" s="169"/>
      <c r="IP14" s="169"/>
      <c r="IQ14" s="169"/>
      <c r="IR14" s="169"/>
      <c r="IS14" s="169"/>
      <c r="IT14" s="169"/>
      <c r="IU14" s="169"/>
      <c r="IV14" s="169"/>
    </row>
    <row r="15" spans="1:256" ht="15" x14ac:dyDescent="0.25">
      <c r="A15" s="170" t="s">
        <v>304</v>
      </c>
      <c r="B15" s="604"/>
      <c r="C15" s="604"/>
      <c r="D15" s="618" t="s">
        <v>7</v>
      </c>
      <c r="E15" s="172"/>
      <c r="F15" s="170"/>
      <c r="G15" s="173"/>
      <c r="H15" s="173"/>
      <c r="I15" s="173"/>
      <c r="J15" s="173"/>
      <c r="K15" s="173"/>
      <c r="L15" s="175" t="s">
        <v>302</v>
      </c>
      <c r="M15" s="479"/>
      <c r="N15" s="169"/>
      <c r="O15" s="169"/>
      <c r="P15" s="169"/>
      <c r="Q15" s="169"/>
      <c r="R15" s="169"/>
      <c r="S15" s="169"/>
      <c r="T15" s="169"/>
      <c r="U15" s="169"/>
      <c r="V15" s="169"/>
      <c r="W15" s="169"/>
      <c r="X15" s="169"/>
      <c r="Y15" s="169"/>
      <c r="Z15" s="169"/>
      <c r="AA15" s="169"/>
      <c r="AB15" s="169"/>
      <c r="AC15" s="169"/>
      <c r="AD15" s="169"/>
      <c r="AE15" s="169"/>
      <c r="AF15" s="169"/>
      <c r="AG15" s="169"/>
      <c r="AH15" s="169"/>
      <c r="AI15" s="169"/>
      <c r="AJ15" s="169"/>
      <c r="AK15" s="169"/>
      <c r="AL15" s="169"/>
      <c r="AM15" s="169"/>
      <c r="AN15" s="169"/>
      <c r="AO15" s="169"/>
      <c r="AP15" s="169"/>
      <c r="AQ15" s="169"/>
      <c r="AR15" s="169"/>
      <c r="AS15" s="169"/>
      <c r="AT15" s="169"/>
      <c r="AU15" s="169"/>
      <c r="AV15" s="169"/>
      <c r="AW15" s="169"/>
      <c r="AX15" s="169"/>
      <c r="AY15" s="169"/>
      <c r="AZ15" s="169"/>
      <c r="BA15" s="169"/>
      <c r="BB15" s="169"/>
      <c r="BC15" s="169"/>
      <c r="BD15" s="169"/>
      <c r="BE15" s="169"/>
      <c r="BF15" s="169"/>
      <c r="BG15" s="169"/>
      <c r="BH15" s="169"/>
      <c r="BI15" s="169"/>
      <c r="BJ15" s="169"/>
      <c r="BK15" s="169"/>
      <c r="BL15" s="169"/>
      <c r="BM15" s="169"/>
      <c r="BN15" s="169"/>
      <c r="BO15" s="169"/>
      <c r="BP15" s="169"/>
      <c r="BQ15" s="169"/>
      <c r="BR15" s="169"/>
      <c r="BS15" s="169"/>
      <c r="BT15" s="169"/>
      <c r="BU15" s="169"/>
      <c r="BV15" s="169"/>
      <c r="BW15" s="169"/>
      <c r="BX15" s="169"/>
      <c r="BY15" s="169"/>
      <c r="BZ15" s="169"/>
      <c r="CA15" s="169"/>
      <c r="CB15" s="169"/>
      <c r="CC15" s="169"/>
      <c r="CD15" s="169"/>
      <c r="CE15" s="169"/>
      <c r="CF15" s="169"/>
      <c r="CG15" s="169"/>
      <c r="CH15" s="169"/>
      <c r="CI15" s="169"/>
      <c r="CJ15" s="169"/>
      <c r="CK15" s="169"/>
      <c r="CL15" s="169"/>
      <c r="CM15" s="169"/>
      <c r="CN15" s="169"/>
      <c r="CO15" s="169"/>
      <c r="CP15" s="169"/>
      <c r="CQ15" s="169"/>
      <c r="CR15" s="169"/>
      <c r="CS15" s="169"/>
      <c r="CT15" s="169"/>
      <c r="CU15" s="169"/>
      <c r="CV15" s="169"/>
      <c r="CW15" s="169"/>
      <c r="CX15" s="169"/>
      <c r="CY15" s="169"/>
      <c r="CZ15" s="169"/>
      <c r="DA15" s="169"/>
      <c r="DB15" s="169"/>
      <c r="DC15" s="169"/>
      <c r="DD15" s="169"/>
      <c r="DE15" s="169"/>
      <c r="DF15" s="169"/>
      <c r="DG15" s="169"/>
      <c r="DH15" s="169"/>
      <c r="DI15" s="169"/>
      <c r="DJ15" s="169"/>
      <c r="DK15" s="169"/>
      <c r="DL15" s="169"/>
      <c r="DM15" s="169"/>
      <c r="DN15" s="169"/>
      <c r="DO15" s="169"/>
      <c r="DP15" s="169"/>
      <c r="DQ15" s="169"/>
      <c r="DR15" s="169"/>
      <c r="DS15" s="169"/>
      <c r="DT15" s="169"/>
      <c r="DU15" s="169"/>
      <c r="DV15" s="169"/>
      <c r="DW15" s="169"/>
      <c r="DX15" s="169"/>
      <c r="DY15" s="169"/>
      <c r="DZ15" s="169"/>
      <c r="EA15" s="169"/>
      <c r="EB15" s="169"/>
      <c r="EC15" s="169"/>
      <c r="ED15" s="169"/>
      <c r="EE15" s="169"/>
      <c r="EF15" s="169"/>
      <c r="EG15" s="169"/>
      <c r="EH15" s="169"/>
      <c r="EI15" s="169"/>
      <c r="EJ15" s="169"/>
      <c r="EK15" s="169"/>
      <c r="EL15" s="169"/>
      <c r="EM15" s="169"/>
      <c r="EN15" s="169"/>
      <c r="EO15" s="169"/>
      <c r="EP15" s="169"/>
      <c r="EQ15" s="169"/>
      <c r="ER15" s="169"/>
      <c r="ES15" s="169"/>
      <c r="ET15" s="169"/>
      <c r="EU15" s="169"/>
      <c r="EV15" s="169"/>
      <c r="EW15" s="169"/>
      <c r="EX15" s="169"/>
      <c r="EY15" s="169"/>
      <c r="EZ15" s="169"/>
      <c r="FA15" s="169"/>
      <c r="FB15" s="169"/>
      <c r="FC15" s="169"/>
      <c r="FD15" s="169"/>
      <c r="FE15" s="169"/>
      <c r="FF15" s="169"/>
      <c r="FG15" s="169"/>
      <c r="FH15" s="169"/>
      <c r="FI15" s="169"/>
      <c r="FJ15" s="169"/>
      <c r="FK15" s="169"/>
      <c r="FL15" s="169"/>
      <c r="FM15" s="169"/>
      <c r="FN15" s="169"/>
      <c r="FO15" s="169"/>
      <c r="FP15" s="169"/>
      <c r="FQ15" s="169"/>
      <c r="FR15" s="169"/>
      <c r="FS15" s="169"/>
      <c r="FT15" s="169"/>
      <c r="FU15" s="169"/>
      <c r="FV15" s="169"/>
      <c r="FW15" s="169"/>
      <c r="FX15" s="169"/>
      <c r="FY15" s="169"/>
      <c r="FZ15" s="169"/>
      <c r="GA15" s="169"/>
      <c r="GB15" s="169"/>
      <c r="GC15" s="169"/>
      <c r="GD15" s="169"/>
      <c r="GE15" s="169"/>
      <c r="GF15" s="169"/>
      <c r="GG15" s="169"/>
      <c r="GH15" s="169"/>
      <c r="GI15" s="169"/>
      <c r="GJ15" s="169"/>
      <c r="GK15" s="169"/>
      <c r="GL15" s="169"/>
      <c r="GM15" s="169"/>
      <c r="GN15" s="169"/>
      <c r="GO15" s="169"/>
      <c r="GP15" s="169"/>
      <c r="GQ15" s="169"/>
      <c r="GR15" s="169"/>
      <c r="GS15" s="169"/>
      <c r="GT15" s="169"/>
      <c r="GU15" s="169"/>
      <c r="GV15" s="169"/>
      <c r="GW15" s="169"/>
      <c r="GX15" s="169"/>
      <c r="GY15" s="169"/>
      <c r="GZ15" s="169"/>
      <c r="HA15" s="169"/>
      <c r="HB15" s="169"/>
      <c r="HC15" s="169"/>
      <c r="HD15" s="169"/>
      <c r="HE15" s="169"/>
      <c r="HF15" s="169"/>
      <c r="HG15" s="169"/>
      <c r="HH15" s="169"/>
      <c r="HI15" s="169"/>
      <c r="HJ15" s="169"/>
      <c r="HK15" s="169"/>
      <c r="HL15" s="169"/>
      <c r="HM15" s="169"/>
      <c r="HN15" s="169"/>
      <c r="HO15" s="169"/>
      <c r="HP15" s="169"/>
      <c r="HQ15" s="169"/>
      <c r="HR15" s="169"/>
      <c r="HS15" s="169"/>
      <c r="HT15" s="169"/>
      <c r="HU15" s="169"/>
      <c r="HV15" s="169"/>
      <c r="HW15" s="169"/>
      <c r="HX15" s="169"/>
      <c r="HY15" s="169"/>
      <c r="HZ15" s="169"/>
      <c r="IA15" s="169"/>
      <c r="IB15" s="169"/>
      <c r="IC15" s="169"/>
      <c r="ID15" s="169"/>
      <c r="IE15" s="169"/>
      <c r="IF15" s="169"/>
      <c r="IG15" s="169"/>
      <c r="IH15" s="169"/>
      <c r="II15" s="169"/>
      <c r="IJ15" s="169"/>
      <c r="IK15" s="169"/>
      <c r="IL15" s="169"/>
      <c r="IM15" s="169"/>
      <c r="IN15" s="169"/>
      <c r="IO15" s="169"/>
      <c r="IP15" s="169"/>
      <c r="IQ15" s="169"/>
      <c r="IR15" s="169"/>
      <c r="IS15" s="169"/>
      <c r="IT15" s="169"/>
      <c r="IU15" s="169"/>
      <c r="IV15" s="169"/>
    </row>
    <row r="16" spans="1:256" ht="15.6" thickBot="1" x14ac:dyDescent="0.3">
      <c r="A16" s="170"/>
      <c r="B16" s="604"/>
      <c r="C16" s="604"/>
      <c r="D16" s="618"/>
      <c r="E16" s="172"/>
      <c r="F16" s="170"/>
      <c r="G16" s="173"/>
      <c r="H16" s="173"/>
      <c r="I16" s="173"/>
      <c r="J16" s="173"/>
      <c r="K16" s="173"/>
      <c r="L16" s="175"/>
      <c r="M16" s="479"/>
      <c r="N16" s="169"/>
      <c r="O16" s="169"/>
      <c r="P16" s="169"/>
      <c r="Q16" s="169"/>
      <c r="R16" s="169"/>
      <c r="S16" s="169"/>
      <c r="T16" s="169"/>
      <c r="U16" s="169"/>
      <c r="V16" s="169"/>
      <c r="W16" s="169"/>
      <c r="X16" s="169"/>
      <c r="Y16" s="169"/>
      <c r="Z16" s="169"/>
      <c r="AA16" s="169"/>
      <c r="AB16" s="169"/>
      <c r="AC16" s="169"/>
      <c r="AD16" s="169"/>
      <c r="AE16" s="169"/>
      <c r="AF16" s="169"/>
      <c r="AG16" s="169"/>
      <c r="AH16" s="169"/>
      <c r="AI16" s="169"/>
      <c r="AJ16" s="169"/>
      <c r="AK16" s="169"/>
      <c r="AL16" s="169"/>
      <c r="AM16" s="169"/>
      <c r="AN16" s="169"/>
      <c r="AO16" s="169"/>
      <c r="AP16" s="169"/>
      <c r="AQ16" s="169"/>
      <c r="AR16" s="169"/>
      <c r="AS16" s="169"/>
      <c r="AT16" s="169"/>
      <c r="AU16" s="169"/>
      <c r="AV16" s="169"/>
      <c r="AW16" s="169"/>
      <c r="AX16" s="169"/>
      <c r="AY16" s="169"/>
      <c r="AZ16" s="169"/>
      <c r="BA16" s="169"/>
      <c r="BB16" s="169"/>
      <c r="BC16" s="169"/>
      <c r="BD16" s="169"/>
      <c r="BE16" s="169"/>
      <c r="BF16" s="169"/>
      <c r="BG16" s="169"/>
      <c r="BH16" s="169"/>
      <c r="BI16" s="169"/>
      <c r="BJ16" s="169"/>
      <c r="BK16" s="169"/>
      <c r="BL16" s="169"/>
      <c r="BM16" s="169"/>
      <c r="BN16" s="169"/>
      <c r="BO16" s="169"/>
      <c r="BP16" s="169"/>
      <c r="BQ16" s="169"/>
      <c r="BR16" s="169"/>
      <c r="BS16" s="169"/>
      <c r="BT16" s="169"/>
      <c r="BU16" s="169"/>
      <c r="BV16" s="169"/>
      <c r="BW16" s="169"/>
      <c r="BX16" s="169"/>
      <c r="BY16" s="169"/>
      <c r="BZ16" s="169"/>
      <c r="CA16" s="169"/>
      <c r="CB16" s="169"/>
      <c r="CC16" s="169"/>
      <c r="CD16" s="169"/>
      <c r="CE16" s="169"/>
      <c r="CF16" s="169"/>
      <c r="CG16" s="169"/>
      <c r="CH16" s="169"/>
      <c r="CI16" s="169"/>
      <c r="CJ16" s="169"/>
      <c r="CK16" s="169"/>
      <c r="CL16" s="169"/>
      <c r="CM16" s="169"/>
      <c r="CN16" s="169"/>
      <c r="CO16" s="169"/>
      <c r="CP16" s="169"/>
      <c r="CQ16" s="169"/>
      <c r="CR16" s="169"/>
      <c r="CS16" s="169"/>
      <c r="CT16" s="169"/>
      <c r="CU16" s="169"/>
      <c r="CV16" s="169"/>
      <c r="CW16" s="169"/>
      <c r="CX16" s="169"/>
      <c r="CY16" s="169"/>
      <c r="CZ16" s="169"/>
      <c r="DA16" s="169"/>
      <c r="DB16" s="169"/>
      <c r="DC16" s="169"/>
      <c r="DD16" s="169"/>
      <c r="DE16" s="169"/>
      <c r="DF16" s="169"/>
      <c r="DG16" s="169"/>
      <c r="DH16" s="169"/>
      <c r="DI16" s="169"/>
      <c r="DJ16" s="169"/>
      <c r="DK16" s="169"/>
      <c r="DL16" s="169"/>
      <c r="DM16" s="169"/>
      <c r="DN16" s="169"/>
      <c r="DO16" s="169"/>
      <c r="DP16" s="169"/>
      <c r="DQ16" s="169"/>
      <c r="DR16" s="169"/>
      <c r="DS16" s="169"/>
      <c r="DT16" s="169"/>
      <c r="DU16" s="169"/>
      <c r="DV16" s="169"/>
      <c r="DW16" s="169"/>
      <c r="DX16" s="169"/>
      <c r="DY16" s="169"/>
      <c r="DZ16" s="169"/>
      <c r="EA16" s="169"/>
      <c r="EB16" s="169"/>
      <c r="EC16" s="169"/>
      <c r="ED16" s="169"/>
      <c r="EE16" s="169"/>
      <c r="EF16" s="169"/>
      <c r="EG16" s="169"/>
      <c r="EH16" s="169"/>
      <c r="EI16" s="169"/>
      <c r="EJ16" s="169"/>
      <c r="EK16" s="169"/>
      <c r="EL16" s="169"/>
      <c r="EM16" s="169"/>
      <c r="EN16" s="169"/>
      <c r="EO16" s="169"/>
      <c r="EP16" s="169"/>
      <c r="EQ16" s="169"/>
      <c r="ER16" s="169"/>
      <c r="ES16" s="169"/>
      <c r="ET16" s="169"/>
      <c r="EU16" s="169"/>
      <c r="EV16" s="169"/>
      <c r="EW16" s="169"/>
      <c r="EX16" s="169"/>
      <c r="EY16" s="169"/>
      <c r="EZ16" s="169"/>
      <c r="FA16" s="169"/>
      <c r="FB16" s="169"/>
      <c r="FC16" s="169"/>
      <c r="FD16" s="169"/>
      <c r="FE16" s="169"/>
      <c r="FF16" s="169"/>
      <c r="FG16" s="169"/>
      <c r="FH16" s="169"/>
      <c r="FI16" s="169"/>
      <c r="FJ16" s="169"/>
      <c r="FK16" s="169"/>
      <c r="FL16" s="169"/>
      <c r="FM16" s="169"/>
      <c r="FN16" s="169"/>
      <c r="FO16" s="169"/>
      <c r="FP16" s="169"/>
      <c r="FQ16" s="169"/>
      <c r="FR16" s="169"/>
      <c r="FS16" s="169"/>
      <c r="FT16" s="169"/>
      <c r="FU16" s="169"/>
      <c r="FV16" s="169"/>
      <c r="FW16" s="169"/>
      <c r="FX16" s="169"/>
      <c r="FY16" s="169"/>
      <c r="FZ16" s="169"/>
      <c r="GA16" s="169"/>
      <c r="GB16" s="169"/>
      <c r="GC16" s="169"/>
      <c r="GD16" s="169"/>
      <c r="GE16" s="169"/>
      <c r="GF16" s="169"/>
      <c r="GG16" s="169"/>
      <c r="GH16" s="169"/>
      <c r="GI16" s="169"/>
      <c r="GJ16" s="169"/>
      <c r="GK16" s="169"/>
      <c r="GL16" s="169"/>
      <c r="GM16" s="169"/>
      <c r="GN16" s="169"/>
      <c r="GO16" s="169"/>
      <c r="GP16" s="169"/>
      <c r="GQ16" s="169"/>
      <c r="GR16" s="169"/>
      <c r="GS16" s="169"/>
      <c r="GT16" s="169"/>
      <c r="GU16" s="169"/>
      <c r="GV16" s="169"/>
      <c r="GW16" s="169"/>
      <c r="GX16" s="169"/>
      <c r="GY16" s="169"/>
      <c r="GZ16" s="169"/>
      <c r="HA16" s="169"/>
      <c r="HB16" s="169"/>
      <c r="HC16" s="169"/>
      <c r="HD16" s="169"/>
      <c r="HE16" s="169"/>
      <c r="HF16" s="169"/>
      <c r="HG16" s="169"/>
      <c r="HH16" s="169"/>
      <c r="HI16" s="169"/>
      <c r="HJ16" s="169"/>
      <c r="HK16" s="169"/>
      <c r="HL16" s="169"/>
      <c r="HM16" s="169"/>
      <c r="HN16" s="169"/>
      <c r="HO16" s="169"/>
      <c r="HP16" s="169"/>
      <c r="HQ16" s="169"/>
      <c r="HR16" s="169"/>
      <c r="HS16" s="169"/>
      <c r="HT16" s="169"/>
      <c r="HU16" s="169"/>
      <c r="HV16" s="169"/>
      <c r="HW16" s="169"/>
      <c r="HX16" s="169"/>
      <c r="HY16" s="169"/>
      <c r="HZ16" s="169"/>
      <c r="IA16" s="169"/>
      <c r="IB16" s="169"/>
      <c r="IC16" s="169"/>
      <c r="ID16" s="169"/>
      <c r="IE16" s="169"/>
      <c r="IF16" s="169"/>
      <c r="IG16" s="169"/>
      <c r="IH16" s="169"/>
      <c r="II16" s="169"/>
      <c r="IJ16" s="169"/>
      <c r="IK16" s="169"/>
      <c r="IL16" s="169"/>
      <c r="IM16" s="169"/>
      <c r="IN16" s="169"/>
      <c r="IO16" s="169"/>
      <c r="IP16" s="169"/>
      <c r="IQ16" s="169"/>
      <c r="IR16" s="169"/>
      <c r="IS16" s="169"/>
      <c r="IT16" s="169"/>
      <c r="IU16" s="169"/>
      <c r="IV16" s="169"/>
    </row>
    <row r="17" spans="1:256" x14ac:dyDescent="0.25">
      <c r="A17" s="2295" t="s">
        <v>21</v>
      </c>
      <c r="B17" s="2278"/>
      <c r="C17" s="2296"/>
      <c r="D17" s="2297" t="s">
        <v>52</v>
      </c>
      <c r="E17" s="2296"/>
      <c r="F17" s="2297" t="s">
        <v>53</v>
      </c>
      <c r="G17" s="2296"/>
      <c r="H17" s="2297" t="s">
        <v>54</v>
      </c>
      <c r="I17" s="2278"/>
      <c r="J17" s="2296"/>
      <c r="K17" s="1313" t="s">
        <v>40</v>
      </c>
      <c r="L17" s="331" t="s">
        <v>40</v>
      </c>
      <c r="M17" s="1276" t="s">
        <v>42</v>
      </c>
      <c r="N17" s="169"/>
      <c r="O17" s="169"/>
      <c r="P17" s="169"/>
      <c r="Q17" s="169"/>
      <c r="R17" s="169"/>
      <c r="S17" s="169"/>
      <c r="T17" s="169"/>
      <c r="U17" s="169"/>
      <c r="V17" s="169"/>
      <c r="W17" s="169"/>
      <c r="X17" s="169"/>
      <c r="Y17" s="169"/>
      <c r="Z17" s="169"/>
      <c r="AA17" s="169"/>
      <c r="AB17" s="169"/>
      <c r="AC17" s="169"/>
      <c r="AD17" s="169"/>
      <c r="AE17" s="169"/>
      <c r="AF17" s="169"/>
      <c r="AG17" s="169"/>
      <c r="AH17" s="169"/>
      <c r="AI17" s="169"/>
      <c r="AJ17" s="169"/>
      <c r="AK17" s="169"/>
      <c r="AL17" s="169"/>
      <c r="AM17" s="169"/>
      <c r="AN17" s="169"/>
      <c r="AO17" s="169"/>
      <c r="AP17" s="169"/>
      <c r="AQ17" s="169"/>
      <c r="AR17" s="169"/>
      <c r="AS17" s="169"/>
      <c r="AT17" s="169"/>
      <c r="AU17" s="169"/>
      <c r="AV17" s="169"/>
      <c r="AW17" s="169"/>
      <c r="AX17" s="169"/>
      <c r="AY17" s="169"/>
      <c r="AZ17" s="169"/>
      <c r="BA17" s="169"/>
      <c r="BB17" s="169"/>
      <c r="BC17" s="169"/>
      <c r="BD17" s="169"/>
      <c r="BE17" s="169"/>
      <c r="BF17" s="169"/>
      <c r="BG17" s="169"/>
      <c r="BH17" s="169"/>
      <c r="BI17" s="169"/>
      <c r="BJ17" s="169"/>
      <c r="BK17" s="169"/>
      <c r="BL17" s="169"/>
      <c r="BM17" s="169"/>
      <c r="BN17" s="169"/>
      <c r="BO17" s="169"/>
      <c r="BP17" s="169"/>
      <c r="BQ17" s="169"/>
      <c r="BR17" s="169"/>
      <c r="BS17" s="169"/>
      <c r="BT17" s="169"/>
      <c r="BU17" s="169"/>
      <c r="BV17" s="169"/>
      <c r="BW17" s="169"/>
      <c r="BX17" s="169"/>
      <c r="BY17" s="169"/>
      <c r="BZ17" s="169"/>
      <c r="CA17" s="169"/>
      <c r="CB17" s="169"/>
      <c r="CC17" s="169"/>
      <c r="CD17" s="169"/>
      <c r="CE17" s="169"/>
      <c r="CF17" s="169"/>
      <c r="CG17" s="169"/>
      <c r="CH17" s="169"/>
      <c r="CI17" s="169"/>
      <c r="CJ17" s="169"/>
      <c r="CK17" s="169"/>
      <c r="CL17" s="169"/>
      <c r="CM17" s="169"/>
      <c r="CN17" s="169"/>
      <c r="CO17" s="169"/>
      <c r="CP17" s="169"/>
      <c r="CQ17" s="169"/>
      <c r="CR17" s="169"/>
      <c r="CS17" s="169"/>
      <c r="CT17" s="169"/>
      <c r="CU17" s="169"/>
      <c r="CV17" s="169"/>
      <c r="CW17" s="169"/>
      <c r="CX17" s="169"/>
      <c r="CY17" s="169"/>
      <c r="CZ17" s="169"/>
      <c r="DA17" s="169"/>
      <c r="DB17" s="169"/>
      <c r="DC17" s="169"/>
      <c r="DD17" s="169"/>
      <c r="DE17" s="169"/>
      <c r="DF17" s="169"/>
      <c r="DG17" s="169"/>
      <c r="DH17" s="169"/>
      <c r="DI17" s="169"/>
      <c r="DJ17" s="169"/>
      <c r="DK17" s="169"/>
      <c r="DL17" s="169"/>
      <c r="DM17" s="169"/>
      <c r="DN17" s="169"/>
      <c r="DO17" s="169"/>
      <c r="DP17" s="169"/>
      <c r="DQ17" s="169"/>
      <c r="DR17" s="169"/>
      <c r="DS17" s="169"/>
      <c r="DT17" s="169"/>
      <c r="DU17" s="169"/>
      <c r="DV17" s="169"/>
      <c r="DW17" s="169"/>
      <c r="DX17" s="169"/>
      <c r="DY17" s="169"/>
      <c r="DZ17" s="169"/>
      <c r="EA17" s="169"/>
      <c r="EB17" s="169"/>
      <c r="EC17" s="169"/>
      <c r="ED17" s="169"/>
      <c r="EE17" s="169"/>
      <c r="EF17" s="169"/>
      <c r="EG17" s="169"/>
      <c r="EH17" s="169"/>
      <c r="EI17" s="169"/>
      <c r="EJ17" s="169"/>
      <c r="EK17" s="169"/>
      <c r="EL17" s="169"/>
      <c r="EM17" s="169"/>
      <c r="EN17" s="169"/>
      <c r="EO17" s="169"/>
      <c r="EP17" s="169"/>
      <c r="EQ17" s="169"/>
      <c r="ER17" s="169"/>
      <c r="ES17" s="169"/>
      <c r="ET17" s="169"/>
      <c r="EU17" s="169"/>
      <c r="EV17" s="169"/>
      <c r="EW17" s="169"/>
      <c r="EX17" s="169"/>
      <c r="EY17" s="169"/>
      <c r="EZ17" s="169"/>
      <c r="FA17" s="169"/>
      <c r="FB17" s="169"/>
      <c r="FC17" s="169"/>
      <c r="FD17" s="169"/>
      <c r="FE17" s="169"/>
      <c r="FF17" s="169"/>
      <c r="FG17" s="169"/>
      <c r="FH17" s="169"/>
      <c r="FI17" s="169"/>
      <c r="FJ17" s="169"/>
      <c r="FK17" s="169"/>
      <c r="FL17" s="169"/>
      <c r="FM17" s="169"/>
      <c r="FN17" s="169"/>
      <c r="FO17" s="169"/>
      <c r="FP17" s="169"/>
      <c r="FQ17" s="169"/>
      <c r="FR17" s="169"/>
      <c r="FS17" s="169"/>
      <c r="FT17" s="169"/>
      <c r="FU17" s="169"/>
      <c r="FV17" s="169"/>
      <c r="FW17" s="169"/>
      <c r="FX17" s="169"/>
      <c r="FY17" s="169"/>
      <c r="FZ17" s="169"/>
      <c r="GA17" s="169"/>
      <c r="GB17" s="169"/>
      <c r="GC17" s="169"/>
      <c r="GD17" s="169"/>
      <c r="GE17" s="169"/>
      <c r="GF17" s="169"/>
      <c r="GG17" s="169"/>
      <c r="GH17" s="169"/>
      <c r="GI17" s="169"/>
      <c r="GJ17" s="169"/>
      <c r="GK17" s="169"/>
      <c r="GL17" s="169"/>
      <c r="GM17" s="169"/>
      <c r="GN17" s="169"/>
      <c r="GO17" s="169"/>
      <c r="GP17" s="169"/>
      <c r="GQ17" s="169"/>
      <c r="GR17" s="169"/>
      <c r="GS17" s="169"/>
      <c r="GT17" s="169"/>
      <c r="GU17" s="169"/>
      <c r="GV17" s="169"/>
      <c r="GW17" s="169"/>
      <c r="GX17" s="169"/>
      <c r="GY17" s="169"/>
      <c r="GZ17" s="169"/>
      <c r="HA17" s="169"/>
      <c r="HB17" s="169"/>
      <c r="HC17" s="169"/>
      <c r="HD17" s="169"/>
      <c r="HE17" s="169"/>
      <c r="HF17" s="169"/>
      <c r="HG17" s="169"/>
      <c r="HH17" s="169"/>
      <c r="HI17" s="169"/>
      <c r="HJ17" s="169"/>
      <c r="HK17" s="169"/>
      <c r="HL17" s="169"/>
      <c r="HM17" s="169"/>
      <c r="HN17" s="169"/>
      <c r="HO17" s="169"/>
      <c r="HP17" s="169"/>
      <c r="HQ17" s="169"/>
      <c r="HR17" s="169"/>
      <c r="HS17" s="169"/>
      <c r="HT17" s="169"/>
      <c r="HU17" s="169"/>
      <c r="HV17" s="169"/>
      <c r="HW17" s="169"/>
      <c r="HX17" s="169"/>
      <c r="HY17" s="169"/>
      <c r="HZ17" s="169"/>
      <c r="IA17" s="169"/>
      <c r="IB17" s="169"/>
      <c r="IC17" s="169"/>
      <c r="ID17" s="169"/>
      <c r="IE17" s="169"/>
      <c r="IF17" s="169"/>
      <c r="IG17" s="169"/>
      <c r="IH17" s="169"/>
      <c r="II17" s="169"/>
      <c r="IJ17" s="169"/>
      <c r="IK17" s="169"/>
      <c r="IL17" s="169"/>
      <c r="IM17" s="169"/>
      <c r="IN17" s="169"/>
      <c r="IO17" s="169"/>
      <c r="IP17" s="169"/>
      <c r="IQ17" s="169"/>
      <c r="IR17" s="169"/>
      <c r="IS17" s="169"/>
      <c r="IT17" s="169"/>
      <c r="IU17" s="169"/>
      <c r="IV17" s="169"/>
    </row>
    <row r="18" spans="1:256" x14ac:dyDescent="0.25">
      <c r="A18" s="314"/>
      <c r="B18" s="317"/>
      <c r="C18" s="317" t="s">
        <v>55</v>
      </c>
      <c r="D18" s="317"/>
      <c r="E18" s="315" t="s">
        <v>55</v>
      </c>
      <c r="F18" s="317" t="s">
        <v>56</v>
      </c>
      <c r="G18" s="317" t="s">
        <v>57</v>
      </c>
      <c r="H18" s="1314"/>
      <c r="I18" s="1314"/>
      <c r="J18" s="1315"/>
      <c r="K18" s="316" t="s">
        <v>58</v>
      </c>
      <c r="L18" s="315" t="s">
        <v>59</v>
      </c>
      <c r="M18" s="1277"/>
      <c r="N18" s="169"/>
      <c r="O18" s="169"/>
      <c r="P18" s="169"/>
      <c r="Q18" s="169"/>
      <c r="R18" s="169"/>
      <c r="S18" s="169"/>
      <c r="T18" s="169"/>
      <c r="U18" s="169"/>
      <c r="V18" s="169"/>
      <c r="W18" s="169"/>
      <c r="X18" s="169"/>
      <c r="Y18" s="169"/>
      <c r="Z18" s="169"/>
      <c r="AA18" s="169"/>
      <c r="AB18" s="169"/>
      <c r="AC18" s="169"/>
      <c r="AD18" s="169"/>
      <c r="AE18" s="169"/>
      <c r="AF18" s="169"/>
      <c r="AG18" s="169"/>
      <c r="AH18" s="169"/>
      <c r="AI18" s="169"/>
      <c r="AJ18" s="169"/>
      <c r="AK18" s="169"/>
      <c r="AL18" s="169"/>
      <c r="AM18" s="169"/>
      <c r="AN18" s="169"/>
      <c r="AO18" s="169"/>
      <c r="AP18" s="169"/>
      <c r="AQ18" s="169"/>
      <c r="AR18" s="169"/>
      <c r="AS18" s="169"/>
      <c r="AT18" s="169"/>
      <c r="AU18" s="169"/>
      <c r="AV18" s="169"/>
      <c r="AW18" s="169"/>
      <c r="AX18" s="169"/>
      <c r="AY18" s="169"/>
      <c r="AZ18" s="169"/>
      <c r="BA18" s="169"/>
      <c r="BB18" s="169"/>
      <c r="BC18" s="169"/>
      <c r="BD18" s="169"/>
      <c r="BE18" s="169"/>
      <c r="BF18" s="169"/>
      <c r="BG18" s="169"/>
      <c r="BH18" s="169"/>
      <c r="BI18" s="169"/>
      <c r="BJ18" s="169"/>
      <c r="BK18" s="169"/>
      <c r="BL18" s="169"/>
      <c r="BM18" s="169"/>
      <c r="BN18" s="169"/>
      <c r="BO18" s="169"/>
      <c r="BP18" s="169"/>
      <c r="BQ18" s="169"/>
      <c r="BR18" s="169"/>
      <c r="BS18" s="169"/>
      <c r="BT18" s="169"/>
      <c r="BU18" s="169"/>
      <c r="BV18" s="169"/>
      <c r="BW18" s="169"/>
      <c r="BX18" s="169"/>
      <c r="BY18" s="169"/>
      <c r="BZ18" s="169"/>
      <c r="CA18" s="169"/>
      <c r="CB18" s="169"/>
      <c r="CC18" s="169"/>
      <c r="CD18" s="169"/>
      <c r="CE18" s="169"/>
      <c r="CF18" s="169"/>
      <c r="CG18" s="169"/>
      <c r="CH18" s="169"/>
      <c r="CI18" s="169"/>
      <c r="CJ18" s="169"/>
      <c r="CK18" s="169"/>
      <c r="CL18" s="169"/>
      <c r="CM18" s="169"/>
      <c r="CN18" s="169"/>
      <c r="CO18" s="169"/>
      <c r="CP18" s="169"/>
      <c r="CQ18" s="169"/>
      <c r="CR18" s="169"/>
      <c r="CS18" s="169"/>
      <c r="CT18" s="169"/>
      <c r="CU18" s="169"/>
      <c r="CV18" s="169"/>
      <c r="CW18" s="169"/>
      <c r="CX18" s="169"/>
      <c r="CY18" s="169"/>
      <c r="CZ18" s="169"/>
      <c r="DA18" s="169"/>
      <c r="DB18" s="169"/>
      <c r="DC18" s="169"/>
      <c r="DD18" s="169"/>
      <c r="DE18" s="169"/>
      <c r="DF18" s="169"/>
      <c r="DG18" s="169"/>
      <c r="DH18" s="169"/>
      <c r="DI18" s="169"/>
      <c r="DJ18" s="169"/>
      <c r="DK18" s="169"/>
      <c r="DL18" s="169"/>
      <c r="DM18" s="169"/>
      <c r="DN18" s="169"/>
      <c r="DO18" s="169"/>
      <c r="DP18" s="169"/>
      <c r="DQ18" s="169"/>
      <c r="DR18" s="169"/>
      <c r="DS18" s="169"/>
      <c r="DT18" s="169"/>
      <c r="DU18" s="169"/>
      <c r="DV18" s="169"/>
      <c r="DW18" s="169"/>
      <c r="DX18" s="169"/>
      <c r="DY18" s="169"/>
      <c r="DZ18" s="169"/>
      <c r="EA18" s="169"/>
      <c r="EB18" s="169"/>
      <c r="EC18" s="169"/>
      <c r="ED18" s="169"/>
      <c r="EE18" s="169"/>
      <c r="EF18" s="169"/>
      <c r="EG18" s="169"/>
      <c r="EH18" s="169"/>
      <c r="EI18" s="169"/>
      <c r="EJ18" s="169"/>
      <c r="EK18" s="169"/>
      <c r="EL18" s="169"/>
      <c r="EM18" s="169"/>
      <c r="EN18" s="169"/>
      <c r="EO18" s="169"/>
      <c r="EP18" s="169"/>
      <c r="EQ18" s="169"/>
      <c r="ER18" s="169"/>
      <c r="ES18" s="169"/>
      <c r="ET18" s="169"/>
      <c r="EU18" s="169"/>
      <c r="EV18" s="169"/>
      <c r="EW18" s="169"/>
      <c r="EX18" s="169"/>
      <c r="EY18" s="169"/>
      <c r="EZ18" s="169"/>
      <c r="FA18" s="169"/>
      <c r="FB18" s="169"/>
      <c r="FC18" s="169"/>
      <c r="FD18" s="169"/>
      <c r="FE18" s="169"/>
      <c r="FF18" s="169"/>
      <c r="FG18" s="169"/>
      <c r="FH18" s="169"/>
      <c r="FI18" s="169"/>
      <c r="FJ18" s="169"/>
      <c r="FK18" s="169"/>
      <c r="FL18" s="169"/>
      <c r="FM18" s="169"/>
      <c r="FN18" s="169"/>
      <c r="FO18" s="169"/>
      <c r="FP18" s="169"/>
      <c r="FQ18" s="169"/>
      <c r="FR18" s="169"/>
      <c r="FS18" s="169"/>
      <c r="FT18" s="169"/>
      <c r="FU18" s="169"/>
      <c r="FV18" s="169"/>
      <c r="FW18" s="169"/>
      <c r="FX18" s="169"/>
      <c r="FY18" s="169"/>
      <c r="FZ18" s="169"/>
      <c r="GA18" s="169"/>
      <c r="GB18" s="169"/>
      <c r="GC18" s="169"/>
      <c r="GD18" s="169"/>
      <c r="GE18" s="169"/>
      <c r="GF18" s="169"/>
      <c r="GG18" s="169"/>
      <c r="GH18" s="169"/>
      <c r="GI18" s="169"/>
      <c r="GJ18" s="169"/>
      <c r="GK18" s="169"/>
      <c r="GL18" s="169"/>
      <c r="GM18" s="169"/>
      <c r="GN18" s="169"/>
      <c r="GO18" s="169"/>
      <c r="GP18" s="169"/>
      <c r="GQ18" s="169"/>
      <c r="GR18" s="169"/>
      <c r="GS18" s="169"/>
      <c r="GT18" s="169"/>
      <c r="GU18" s="169"/>
      <c r="GV18" s="169"/>
      <c r="GW18" s="169"/>
      <c r="GX18" s="169"/>
      <c r="GY18" s="169"/>
      <c r="GZ18" s="169"/>
      <c r="HA18" s="169"/>
      <c r="HB18" s="169"/>
      <c r="HC18" s="169"/>
      <c r="HD18" s="169"/>
      <c r="HE18" s="169"/>
      <c r="HF18" s="169"/>
      <c r="HG18" s="169"/>
      <c r="HH18" s="169"/>
      <c r="HI18" s="169"/>
      <c r="HJ18" s="169"/>
      <c r="HK18" s="169"/>
      <c r="HL18" s="169"/>
      <c r="HM18" s="169"/>
      <c r="HN18" s="169"/>
      <c r="HO18" s="169"/>
      <c r="HP18" s="169"/>
      <c r="HQ18" s="169"/>
      <c r="HR18" s="169"/>
      <c r="HS18" s="169"/>
      <c r="HT18" s="169"/>
      <c r="HU18" s="169"/>
      <c r="HV18" s="169"/>
      <c r="HW18" s="169"/>
      <c r="HX18" s="169"/>
      <c r="HY18" s="169"/>
      <c r="HZ18" s="169"/>
      <c r="IA18" s="169"/>
      <c r="IB18" s="169"/>
      <c r="IC18" s="169"/>
      <c r="ID18" s="169"/>
      <c r="IE18" s="169"/>
      <c r="IF18" s="169"/>
      <c r="IG18" s="169"/>
      <c r="IH18" s="169"/>
      <c r="II18" s="169"/>
      <c r="IJ18" s="169"/>
      <c r="IK18" s="169"/>
      <c r="IL18" s="169"/>
      <c r="IM18" s="169"/>
      <c r="IN18" s="169"/>
      <c r="IO18" s="169"/>
      <c r="IP18" s="169"/>
      <c r="IQ18" s="169"/>
      <c r="IR18" s="169"/>
      <c r="IS18" s="169"/>
      <c r="IT18" s="169"/>
      <c r="IU18" s="169"/>
      <c r="IV18" s="169"/>
    </row>
    <row r="19" spans="1:256" ht="13.8" thickBot="1" x14ac:dyDescent="0.3">
      <c r="A19" s="1278" t="s">
        <v>43</v>
      </c>
      <c r="B19" s="322" t="s">
        <v>44</v>
      </c>
      <c r="C19" s="322" t="s">
        <v>60</v>
      </c>
      <c r="D19" s="322" t="s">
        <v>3</v>
      </c>
      <c r="E19" s="323" t="s">
        <v>45</v>
      </c>
      <c r="F19" s="322" t="s">
        <v>46</v>
      </c>
      <c r="G19" s="322" t="s">
        <v>17</v>
      </c>
      <c r="H19" s="322" t="s">
        <v>28</v>
      </c>
      <c r="I19" s="322" t="s">
        <v>61</v>
      </c>
      <c r="J19" s="323" t="s">
        <v>34</v>
      </c>
      <c r="K19" s="321" t="s">
        <v>62</v>
      </c>
      <c r="L19" s="323" t="s">
        <v>63</v>
      </c>
      <c r="M19" s="1279" t="s">
        <v>36</v>
      </c>
      <c r="N19" s="169"/>
      <c r="O19" s="169"/>
      <c r="P19" s="169"/>
      <c r="Q19" s="169"/>
      <c r="R19" s="169"/>
      <c r="S19" s="169"/>
      <c r="T19" s="169"/>
      <c r="U19" s="169"/>
      <c r="V19" s="169"/>
      <c r="W19" s="169"/>
      <c r="X19" s="169"/>
      <c r="Y19" s="169"/>
      <c r="Z19" s="169"/>
      <c r="AA19" s="169"/>
      <c r="AB19" s="169"/>
      <c r="AC19" s="169"/>
      <c r="AD19" s="169"/>
      <c r="AE19" s="169"/>
      <c r="AF19" s="169"/>
      <c r="AG19" s="169"/>
      <c r="AH19" s="169"/>
      <c r="AI19" s="169"/>
      <c r="AJ19" s="169"/>
      <c r="AK19" s="169"/>
      <c r="AL19" s="169"/>
      <c r="AM19" s="169"/>
      <c r="AN19" s="169"/>
      <c r="AO19" s="169"/>
      <c r="AP19" s="169"/>
      <c r="AQ19" s="169"/>
      <c r="AR19" s="169"/>
      <c r="AS19" s="169"/>
      <c r="AT19" s="169"/>
      <c r="AU19" s="169"/>
      <c r="AV19" s="169"/>
      <c r="AW19" s="169"/>
      <c r="AX19" s="169"/>
      <c r="AY19" s="169"/>
      <c r="AZ19" s="169"/>
      <c r="BA19" s="169"/>
      <c r="BB19" s="169"/>
      <c r="BC19" s="169"/>
      <c r="BD19" s="169"/>
      <c r="BE19" s="169"/>
      <c r="BF19" s="169"/>
      <c r="BG19" s="169"/>
      <c r="BH19" s="169"/>
      <c r="BI19" s="169"/>
      <c r="BJ19" s="169"/>
      <c r="BK19" s="169"/>
      <c r="BL19" s="169"/>
      <c r="BM19" s="169"/>
      <c r="BN19" s="169"/>
      <c r="BO19" s="169"/>
      <c r="BP19" s="169"/>
      <c r="BQ19" s="169"/>
      <c r="BR19" s="169"/>
      <c r="BS19" s="169"/>
      <c r="BT19" s="169"/>
      <c r="BU19" s="169"/>
      <c r="BV19" s="169"/>
      <c r="BW19" s="169"/>
      <c r="BX19" s="169"/>
      <c r="BY19" s="169"/>
      <c r="BZ19" s="169"/>
      <c r="CA19" s="169"/>
      <c r="CB19" s="169"/>
      <c r="CC19" s="169"/>
      <c r="CD19" s="169"/>
      <c r="CE19" s="169"/>
      <c r="CF19" s="169"/>
      <c r="CG19" s="169"/>
      <c r="CH19" s="169"/>
      <c r="CI19" s="169"/>
      <c r="CJ19" s="169"/>
      <c r="CK19" s="169"/>
      <c r="CL19" s="169"/>
      <c r="CM19" s="169"/>
      <c r="CN19" s="169"/>
      <c r="CO19" s="169"/>
      <c r="CP19" s="169"/>
      <c r="CQ19" s="169"/>
      <c r="CR19" s="169"/>
      <c r="CS19" s="169"/>
      <c r="CT19" s="169"/>
      <c r="CU19" s="169"/>
      <c r="CV19" s="169"/>
      <c r="CW19" s="169"/>
      <c r="CX19" s="169"/>
      <c r="CY19" s="169"/>
      <c r="CZ19" s="169"/>
      <c r="DA19" s="169"/>
      <c r="DB19" s="169"/>
      <c r="DC19" s="169"/>
      <c r="DD19" s="169"/>
      <c r="DE19" s="169"/>
      <c r="DF19" s="169"/>
      <c r="DG19" s="169"/>
      <c r="DH19" s="169"/>
      <c r="DI19" s="169"/>
      <c r="DJ19" s="169"/>
      <c r="DK19" s="169"/>
      <c r="DL19" s="169"/>
      <c r="DM19" s="169"/>
      <c r="DN19" s="169"/>
      <c r="DO19" s="169"/>
      <c r="DP19" s="169"/>
      <c r="DQ19" s="169"/>
      <c r="DR19" s="169"/>
      <c r="DS19" s="169"/>
      <c r="DT19" s="169"/>
      <c r="DU19" s="169"/>
      <c r="DV19" s="169"/>
      <c r="DW19" s="169"/>
      <c r="DX19" s="169"/>
      <c r="DY19" s="169"/>
      <c r="DZ19" s="169"/>
      <c r="EA19" s="169"/>
      <c r="EB19" s="169"/>
      <c r="EC19" s="169"/>
      <c r="ED19" s="169"/>
      <c r="EE19" s="169"/>
      <c r="EF19" s="169"/>
      <c r="EG19" s="169"/>
      <c r="EH19" s="169"/>
      <c r="EI19" s="169"/>
      <c r="EJ19" s="169"/>
      <c r="EK19" s="169"/>
      <c r="EL19" s="169"/>
      <c r="EM19" s="169"/>
      <c r="EN19" s="169"/>
      <c r="EO19" s="169"/>
      <c r="EP19" s="169"/>
      <c r="EQ19" s="169"/>
      <c r="ER19" s="169"/>
      <c r="ES19" s="169"/>
      <c r="ET19" s="169"/>
      <c r="EU19" s="169"/>
      <c r="EV19" s="169"/>
      <c r="EW19" s="169"/>
      <c r="EX19" s="169"/>
      <c r="EY19" s="169"/>
      <c r="EZ19" s="169"/>
      <c r="FA19" s="169"/>
      <c r="FB19" s="169"/>
      <c r="FC19" s="169"/>
      <c r="FD19" s="169"/>
      <c r="FE19" s="169"/>
      <c r="FF19" s="169"/>
      <c r="FG19" s="169"/>
      <c r="FH19" s="169"/>
      <c r="FI19" s="169"/>
      <c r="FJ19" s="169"/>
      <c r="FK19" s="169"/>
      <c r="FL19" s="169"/>
      <c r="FM19" s="169"/>
      <c r="FN19" s="169"/>
      <c r="FO19" s="169"/>
      <c r="FP19" s="169"/>
      <c r="FQ19" s="169"/>
      <c r="FR19" s="169"/>
      <c r="FS19" s="169"/>
      <c r="FT19" s="169"/>
      <c r="FU19" s="169"/>
      <c r="FV19" s="169"/>
      <c r="FW19" s="169"/>
      <c r="FX19" s="169"/>
      <c r="FY19" s="169"/>
      <c r="FZ19" s="169"/>
      <c r="GA19" s="169"/>
      <c r="GB19" s="169"/>
      <c r="GC19" s="169"/>
      <c r="GD19" s="169"/>
      <c r="GE19" s="169"/>
      <c r="GF19" s="169"/>
      <c r="GG19" s="169"/>
      <c r="GH19" s="169"/>
      <c r="GI19" s="169"/>
      <c r="GJ19" s="169"/>
      <c r="GK19" s="169"/>
      <c r="GL19" s="169"/>
      <c r="GM19" s="169"/>
      <c r="GN19" s="169"/>
      <c r="GO19" s="169"/>
      <c r="GP19" s="169"/>
      <c r="GQ19" s="169"/>
      <c r="GR19" s="169"/>
      <c r="GS19" s="169"/>
      <c r="GT19" s="169"/>
      <c r="GU19" s="169"/>
      <c r="GV19" s="169"/>
      <c r="GW19" s="169"/>
      <c r="GX19" s="169"/>
      <c r="GY19" s="169"/>
      <c r="GZ19" s="169"/>
      <c r="HA19" s="169"/>
      <c r="HB19" s="169"/>
      <c r="HC19" s="169"/>
      <c r="HD19" s="169"/>
      <c r="HE19" s="169"/>
      <c r="HF19" s="169"/>
      <c r="HG19" s="169"/>
      <c r="HH19" s="169"/>
      <c r="HI19" s="169"/>
      <c r="HJ19" s="169"/>
      <c r="HK19" s="169"/>
      <c r="HL19" s="169"/>
      <c r="HM19" s="169"/>
      <c r="HN19" s="169"/>
      <c r="HO19" s="169"/>
      <c r="HP19" s="169"/>
      <c r="HQ19" s="169"/>
      <c r="HR19" s="169"/>
      <c r="HS19" s="169"/>
      <c r="HT19" s="169"/>
      <c r="HU19" s="169"/>
      <c r="HV19" s="169"/>
      <c r="HW19" s="169"/>
      <c r="HX19" s="169"/>
      <c r="HY19" s="169"/>
      <c r="HZ19" s="169"/>
      <c r="IA19" s="169"/>
      <c r="IB19" s="169"/>
      <c r="IC19" s="169"/>
      <c r="ID19" s="169"/>
      <c r="IE19" s="169"/>
      <c r="IF19" s="169"/>
      <c r="IG19" s="169"/>
      <c r="IH19" s="169"/>
      <c r="II19" s="169"/>
      <c r="IJ19" s="169"/>
      <c r="IK19" s="169"/>
      <c r="IL19" s="169"/>
      <c r="IM19" s="169"/>
      <c r="IN19" s="169"/>
      <c r="IO19" s="169"/>
      <c r="IP19" s="169"/>
      <c r="IQ19" s="169"/>
      <c r="IR19" s="169"/>
      <c r="IS19" s="169"/>
      <c r="IT19" s="169"/>
      <c r="IU19" s="169"/>
      <c r="IV19" s="169"/>
    </row>
    <row r="20" spans="1:256" ht="13.8" x14ac:dyDescent="0.25">
      <c r="A20" s="1459" t="s">
        <v>1431</v>
      </c>
      <c r="B20" s="1460"/>
      <c r="C20" s="1461"/>
      <c r="D20" s="1462"/>
      <c r="E20" s="1463"/>
      <c r="F20" s="605"/>
      <c r="G20" s="606"/>
      <c r="H20" s="493"/>
      <c r="I20" s="493"/>
      <c r="J20" s="493"/>
      <c r="K20" s="605"/>
      <c r="L20" s="605"/>
      <c r="M20" s="607"/>
      <c r="N20" s="169"/>
      <c r="O20" s="169"/>
      <c r="P20" s="169"/>
      <c r="Q20" s="169"/>
      <c r="R20" s="169"/>
      <c r="S20" s="169"/>
      <c r="T20" s="169"/>
      <c r="U20" s="169"/>
      <c r="V20" s="169"/>
      <c r="W20" s="169"/>
      <c r="X20" s="169"/>
      <c r="Y20" s="169"/>
      <c r="Z20" s="169"/>
      <c r="AA20" s="169"/>
      <c r="AB20" s="169"/>
      <c r="AC20" s="169"/>
      <c r="AD20" s="169"/>
      <c r="AE20" s="169"/>
      <c r="AF20" s="169"/>
      <c r="AG20" s="169"/>
      <c r="AH20" s="169"/>
      <c r="AI20" s="169"/>
      <c r="AJ20" s="169"/>
      <c r="AK20" s="169"/>
      <c r="AL20" s="169"/>
      <c r="AM20" s="169"/>
      <c r="AN20" s="169"/>
      <c r="AO20" s="169"/>
      <c r="AP20" s="169"/>
      <c r="AQ20" s="169"/>
      <c r="AR20" s="169"/>
      <c r="AS20" s="169"/>
      <c r="AT20" s="169"/>
      <c r="AU20" s="169"/>
      <c r="AV20" s="169"/>
      <c r="AW20" s="169"/>
      <c r="AX20" s="169"/>
      <c r="AY20" s="169"/>
      <c r="AZ20" s="169"/>
      <c r="BA20" s="169"/>
      <c r="BB20" s="169"/>
      <c r="BC20" s="169"/>
      <c r="BD20" s="169"/>
      <c r="BE20" s="169"/>
      <c r="BF20" s="169"/>
      <c r="BG20" s="169"/>
      <c r="BH20" s="169"/>
      <c r="BI20" s="169"/>
      <c r="BJ20" s="169"/>
      <c r="BK20" s="169"/>
      <c r="BL20" s="169"/>
      <c r="BM20" s="169"/>
      <c r="BN20" s="169"/>
      <c r="BO20" s="169"/>
      <c r="BP20" s="169"/>
      <c r="BQ20" s="169"/>
      <c r="BR20" s="169"/>
      <c r="BS20" s="169"/>
      <c r="BT20" s="169"/>
      <c r="BU20" s="169"/>
      <c r="BV20" s="169"/>
      <c r="BW20" s="169"/>
      <c r="BX20" s="169"/>
      <c r="BY20" s="169"/>
      <c r="BZ20" s="169"/>
      <c r="CA20" s="169"/>
      <c r="CB20" s="169"/>
      <c r="CC20" s="169"/>
      <c r="CD20" s="169"/>
      <c r="CE20" s="169"/>
      <c r="CF20" s="169"/>
      <c r="CG20" s="169"/>
      <c r="CH20" s="169"/>
      <c r="CI20" s="169"/>
      <c r="CJ20" s="169"/>
      <c r="CK20" s="169"/>
      <c r="CL20" s="169"/>
      <c r="CM20" s="169"/>
      <c r="CN20" s="169"/>
      <c r="CO20" s="169"/>
      <c r="CP20" s="169"/>
      <c r="CQ20" s="169"/>
      <c r="CR20" s="169"/>
      <c r="CS20" s="169"/>
      <c r="CT20" s="169"/>
      <c r="CU20" s="169"/>
      <c r="CV20" s="169"/>
      <c r="CW20" s="169"/>
      <c r="CX20" s="169"/>
      <c r="CY20" s="169"/>
      <c r="CZ20" s="169"/>
      <c r="DA20" s="169"/>
      <c r="DB20" s="169"/>
      <c r="DC20" s="169"/>
      <c r="DD20" s="169"/>
      <c r="DE20" s="169"/>
      <c r="DF20" s="169"/>
      <c r="DG20" s="169"/>
      <c r="DH20" s="169"/>
      <c r="DI20" s="169"/>
      <c r="DJ20" s="169"/>
      <c r="DK20" s="169"/>
      <c r="DL20" s="169"/>
      <c r="DM20" s="169"/>
      <c r="DN20" s="169"/>
      <c r="DO20" s="169"/>
      <c r="DP20" s="169"/>
      <c r="DQ20" s="169"/>
      <c r="DR20" s="169"/>
      <c r="DS20" s="169"/>
      <c r="DT20" s="169"/>
      <c r="DU20" s="169"/>
      <c r="DV20" s="169"/>
      <c r="DW20" s="169"/>
      <c r="DX20" s="169"/>
      <c r="DY20" s="169"/>
      <c r="DZ20" s="169"/>
      <c r="EA20" s="169"/>
      <c r="EB20" s="169"/>
      <c r="EC20" s="169"/>
      <c r="ED20" s="169"/>
      <c r="EE20" s="169"/>
      <c r="EF20" s="169"/>
      <c r="EG20" s="169"/>
      <c r="EH20" s="169"/>
      <c r="EI20" s="169"/>
      <c r="EJ20" s="169"/>
      <c r="EK20" s="169"/>
      <c r="EL20" s="169"/>
      <c r="EM20" s="169"/>
      <c r="EN20" s="169"/>
      <c r="EO20" s="169"/>
      <c r="EP20" s="169"/>
      <c r="EQ20" s="169"/>
      <c r="ER20" s="169"/>
      <c r="ES20" s="169"/>
      <c r="ET20" s="169"/>
      <c r="EU20" s="169"/>
      <c r="EV20" s="169"/>
      <c r="EW20" s="169"/>
      <c r="EX20" s="169"/>
      <c r="EY20" s="169"/>
      <c r="EZ20" s="169"/>
      <c r="FA20" s="169"/>
      <c r="FB20" s="169"/>
      <c r="FC20" s="169"/>
      <c r="FD20" s="169"/>
      <c r="FE20" s="169"/>
      <c r="FF20" s="169"/>
      <c r="FG20" s="169"/>
      <c r="FH20" s="169"/>
      <c r="FI20" s="169"/>
      <c r="FJ20" s="169"/>
      <c r="FK20" s="169"/>
      <c r="FL20" s="169"/>
      <c r="FM20" s="169"/>
      <c r="FN20" s="169"/>
      <c r="FO20" s="169"/>
      <c r="FP20" s="169"/>
      <c r="FQ20" s="169"/>
      <c r="FR20" s="169"/>
      <c r="FS20" s="169"/>
      <c r="FT20" s="169"/>
      <c r="FU20" s="169"/>
      <c r="FV20" s="169"/>
      <c r="FW20" s="169"/>
      <c r="FX20" s="169"/>
      <c r="FY20" s="169"/>
      <c r="FZ20" s="169"/>
      <c r="GA20" s="169"/>
      <c r="GB20" s="169"/>
      <c r="GC20" s="169"/>
      <c r="GD20" s="169"/>
      <c r="GE20" s="169"/>
      <c r="GF20" s="169"/>
      <c r="GG20" s="169"/>
      <c r="GH20" s="169"/>
      <c r="GI20" s="169"/>
      <c r="GJ20" s="169"/>
      <c r="GK20" s="169"/>
      <c r="GL20" s="169"/>
      <c r="GM20" s="169"/>
      <c r="GN20" s="169"/>
      <c r="GO20" s="169"/>
      <c r="GP20" s="169"/>
      <c r="GQ20" s="169"/>
      <c r="GR20" s="169"/>
      <c r="GS20" s="169"/>
      <c r="GT20" s="169"/>
      <c r="GU20" s="169"/>
      <c r="GV20" s="169"/>
      <c r="GW20" s="169"/>
      <c r="GX20" s="169"/>
      <c r="GY20" s="169"/>
      <c r="GZ20" s="169"/>
      <c r="HA20" s="169"/>
      <c r="HB20" s="169"/>
      <c r="HC20" s="169"/>
      <c r="HD20" s="169"/>
      <c r="HE20" s="169"/>
      <c r="HF20" s="169"/>
      <c r="HG20" s="169"/>
      <c r="HH20" s="169"/>
      <c r="HI20" s="169"/>
      <c r="HJ20" s="169"/>
      <c r="HK20" s="169"/>
      <c r="HL20" s="169"/>
      <c r="HM20" s="169"/>
      <c r="HN20" s="169"/>
      <c r="HO20" s="169"/>
      <c r="HP20" s="169"/>
      <c r="HQ20" s="169"/>
      <c r="HR20" s="169"/>
      <c r="HS20" s="169"/>
      <c r="HT20" s="169"/>
      <c r="HU20" s="169"/>
      <c r="HV20" s="169"/>
      <c r="HW20" s="169"/>
      <c r="HX20" s="169"/>
      <c r="HY20" s="169"/>
      <c r="HZ20" s="169"/>
      <c r="IA20" s="169"/>
      <c r="IB20" s="169"/>
      <c r="IC20" s="169"/>
      <c r="ID20" s="169"/>
      <c r="IE20" s="169"/>
      <c r="IF20" s="169"/>
      <c r="IG20" s="169"/>
      <c r="IH20" s="169"/>
      <c r="II20" s="169"/>
      <c r="IJ20" s="169"/>
      <c r="IK20" s="169"/>
      <c r="IL20" s="169"/>
      <c r="IM20" s="169"/>
      <c r="IN20" s="169"/>
      <c r="IO20" s="169"/>
      <c r="IP20" s="169"/>
      <c r="IQ20" s="169"/>
      <c r="IR20" s="169"/>
      <c r="IS20" s="169"/>
      <c r="IT20" s="169"/>
      <c r="IU20" s="169"/>
      <c r="IV20" s="169"/>
    </row>
    <row r="21" spans="1:256" ht="15" x14ac:dyDescent="0.25">
      <c r="A21" s="1307"/>
      <c r="B21" s="1308"/>
      <c r="C21" s="1260"/>
      <c r="D21" s="1261"/>
      <c r="E21" s="1261"/>
      <c r="F21" s="1262"/>
      <c r="G21" s="1263"/>
      <c r="H21" s="1262"/>
      <c r="I21" s="1262"/>
      <c r="J21" s="1264"/>
      <c r="K21" s="1262"/>
      <c r="L21" s="1262"/>
      <c r="M21" s="1265"/>
      <c r="N21" s="169"/>
      <c r="O21" s="169"/>
      <c r="P21" s="169"/>
      <c r="Q21" s="169"/>
      <c r="R21" s="169"/>
      <c r="S21" s="169"/>
      <c r="T21" s="169"/>
      <c r="U21" s="169"/>
      <c r="V21" s="169"/>
      <c r="W21" s="169"/>
      <c r="X21" s="169"/>
      <c r="Y21" s="169"/>
      <c r="Z21" s="169"/>
      <c r="AA21" s="169"/>
      <c r="AB21" s="169"/>
      <c r="AC21" s="169"/>
      <c r="AD21" s="169"/>
      <c r="AE21" s="169"/>
      <c r="AF21" s="169"/>
      <c r="AG21" s="169"/>
      <c r="AH21" s="169"/>
      <c r="AI21" s="169"/>
      <c r="AJ21" s="169"/>
      <c r="AK21" s="169"/>
      <c r="AL21" s="169"/>
      <c r="AM21" s="169"/>
      <c r="AN21" s="169"/>
      <c r="AO21" s="169"/>
      <c r="AP21" s="169"/>
      <c r="AQ21" s="169"/>
      <c r="AR21" s="169"/>
      <c r="AS21" s="169"/>
      <c r="AT21" s="169"/>
      <c r="AU21" s="169"/>
      <c r="AV21" s="169"/>
      <c r="AW21" s="169"/>
      <c r="AX21" s="169"/>
      <c r="AY21" s="169"/>
      <c r="AZ21" s="169"/>
      <c r="BA21" s="169"/>
      <c r="BB21" s="169"/>
      <c r="BC21" s="169"/>
      <c r="BD21" s="169"/>
      <c r="BE21" s="169"/>
      <c r="BF21" s="169"/>
      <c r="BG21" s="169"/>
      <c r="BH21" s="169"/>
      <c r="BI21" s="169"/>
      <c r="BJ21" s="169"/>
      <c r="BK21" s="169"/>
      <c r="BL21" s="169"/>
      <c r="BM21" s="169"/>
      <c r="BN21" s="169"/>
      <c r="BO21" s="169"/>
      <c r="BP21" s="169"/>
      <c r="BQ21" s="169"/>
      <c r="BR21" s="169"/>
      <c r="BS21" s="169"/>
      <c r="BT21" s="169"/>
      <c r="BU21" s="169"/>
      <c r="BV21" s="169"/>
      <c r="BW21" s="169"/>
      <c r="BX21" s="169"/>
      <c r="BY21" s="169"/>
      <c r="BZ21" s="169"/>
      <c r="CA21" s="169"/>
      <c r="CB21" s="169"/>
      <c r="CC21" s="169"/>
      <c r="CD21" s="169"/>
      <c r="CE21" s="169"/>
      <c r="CF21" s="169"/>
      <c r="CG21" s="169"/>
      <c r="CH21" s="169"/>
      <c r="CI21" s="169"/>
      <c r="CJ21" s="169"/>
      <c r="CK21" s="169"/>
      <c r="CL21" s="169"/>
      <c r="CM21" s="169"/>
      <c r="CN21" s="169"/>
      <c r="CO21" s="169"/>
      <c r="CP21" s="169"/>
      <c r="CQ21" s="169"/>
      <c r="CR21" s="169"/>
      <c r="CS21" s="169"/>
      <c r="CT21" s="169"/>
      <c r="CU21" s="169"/>
      <c r="CV21" s="169"/>
      <c r="CW21" s="169"/>
      <c r="CX21" s="169"/>
      <c r="CY21" s="169"/>
      <c r="CZ21" s="169"/>
      <c r="DA21" s="169"/>
      <c r="DB21" s="169"/>
      <c r="DC21" s="169"/>
      <c r="DD21" s="169"/>
      <c r="DE21" s="169"/>
      <c r="DF21" s="169"/>
      <c r="DG21" s="169"/>
      <c r="DH21" s="169"/>
      <c r="DI21" s="169"/>
      <c r="DJ21" s="169"/>
      <c r="DK21" s="169"/>
      <c r="DL21" s="169"/>
      <c r="DM21" s="169"/>
      <c r="DN21" s="169"/>
      <c r="DO21" s="169"/>
      <c r="DP21" s="169"/>
      <c r="DQ21" s="169"/>
      <c r="DR21" s="169"/>
      <c r="DS21" s="169"/>
      <c r="DT21" s="169"/>
      <c r="DU21" s="169"/>
      <c r="DV21" s="169"/>
      <c r="DW21" s="169"/>
      <c r="DX21" s="169"/>
      <c r="DY21" s="169"/>
      <c r="DZ21" s="169"/>
      <c r="EA21" s="169"/>
      <c r="EB21" s="169"/>
      <c r="EC21" s="169"/>
      <c r="ED21" s="169"/>
      <c r="EE21" s="169"/>
      <c r="EF21" s="169"/>
      <c r="EG21" s="169"/>
      <c r="EH21" s="169"/>
      <c r="EI21" s="169"/>
      <c r="EJ21" s="169"/>
      <c r="EK21" s="169"/>
      <c r="EL21" s="169"/>
      <c r="EM21" s="169"/>
      <c r="EN21" s="169"/>
      <c r="EO21" s="169"/>
      <c r="EP21" s="169"/>
      <c r="EQ21" s="169"/>
      <c r="ER21" s="169"/>
      <c r="ES21" s="169"/>
      <c r="ET21" s="169"/>
      <c r="EU21" s="169"/>
      <c r="EV21" s="169"/>
      <c r="EW21" s="169"/>
      <c r="EX21" s="169"/>
      <c r="EY21" s="169"/>
      <c r="EZ21" s="169"/>
      <c r="FA21" s="169"/>
      <c r="FB21" s="169"/>
      <c r="FC21" s="169"/>
      <c r="FD21" s="169"/>
      <c r="FE21" s="169"/>
      <c r="FF21" s="169"/>
      <c r="FG21" s="169"/>
      <c r="FH21" s="169"/>
      <c r="FI21" s="169"/>
      <c r="FJ21" s="169"/>
      <c r="FK21" s="169"/>
      <c r="FL21" s="169"/>
      <c r="FM21" s="169"/>
      <c r="FN21" s="169"/>
      <c r="FO21" s="169"/>
      <c r="FP21" s="169"/>
      <c r="FQ21" s="169"/>
      <c r="FR21" s="169"/>
      <c r="FS21" s="169"/>
      <c r="FT21" s="169"/>
      <c r="FU21" s="169"/>
      <c r="FV21" s="169"/>
      <c r="FW21" s="169"/>
      <c r="FX21" s="169"/>
      <c r="FY21" s="169"/>
      <c r="FZ21" s="169"/>
      <c r="GA21" s="169"/>
      <c r="GB21" s="169"/>
      <c r="GC21" s="169"/>
      <c r="GD21" s="169"/>
      <c r="GE21" s="169"/>
      <c r="GF21" s="169"/>
      <c r="GG21" s="169"/>
      <c r="GH21" s="169"/>
      <c r="GI21" s="169"/>
      <c r="GJ21" s="169"/>
      <c r="GK21" s="169"/>
      <c r="GL21" s="169"/>
      <c r="GM21" s="169"/>
      <c r="GN21" s="169"/>
      <c r="GO21" s="169"/>
      <c r="GP21" s="169"/>
      <c r="GQ21" s="169"/>
      <c r="GR21" s="169"/>
      <c r="GS21" s="169"/>
      <c r="GT21" s="169"/>
      <c r="GU21" s="169"/>
      <c r="GV21" s="169"/>
      <c r="GW21" s="169"/>
      <c r="GX21" s="169"/>
      <c r="GY21" s="169"/>
      <c r="GZ21" s="169"/>
      <c r="HA21" s="169"/>
      <c r="HB21" s="169"/>
      <c r="HC21" s="169"/>
      <c r="HD21" s="169"/>
      <c r="HE21" s="169"/>
      <c r="HF21" s="169"/>
      <c r="HG21" s="169"/>
      <c r="HH21" s="169"/>
      <c r="HI21" s="169"/>
      <c r="HJ21" s="169"/>
      <c r="HK21" s="169"/>
      <c r="HL21" s="169"/>
      <c r="HM21" s="169"/>
      <c r="HN21" s="169"/>
      <c r="HO21" s="169"/>
      <c r="HP21" s="169"/>
      <c r="HQ21" s="169"/>
      <c r="HR21" s="169"/>
      <c r="HS21" s="169"/>
      <c r="HT21" s="169"/>
      <c r="HU21" s="169"/>
      <c r="HV21" s="169"/>
      <c r="HW21" s="169"/>
      <c r="HX21" s="169"/>
      <c r="HY21" s="169"/>
      <c r="HZ21" s="169"/>
      <c r="IA21" s="169"/>
      <c r="IB21" s="169"/>
      <c r="IC21" s="169"/>
      <c r="ID21" s="169"/>
      <c r="IE21" s="169"/>
      <c r="IF21" s="169"/>
      <c r="IG21" s="169"/>
      <c r="IH21" s="169"/>
      <c r="II21" s="169"/>
      <c r="IJ21" s="169"/>
      <c r="IK21" s="169"/>
      <c r="IL21" s="169"/>
      <c r="IM21" s="169"/>
      <c r="IN21" s="169"/>
      <c r="IO21" s="169"/>
      <c r="IP21" s="169"/>
      <c r="IQ21" s="169"/>
      <c r="IR21" s="169"/>
      <c r="IS21" s="169"/>
      <c r="IT21" s="169"/>
      <c r="IU21" s="169"/>
      <c r="IV21" s="169"/>
    </row>
    <row r="22" spans="1:256" ht="15" x14ac:dyDescent="0.25">
      <c r="A22" s="1309">
        <v>2</v>
      </c>
      <c r="B22" s="1310">
        <v>44712</v>
      </c>
      <c r="C22" s="1266">
        <v>0</v>
      </c>
      <c r="D22" s="1267">
        <v>44708</v>
      </c>
      <c r="E22" s="1268">
        <v>418147.27</v>
      </c>
      <c r="F22" s="1269">
        <v>0.44900000000000001</v>
      </c>
      <c r="G22" s="1270">
        <v>0.64920999999999995</v>
      </c>
      <c r="H22" s="1271">
        <v>811.32</v>
      </c>
      <c r="I22" s="1271">
        <f>'COE_REAJ_OB. PUENTE'!G62</f>
        <v>948.77</v>
      </c>
      <c r="J22" s="1271">
        <f>'COE_REAJ_OB. PUENTE'!H62</f>
        <v>946.24</v>
      </c>
      <c r="K22" s="1272">
        <f>ROUND($E$22*$H$22/I22,2)</f>
        <v>357569.53</v>
      </c>
      <c r="L22" s="1272">
        <f>ROUND($F$22*$G$22*C22,2)</f>
        <v>0</v>
      </c>
      <c r="M22" s="1273">
        <f>ROUND(L22*(J22-I22)/$H$22,2)</f>
        <v>0</v>
      </c>
      <c r="N22" s="175"/>
      <c r="O22" s="175"/>
      <c r="P22" s="175"/>
      <c r="Q22" s="175"/>
      <c r="R22" s="175"/>
      <c r="S22" s="175"/>
      <c r="T22" s="175"/>
      <c r="U22" s="175"/>
      <c r="V22" s="175"/>
      <c r="W22" s="175"/>
      <c r="X22" s="175"/>
      <c r="Y22" s="175"/>
      <c r="Z22" s="175"/>
      <c r="AA22" s="175"/>
      <c r="AB22" s="175"/>
      <c r="AC22" s="175"/>
      <c r="AD22" s="175"/>
      <c r="AE22" s="175"/>
      <c r="AF22" s="169"/>
      <c r="AG22" s="169"/>
      <c r="AH22" s="169"/>
      <c r="AI22" s="169"/>
      <c r="AJ22" s="169"/>
      <c r="AK22" s="169"/>
      <c r="AL22" s="169"/>
      <c r="AM22" s="169"/>
      <c r="AN22" s="169"/>
      <c r="AO22" s="169"/>
      <c r="AP22" s="169"/>
      <c r="AQ22" s="169"/>
      <c r="AR22" s="169"/>
      <c r="AS22" s="169"/>
      <c r="AT22" s="169"/>
      <c r="AU22" s="169"/>
      <c r="AV22" s="169"/>
      <c r="AW22" s="169"/>
      <c r="AX22" s="169"/>
      <c r="AY22" s="169"/>
      <c r="AZ22" s="169"/>
      <c r="BA22" s="169"/>
      <c r="BB22" s="169"/>
      <c r="BC22" s="169"/>
      <c r="BD22" s="169"/>
      <c r="BE22" s="169"/>
      <c r="BF22" s="169"/>
      <c r="BG22" s="169"/>
      <c r="BH22" s="169"/>
      <c r="BI22" s="169"/>
      <c r="BJ22" s="169"/>
      <c r="BK22" s="169"/>
      <c r="BL22" s="169"/>
      <c r="BM22" s="169"/>
      <c r="BN22" s="169"/>
      <c r="BO22" s="169"/>
      <c r="BP22" s="169"/>
      <c r="BQ22" s="169"/>
      <c r="BR22" s="169"/>
      <c r="BS22" s="169"/>
      <c r="BT22" s="169"/>
      <c r="BU22" s="169"/>
      <c r="BV22" s="169"/>
      <c r="BW22" s="169"/>
      <c r="BX22" s="169"/>
      <c r="BY22" s="169"/>
      <c r="BZ22" s="169"/>
      <c r="CA22" s="169"/>
      <c r="CB22" s="169"/>
      <c r="CC22" s="169"/>
      <c r="CD22" s="169"/>
      <c r="CE22" s="169"/>
      <c r="CF22" s="169"/>
      <c r="CG22" s="169"/>
      <c r="CH22" s="169"/>
      <c r="CI22" s="169"/>
      <c r="CJ22" s="169"/>
      <c r="CK22" s="169"/>
      <c r="CL22" s="169"/>
      <c r="CM22" s="169"/>
      <c r="CN22" s="169"/>
      <c r="CO22" s="169"/>
      <c r="CP22" s="169"/>
      <c r="CQ22" s="169"/>
      <c r="CR22" s="169"/>
      <c r="CS22" s="169"/>
      <c r="CT22" s="169"/>
      <c r="CU22" s="169"/>
      <c r="CV22" s="169"/>
      <c r="CW22" s="169"/>
      <c r="CX22" s="169"/>
      <c r="CY22" s="169"/>
      <c r="CZ22" s="169"/>
      <c r="DA22" s="169"/>
      <c r="DB22" s="169"/>
      <c r="DC22" s="169"/>
      <c r="DD22" s="169"/>
      <c r="DE22" s="169"/>
      <c r="DF22" s="169"/>
      <c r="DG22" s="169"/>
      <c r="DH22" s="169"/>
      <c r="DI22" s="169"/>
      <c r="DJ22" s="169"/>
      <c r="DK22" s="169"/>
      <c r="DL22" s="169"/>
      <c r="DM22" s="169"/>
      <c r="DN22" s="169"/>
      <c r="DO22" s="169"/>
      <c r="DP22" s="169"/>
      <c r="DQ22" s="169"/>
      <c r="DR22" s="169"/>
      <c r="DS22" s="169"/>
      <c r="DT22" s="169"/>
      <c r="DU22" s="169"/>
      <c r="DV22" s="169"/>
      <c r="DW22" s="169"/>
      <c r="DX22" s="169"/>
      <c r="DY22" s="169"/>
      <c r="DZ22" s="169"/>
      <c r="EA22" s="169"/>
      <c r="EB22" s="169"/>
      <c r="EC22" s="169"/>
      <c r="ED22" s="169"/>
      <c r="EE22" s="169"/>
      <c r="EF22" s="169"/>
      <c r="EG22" s="169"/>
      <c r="EH22" s="169"/>
      <c r="EI22" s="169"/>
      <c r="EJ22" s="169"/>
      <c r="EK22" s="169"/>
      <c r="EL22" s="169"/>
      <c r="EM22" s="169"/>
      <c r="EN22" s="169"/>
      <c r="EO22" s="169"/>
      <c r="EP22" s="169"/>
      <c r="EQ22" s="169"/>
      <c r="ER22" s="169"/>
      <c r="ES22" s="169"/>
      <c r="ET22" s="169"/>
      <c r="EU22" s="169"/>
      <c r="EV22" s="169"/>
      <c r="EW22" s="169"/>
      <c r="EX22" s="169"/>
      <c r="EY22" s="169"/>
      <c r="EZ22" s="169"/>
      <c r="FA22" s="169"/>
      <c r="FB22" s="169"/>
      <c r="FC22" s="169"/>
      <c r="FD22" s="169"/>
      <c r="FE22" s="169"/>
      <c r="FF22" s="169"/>
      <c r="FG22" s="169"/>
      <c r="FH22" s="169"/>
      <c r="FI22" s="169"/>
      <c r="FJ22" s="169"/>
      <c r="FK22" s="169"/>
      <c r="FL22" s="169"/>
      <c r="FM22" s="169"/>
      <c r="FN22" s="169"/>
      <c r="FO22" s="169"/>
      <c r="FP22" s="169"/>
      <c r="FQ22" s="169"/>
      <c r="FR22" s="169"/>
      <c r="FS22" s="169"/>
      <c r="FT22" s="169"/>
      <c r="FU22" s="169"/>
      <c r="FV22" s="169"/>
      <c r="FW22" s="169"/>
      <c r="FX22" s="169"/>
      <c r="FY22" s="169"/>
      <c r="FZ22" s="169"/>
      <c r="GA22" s="169"/>
      <c r="GB22" s="169"/>
      <c r="GC22" s="169"/>
      <c r="GD22" s="169"/>
      <c r="GE22" s="169"/>
      <c r="GF22" s="169"/>
      <c r="GG22" s="169"/>
      <c r="GH22" s="169"/>
      <c r="GI22" s="169"/>
      <c r="GJ22" s="169"/>
      <c r="GK22" s="169"/>
      <c r="GL22" s="169"/>
      <c r="GM22" s="169"/>
      <c r="GN22" s="169"/>
      <c r="GO22" s="169"/>
      <c r="GP22" s="169"/>
      <c r="GQ22" s="169"/>
      <c r="GR22" s="169"/>
      <c r="GS22" s="169"/>
      <c r="GT22" s="169"/>
      <c r="GU22" s="169"/>
      <c r="GV22" s="169"/>
      <c r="GW22" s="169"/>
      <c r="GX22" s="169"/>
      <c r="GY22" s="169"/>
      <c r="GZ22" s="169"/>
      <c r="HA22" s="169"/>
      <c r="HB22" s="169"/>
      <c r="HC22" s="169"/>
      <c r="HD22" s="169"/>
      <c r="HE22" s="169"/>
      <c r="HF22" s="169"/>
      <c r="HG22" s="169"/>
      <c r="HH22" s="169"/>
      <c r="HI22" s="169"/>
      <c r="HJ22" s="169"/>
      <c r="HK22" s="169"/>
      <c r="HL22" s="169"/>
      <c r="HM22" s="169"/>
      <c r="HN22" s="169"/>
      <c r="HO22" s="169"/>
      <c r="HP22" s="169"/>
      <c r="HQ22" s="169"/>
      <c r="HR22" s="169"/>
      <c r="HS22" s="169"/>
      <c r="HT22" s="169"/>
      <c r="HU22" s="169"/>
      <c r="HV22" s="169"/>
      <c r="HW22" s="169"/>
      <c r="HX22" s="169"/>
      <c r="HY22" s="169"/>
      <c r="HZ22" s="169"/>
      <c r="IA22" s="169"/>
      <c r="IB22" s="169"/>
      <c r="IC22" s="169"/>
      <c r="ID22" s="169"/>
      <c r="IE22" s="169"/>
      <c r="IF22" s="169"/>
      <c r="IG22" s="169"/>
      <c r="IH22" s="169"/>
      <c r="II22" s="169"/>
      <c r="IJ22" s="169"/>
      <c r="IK22" s="169"/>
      <c r="IL22" s="169"/>
      <c r="IM22" s="169"/>
      <c r="IN22" s="169"/>
      <c r="IO22" s="169"/>
      <c r="IP22" s="169"/>
      <c r="IQ22" s="169"/>
      <c r="IR22" s="169"/>
      <c r="IS22" s="169"/>
      <c r="IT22" s="169"/>
      <c r="IU22" s="169"/>
      <c r="IV22" s="169"/>
    </row>
    <row r="23" spans="1:256" ht="15" x14ac:dyDescent="0.25">
      <c r="A23" s="1309">
        <v>3</v>
      </c>
      <c r="B23" s="1310">
        <v>44742</v>
      </c>
      <c r="C23" s="1266">
        <v>0</v>
      </c>
      <c r="D23" s="1267">
        <v>44708</v>
      </c>
      <c r="E23" s="1268">
        <v>418147.27</v>
      </c>
      <c r="F23" s="1269">
        <v>0.44900000000000001</v>
      </c>
      <c r="G23" s="1270">
        <v>0.64920999999999995</v>
      </c>
      <c r="H23" s="1271">
        <v>811.32</v>
      </c>
      <c r="I23" s="1271">
        <f>I22</f>
        <v>948.77</v>
      </c>
      <c r="J23" s="1271">
        <f>'COE_REAJ_OB. PUENTE'!I62</f>
        <v>985.34</v>
      </c>
      <c r="K23" s="1272">
        <f>ROUND($E$23*$H$23/I23,2)</f>
        <v>357569.53</v>
      </c>
      <c r="L23" s="1272">
        <f>ROUND($F$23*$G$23*C23,2)</f>
        <v>0</v>
      </c>
      <c r="M23" s="1273">
        <f>ROUND(L23*(J23-I23)/$H$23,2)</f>
        <v>0</v>
      </c>
      <c r="N23" s="175"/>
      <c r="O23" s="175"/>
      <c r="P23" s="175"/>
      <c r="Q23" s="175"/>
      <c r="R23" s="175"/>
      <c r="S23" s="175"/>
      <c r="T23" s="175"/>
      <c r="U23" s="175"/>
      <c r="V23" s="175"/>
      <c r="W23" s="175"/>
      <c r="X23" s="175"/>
      <c r="Y23" s="175"/>
      <c r="Z23" s="175"/>
      <c r="AA23" s="175"/>
      <c r="AB23" s="175"/>
      <c r="AC23" s="175"/>
      <c r="AD23" s="175"/>
      <c r="AE23" s="175"/>
      <c r="AF23" s="169"/>
      <c r="AG23" s="169"/>
      <c r="AH23" s="169"/>
      <c r="AI23" s="169"/>
      <c r="AJ23" s="169"/>
      <c r="AK23" s="169"/>
      <c r="AL23" s="169"/>
      <c r="AM23" s="169"/>
      <c r="AN23" s="169"/>
      <c r="AO23" s="169"/>
      <c r="AP23" s="169"/>
      <c r="AQ23" s="169"/>
      <c r="AR23" s="169"/>
      <c r="AS23" s="169"/>
      <c r="AT23" s="169"/>
      <c r="AU23" s="169"/>
      <c r="AV23" s="169"/>
      <c r="AW23" s="169"/>
      <c r="AX23" s="169"/>
      <c r="AY23" s="169"/>
      <c r="AZ23" s="169"/>
      <c r="BA23" s="169"/>
      <c r="BB23" s="169"/>
      <c r="BC23" s="169"/>
      <c r="BD23" s="169"/>
      <c r="BE23" s="169"/>
      <c r="BF23" s="169"/>
      <c r="BG23" s="169"/>
      <c r="BH23" s="169"/>
      <c r="BI23" s="169"/>
      <c r="BJ23" s="169"/>
      <c r="BK23" s="169"/>
      <c r="BL23" s="169"/>
      <c r="BM23" s="169"/>
      <c r="BN23" s="169"/>
      <c r="BO23" s="169"/>
      <c r="BP23" s="169"/>
      <c r="BQ23" s="169"/>
      <c r="BR23" s="169"/>
      <c r="BS23" s="169"/>
      <c r="BT23" s="169"/>
      <c r="BU23" s="169"/>
      <c r="BV23" s="169"/>
      <c r="BW23" s="169"/>
      <c r="BX23" s="169"/>
      <c r="BY23" s="169"/>
      <c r="BZ23" s="169"/>
      <c r="CA23" s="169"/>
      <c r="CB23" s="169"/>
      <c r="CC23" s="169"/>
      <c r="CD23" s="169"/>
      <c r="CE23" s="169"/>
      <c r="CF23" s="169"/>
      <c r="CG23" s="169"/>
      <c r="CH23" s="169"/>
      <c r="CI23" s="169"/>
      <c r="CJ23" s="169"/>
      <c r="CK23" s="169"/>
      <c r="CL23" s="169"/>
      <c r="CM23" s="169"/>
      <c r="CN23" s="169"/>
      <c r="CO23" s="169"/>
      <c r="CP23" s="169"/>
      <c r="CQ23" s="169"/>
      <c r="CR23" s="169"/>
      <c r="CS23" s="169"/>
      <c r="CT23" s="169"/>
      <c r="CU23" s="169"/>
      <c r="CV23" s="169"/>
      <c r="CW23" s="169"/>
      <c r="CX23" s="169"/>
      <c r="CY23" s="169"/>
      <c r="CZ23" s="169"/>
      <c r="DA23" s="169"/>
      <c r="DB23" s="169"/>
      <c r="DC23" s="169"/>
      <c r="DD23" s="169"/>
      <c r="DE23" s="169"/>
      <c r="DF23" s="169"/>
      <c r="DG23" s="169"/>
      <c r="DH23" s="169"/>
      <c r="DI23" s="169"/>
      <c r="DJ23" s="169"/>
      <c r="DK23" s="169"/>
      <c r="DL23" s="169"/>
      <c r="DM23" s="169"/>
      <c r="DN23" s="169"/>
      <c r="DO23" s="169"/>
      <c r="DP23" s="169"/>
      <c r="DQ23" s="169"/>
      <c r="DR23" s="169"/>
      <c r="DS23" s="169"/>
      <c r="DT23" s="169"/>
      <c r="DU23" s="169"/>
      <c r="DV23" s="169"/>
      <c r="DW23" s="169"/>
      <c r="DX23" s="169"/>
      <c r="DY23" s="169"/>
      <c r="DZ23" s="169"/>
      <c r="EA23" s="169"/>
      <c r="EB23" s="169"/>
      <c r="EC23" s="169"/>
      <c r="ED23" s="169"/>
      <c r="EE23" s="169"/>
      <c r="EF23" s="169"/>
      <c r="EG23" s="169"/>
      <c r="EH23" s="169"/>
      <c r="EI23" s="169"/>
      <c r="EJ23" s="169"/>
      <c r="EK23" s="169"/>
      <c r="EL23" s="169"/>
      <c r="EM23" s="169"/>
      <c r="EN23" s="169"/>
      <c r="EO23" s="169"/>
      <c r="EP23" s="169"/>
      <c r="EQ23" s="169"/>
      <c r="ER23" s="169"/>
      <c r="ES23" s="169"/>
      <c r="ET23" s="169"/>
      <c r="EU23" s="169"/>
      <c r="EV23" s="169"/>
      <c r="EW23" s="169"/>
      <c r="EX23" s="169"/>
      <c r="EY23" s="169"/>
      <c r="EZ23" s="169"/>
      <c r="FA23" s="169"/>
      <c r="FB23" s="169"/>
      <c r="FC23" s="169"/>
      <c r="FD23" s="169"/>
      <c r="FE23" s="169"/>
      <c r="FF23" s="169"/>
      <c r="FG23" s="169"/>
      <c r="FH23" s="169"/>
      <c r="FI23" s="169"/>
      <c r="FJ23" s="169"/>
      <c r="FK23" s="169"/>
      <c r="FL23" s="169"/>
      <c r="FM23" s="169"/>
      <c r="FN23" s="169"/>
      <c r="FO23" s="169"/>
      <c r="FP23" s="169"/>
      <c r="FQ23" s="169"/>
      <c r="FR23" s="169"/>
      <c r="FS23" s="169"/>
      <c r="FT23" s="169"/>
      <c r="FU23" s="169"/>
      <c r="FV23" s="169"/>
      <c r="FW23" s="169"/>
      <c r="FX23" s="169"/>
      <c r="FY23" s="169"/>
      <c r="FZ23" s="169"/>
      <c r="GA23" s="169"/>
      <c r="GB23" s="169"/>
      <c r="GC23" s="169"/>
      <c r="GD23" s="169"/>
      <c r="GE23" s="169"/>
      <c r="GF23" s="169"/>
      <c r="GG23" s="169"/>
      <c r="GH23" s="169"/>
      <c r="GI23" s="169"/>
      <c r="GJ23" s="169"/>
      <c r="GK23" s="169"/>
      <c r="GL23" s="169"/>
      <c r="GM23" s="169"/>
      <c r="GN23" s="169"/>
      <c r="GO23" s="169"/>
      <c r="GP23" s="169"/>
      <c r="GQ23" s="169"/>
      <c r="GR23" s="169"/>
      <c r="GS23" s="169"/>
      <c r="GT23" s="169"/>
      <c r="GU23" s="169"/>
      <c r="GV23" s="169"/>
      <c r="GW23" s="169"/>
      <c r="GX23" s="169"/>
      <c r="GY23" s="169"/>
      <c r="GZ23" s="169"/>
      <c r="HA23" s="169"/>
      <c r="HB23" s="169"/>
      <c r="HC23" s="169"/>
      <c r="HD23" s="169"/>
      <c r="HE23" s="169"/>
      <c r="HF23" s="169"/>
      <c r="HG23" s="169"/>
      <c r="HH23" s="169"/>
      <c r="HI23" s="169"/>
      <c r="HJ23" s="169"/>
      <c r="HK23" s="169"/>
      <c r="HL23" s="169"/>
      <c r="HM23" s="169"/>
      <c r="HN23" s="169"/>
      <c r="HO23" s="169"/>
      <c r="HP23" s="169"/>
      <c r="HQ23" s="169"/>
      <c r="HR23" s="169"/>
      <c r="HS23" s="169"/>
      <c r="HT23" s="169"/>
      <c r="HU23" s="169"/>
      <c r="HV23" s="169"/>
      <c r="HW23" s="169"/>
      <c r="HX23" s="169"/>
      <c r="HY23" s="169"/>
      <c r="HZ23" s="169"/>
      <c r="IA23" s="169"/>
      <c r="IB23" s="169"/>
      <c r="IC23" s="169"/>
      <c r="ID23" s="169"/>
      <c r="IE23" s="169"/>
      <c r="IF23" s="169"/>
      <c r="IG23" s="169"/>
      <c r="IH23" s="169"/>
      <c r="II23" s="169"/>
      <c r="IJ23" s="169"/>
      <c r="IK23" s="169"/>
      <c r="IL23" s="169"/>
      <c r="IM23" s="169"/>
      <c r="IN23" s="169"/>
      <c r="IO23" s="169"/>
      <c r="IP23" s="169"/>
      <c r="IQ23" s="169"/>
      <c r="IR23" s="169"/>
      <c r="IS23" s="169"/>
      <c r="IT23" s="169"/>
      <c r="IU23" s="169"/>
      <c r="IV23" s="169"/>
    </row>
    <row r="24" spans="1:256" ht="15" x14ac:dyDescent="0.25">
      <c r="A24" s="1801">
        <v>4</v>
      </c>
      <c r="B24" s="1802">
        <v>44773</v>
      </c>
      <c r="C24" s="1803">
        <v>0</v>
      </c>
      <c r="D24" s="1804">
        <v>44708</v>
      </c>
      <c r="E24" s="1805">
        <v>418147.27</v>
      </c>
      <c r="F24" s="1806">
        <v>0.44900000000000001</v>
      </c>
      <c r="G24" s="1807">
        <v>0.64920999999999995</v>
      </c>
      <c r="H24" s="1808">
        <v>811.32</v>
      </c>
      <c r="I24" s="1808">
        <f t="shared" ref="I24:I29" si="0">I23</f>
        <v>948.77</v>
      </c>
      <c r="J24" s="1808">
        <f>'COE_REAJ_OB. PUENTE'!J62</f>
        <v>898.31</v>
      </c>
      <c r="K24" s="1809">
        <f>ROUND($E$24*$H$24/I24,2)</f>
        <v>357569.53</v>
      </c>
      <c r="L24" s="1809">
        <f>ROUND($F$23*$G$23*C24,2)</f>
        <v>0</v>
      </c>
      <c r="M24" s="1810">
        <f>ROUND(L24*(J24-I24)/$H$22,2)</f>
        <v>0</v>
      </c>
      <c r="N24" s="175"/>
      <c r="O24" s="175"/>
      <c r="P24" s="175"/>
      <c r="Q24" s="175"/>
      <c r="R24" s="175"/>
      <c r="S24" s="175"/>
      <c r="T24" s="175"/>
      <c r="U24" s="175"/>
      <c r="V24" s="175"/>
      <c r="W24" s="175"/>
      <c r="X24" s="175"/>
      <c r="Y24" s="175"/>
      <c r="Z24" s="175"/>
      <c r="AA24" s="175"/>
      <c r="AB24" s="175"/>
      <c r="AC24" s="175"/>
      <c r="AD24" s="175"/>
      <c r="AE24" s="175"/>
      <c r="AF24" s="169"/>
      <c r="AG24" s="169"/>
      <c r="AH24" s="169"/>
      <c r="AI24" s="169"/>
      <c r="AJ24" s="169"/>
      <c r="AK24" s="169"/>
      <c r="AL24" s="169"/>
      <c r="AM24" s="169"/>
      <c r="AN24" s="169"/>
      <c r="AO24" s="169"/>
      <c r="AP24" s="169"/>
      <c r="AQ24" s="169"/>
      <c r="AR24" s="169"/>
      <c r="AS24" s="169"/>
      <c r="AT24" s="169"/>
      <c r="AU24" s="169"/>
      <c r="AV24" s="169"/>
      <c r="AW24" s="169"/>
      <c r="AX24" s="169"/>
      <c r="AY24" s="169"/>
      <c r="AZ24" s="169"/>
      <c r="BA24" s="169"/>
      <c r="BB24" s="169"/>
      <c r="BC24" s="169"/>
      <c r="BD24" s="169"/>
      <c r="BE24" s="169"/>
      <c r="BF24" s="169"/>
      <c r="BG24" s="169"/>
      <c r="BH24" s="169"/>
      <c r="BI24" s="169"/>
      <c r="BJ24" s="169"/>
      <c r="BK24" s="169"/>
      <c r="BL24" s="169"/>
      <c r="BM24" s="169"/>
      <c r="BN24" s="169"/>
      <c r="BO24" s="169"/>
      <c r="BP24" s="169"/>
      <c r="BQ24" s="169"/>
      <c r="BR24" s="169"/>
      <c r="BS24" s="169"/>
      <c r="BT24" s="169"/>
      <c r="BU24" s="169"/>
      <c r="BV24" s="169"/>
      <c r="BW24" s="169"/>
      <c r="BX24" s="169"/>
      <c r="BY24" s="169"/>
      <c r="BZ24" s="169"/>
      <c r="CA24" s="169"/>
      <c r="CB24" s="169"/>
      <c r="CC24" s="169"/>
      <c r="CD24" s="169"/>
      <c r="CE24" s="169"/>
      <c r="CF24" s="169"/>
      <c r="CG24" s="169"/>
      <c r="CH24" s="169"/>
      <c r="CI24" s="169"/>
      <c r="CJ24" s="169"/>
      <c r="CK24" s="169"/>
      <c r="CL24" s="169"/>
      <c r="CM24" s="169"/>
      <c r="CN24" s="169"/>
      <c r="CO24" s="169"/>
      <c r="CP24" s="169"/>
      <c r="CQ24" s="169"/>
      <c r="CR24" s="169"/>
      <c r="CS24" s="169"/>
      <c r="CT24" s="169"/>
      <c r="CU24" s="169"/>
      <c r="CV24" s="169"/>
      <c r="CW24" s="169"/>
      <c r="CX24" s="169"/>
      <c r="CY24" s="169"/>
      <c r="CZ24" s="169"/>
      <c r="DA24" s="169"/>
      <c r="DB24" s="169"/>
      <c r="DC24" s="169"/>
      <c r="DD24" s="169"/>
      <c r="DE24" s="169"/>
      <c r="DF24" s="169"/>
      <c r="DG24" s="169"/>
      <c r="DH24" s="169"/>
      <c r="DI24" s="169"/>
      <c r="DJ24" s="169"/>
      <c r="DK24" s="169"/>
      <c r="DL24" s="169"/>
      <c r="DM24" s="169"/>
      <c r="DN24" s="169"/>
      <c r="DO24" s="169"/>
      <c r="DP24" s="169"/>
      <c r="DQ24" s="169"/>
      <c r="DR24" s="169"/>
      <c r="DS24" s="169"/>
      <c r="DT24" s="169"/>
      <c r="DU24" s="169"/>
      <c r="DV24" s="169"/>
      <c r="DW24" s="169"/>
      <c r="DX24" s="169"/>
      <c r="DY24" s="169"/>
      <c r="DZ24" s="169"/>
      <c r="EA24" s="169"/>
      <c r="EB24" s="169"/>
      <c r="EC24" s="169"/>
      <c r="ED24" s="169"/>
      <c r="EE24" s="169"/>
      <c r="EF24" s="169"/>
      <c r="EG24" s="169"/>
      <c r="EH24" s="169"/>
      <c r="EI24" s="169"/>
      <c r="EJ24" s="169"/>
      <c r="EK24" s="169"/>
      <c r="EL24" s="169"/>
      <c r="EM24" s="169"/>
      <c r="EN24" s="169"/>
      <c r="EO24" s="169"/>
      <c r="EP24" s="169"/>
      <c r="EQ24" s="169"/>
      <c r="ER24" s="169"/>
      <c r="ES24" s="169"/>
      <c r="ET24" s="169"/>
      <c r="EU24" s="169"/>
      <c r="EV24" s="169"/>
      <c r="EW24" s="169"/>
      <c r="EX24" s="169"/>
      <c r="EY24" s="169"/>
      <c r="EZ24" s="169"/>
      <c r="FA24" s="169"/>
      <c r="FB24" s="169"/>
      <c r="FC24" s="169"/>
      <c r="FD24" s="169"/>
      <c r="FE24" s="169"/>
      <c r="FF24" s="169"/>
      <c r="FG24" s="169"/>
      <c r="FH24" s="169"/>
      <c r="FI24" s="169"/>
      <c r="FJ24" s="169"/>
      <c r="FK24" s="169"/>
      <c r="FL24" s="169"/>
      <c r="FM24" s="169"/>
      <c r="FN24" s="169"/>
      <c r="FO24" s="169"/>
      <c r="FP24" s="169"/>
      <c r="FQ24" s="169"/>
      <c r="FR24" s="169"/>
      <c r="FS24" s="169"/>
      <c r="FT24" s="169"/>
      <c r="FU24" s="169"/>
      <c r="FV24" s="169"/>
      <c r="FW24" s="169"/>
      <c r="FX24" s="169"/>
      <c r="FY24" s="169"/>
      <c r="FZ24" s="169"/>
      <c r="GA24" s="169"/>
      <c r="GB24" s="169"/>
      <c r="GC24" s="169"/>
      <c r="GD24" s="169"/>
      <c r="GE24" s="169"/>
      <c r="GF24" s="169"/>
      <c r="GG24" s="169"/>
      <c r="GH24" s="169"/>
      <c r="GI24" s="169"/>
      <c r="GJ24" s="169"/>
      <c r="GK24" s="169"/>
      <c r="GL24" s="169"/>
      <c r="GM24" s="169"/>
      <c r="GN24" s="169"/>
      <c r="GO24" s="169"/>
      <c r="GP24" s="169"/>
      <c r="GQ24" s="169"/>
      <c r="GR24" s="169"/>
      <c r="GS24" s="169"/>
      <c r="GT24" s="169"/>
      <c r="GU24" s="169"/>
      <c r="GV24" s="169"/>
      <c r="GW24" s="169"/>
      <c r="GX24" s="169"/>
      <c r="GY24" s="169"/>
      <c r="GZ24" s="169"/>
      <c r="HA24" s="169"/>
      <c r="HB24" s="169"/>
      <c r="HC24" s="169"/>
      <c r="HD24" s="169"/>
      <c r="HE24" s="169"/>
      <c r="HF24" s="169"/>
      <c r="HG24" s="169"/>
      <c r="HH24" s="169"/>
      <c r="HI24" s="169"/>
      <c r="HJ24" s="169"/>
      <c r="HK24" s="169"/>
      <c r="HL24" s="169"/>
      <c r="HM24" s="169"/>
      <c r="HN24" s="169"/>
      <c r="HO24" s="169"/>
      <c r="HP24" s="169"/>
      <c r="HQ24" s="169"/>
      <c r="HR24" s="169"/>
      <c r="HS24" s="169"/>
      <c r="HT24" s="169"/>
      <c r="HU24" s="169"/>
      <c r="HV24" s="169"/>
      <c r="HW24" s="169"/>
      <c r="HX24" s="169"/>
      <c r="HY24" s="169"/>
      <c r="HZ24" s="169"/>
      <c r="IA24" s="169"/>
      <c r="IB24" s="169"/>
      <c r="IC24" s="169"/>
      <c r="ID24" s="169"/>
      <c r="IE24" s="169"/>
      <c r="IF24" s="169"/>
      <c r="IG24" s="169"/>
      <c r="IH24" s="169"/>
      <c r="II24" s="169"/>
      <c r="IJ24" s="169"/>
      <c r="IK24" s="169"/>
      <c r="IL24" s="169"/>
      <c r="IM24" s="169"/>
      <c r="IN24" s="169"/>
      <c r="IO24" s="169"/>
      <c r="IP24" s="169"/>
      <c r="IQ24" s="169"/>
      <c r="IR24" s="169"/>
      <c r="IS24" s="169"/>
      <c r="IT24" s="169"/>
      <c r="IU24" s="169"/>
      <c r="IV24" s="169"/>
    </row>
    <row r="25" spans="1:256" ht="15" x14ac:dyDescent="0.25">
      <c r="A25" s="1801">
        <v>5</v>
      </c>
      <c r="B25" s="1811">
        <v>44804</v>
      </c>
      <c r="C25" s="1812">
        <v>0</v>
      </c>
      <c r="D25" s="1813">
        <v>44708</v>
      </c>
      <c r="E25" s="1814">
        <v>418147.27</v>
      </c>
      <c r="F25" s="1815">
        <v>0.44900000000000001</v>
      </c>
      <c r="G25" s="1816">
        <v>0.64920999999999995</v>
      </c>
      <c r="H25" s="1817">
        <v>811.32</v>
      </c>
      <c r="I25" s="1817">
        <f t="shared" si="0"/>
        <v>948.77</v>
      </c>
      <c r="J25" s="1817">
        <f>'COE_REAJ_OB. PUENTE'!K62</f>
        <v>894.62</v>
      </c>
      <c r="K25" s="1818">
        <f>ROUND($E$25*$H$25/I25,2)</f>
        <v>357569.53</v>
      </c>
      <c r="L25" s="1818">
        <f>ROUND($F$23*$G$23*C25,2)</f>
        <v>0</v>
      </c>
      <c r="M25" s="1819">
        <f>ROUND(L25*(J25-I25)/$H$22,2)</f>
        <v>0</v>
      </c>
      <c r="N25" s="175"/>
      <c r="O25" s="175"/>
      <c r="P25" s="175"/>
      <c r="Q25" s="175"/>
      <c r="R25" s="175"/>
      <c r="S25" s="175"/>
      <c r="T25" s="175"/>
      <c r="U25" s="175"/>
      <c r="V25" s="175"/>
      <c r="W25" s="175"/>
      <c r="X25" s="175"/>
      <c r="Y25" s="175"/>
      <c r="Z25" s="175"/>
      <c r="AA25" s="175"/>
      <c r="AB25" s="175"/>
      <c r="AC25" s="175"/>
      <c r="AD25" s="175"/>
      <c r="AE25" s="175"/>
      <c r="AF25" s="169"/>
      <c r="AG25" s="169"/>
      <c r="AH25" s="169"/>
      <c r="AI25" s="169"/>
      <c r="AJ25" s="169"/>
      <c r="AK25" s="169"/>
      <c r="AL25" s="169"/>
      <c r="AM25" s="169"/>
      <c r="AN25" s="169"/>
      <c r="AO25" s="169"/>
      <c r="AP25" s="169"/>
      <c r="AQ25" s="169"/>
      <c r="AR25" s="169"/>
      <c r="AS25" s="169"/>
      <c r="AT25" s="169"/>
      <c r="AU25" s="169"/>
      <c r="AV25" s="169"/>
      <c r="AW25" s="169"/>
      <c r="AX25" s="169"/>
      <c r="AY25" s="169"/>
      <c r="AZ25" s="169"/>
      <c r="BA25" s="169"/>
      <c r="BB25" s="169"/>
      <c r="BC25" s="169"/>
      <c r="BD25" s="169"/>
      <c r="BE25" s="169"/>
      <c r="BF25" s="169"/>
      <c r="BG25" s="169"/>
      <c r="BH25" s="169"/>
      <c r="BI25" s="169"/>
      <c r="BJ25" s="169"/>
      <c r="BK25" s="169"/>
      <c r="BL25" s="169"/>
      <c r="BM25" s="169"/>
      <c r="BN25" s="169"/>
      <c r="BO25" s="169"/>
      <c r="BP25" s="169"/>
      <c r="BQ25" s="169"/>
      <c r="BR25" s="169"/>
      <c r="BS25" s="169"/>
      <c r="BT25" s="169"/>
      <c r="BU25" s="169"/>
      <c r="BV25" s="169"/>
      <c r="BW25" s="169"/>
      <c r="BX25" s="169"/>
      <c r="BY25" s="169"/>
      <c r="BZ25" s="169"/>
      <c r="CA25" s="169"/>
      <c r="CB25" s="169"/>
      <c r="CC25" s="169"/>
      <c r="CD25" s="169"/>
      <c r="CE25" s="169"/>
      <c r="CF25" s="169"/>
      <c r="CG25" s="169"/>
      <c r="CH25" s="169"/>
      <c r="CI25" s="169"/>
      <c r="CJ25" s="169"/>
      <c r="CK25" s="169"/>
      <c r="CL25" s="169"/>
      <c r="CM25" s="169"/>
      <c r="CN25" s="169"/>
      <c r="CO25" s="169"/>
      <c r="CP25" s="169"/>
      <c r="CQ25" s="169"/>
      <c r="CR25" s="169"/>
      <c r="CS25" s="169"/>
      <c r="CT25" s="169"/>
      <c r="CU25" s="169"/>
      <c r="CV25" s="169"/>
      <c r="CW25" s="169"/>
      <c r="CX25" s="169"/>
      <c r="CY25" s="169"/>
      <c r="CZ25" s="169"/>
      <c r="DA25" s="169"/>
      <c r="DB25" s="169"/>
      <c r="DC25" s="169"/>
      <c r="DD25" s="169"/>
      <c r="DE25" s="169"/>
      <c r="DF25" s="169"/>
      <c r="DG25" s="169"/>
      <c r="DH25" s="169"/>
      <c r="DI25" s="169"/>
      <c r="DJ25" s="169"/>
      <c r="DK25" s="169"/>
      <c r="DL25" s="169"/>
      <c r="DM25" s="169"/>
      <c r="DN25" s="169"/>
      <c r="DO25" s="169"/>
      <c r="DP25" s="169"/>
      <c r="DQ25" s="169"/>
      <c r="DR25" s="169"/>
      <c r="DS25" s="169"/>
      <c r="DT25" s="169"/>
      <c r="DU25" s="169"/>
      <c r="DV25" s="169"/>
      <c r="DW25" s="169"/>
      <c r="DX25" s="169"/>
      <c r="DY25" s="169"/>
      <c r="DZ25" s="169"/>
      <c r="EA25" s="169"/>
      <c r="EB25" s="169"/>
      <c r="EC25" s="169"/>
      <c r="ED25" s="169"/>
      <c r="EE25" s="169"/>
      <c r="EF25" s="169"/>
      <c r="EG25" s="169"/>
      <c r="EH25" s="169"/>
      <c r="EI25" s="169"/>
      <c r="EJ25" s="169"/>
      <c r="EK25" s="169"/>
      <c r="EL25" s="169"/>
      <c r="EM25" s="169"/>
      <c r="EN25" s="169"/>
      <c r="EO25" s="169"/>
      <c r="EP25" s="169"/>
      <c r="EQ25" s="169"/>
      <c r="ER25" s="169"/>
      <c r="ES25" s="169"/>
      <c r="ET25" s="169"/>
      <c r="EU25" s="169"/>
      <c r="EV25" s="169"/>
      <c r="EW25" s="169"/>
      <c r="EX25" s="169"/>
      <c r="EY25" s="169"/>
      <c r="EZ25" s="169"/>
      <c r="FA25" s="169"/>
      <c r="FB25" s="169"/>
      <c r="FC25" s="169"/>
      <c r="FD25" s="169"/>
      <c r="FE25" s="169"/>
      <c r="FF25" s="169"/>
      <c r="FG25" s="169"/>
      <c r="FH25" s="169"/>
      <c r="FI25" s="169"/>
      <c r="FJ25" s="169"/>
      <c r="FK25" s="169"/>
      <c r="FL25" s="169"/>
      <c r="FM25" s="169"/>
      <c r="FN25" s="169"/>
      <c r="FO25" s="169"/>
      <c r="FP25" s="169"/>
      <c r="FQ25" s="169"/>
      <c r="FR25" s="169"/>
      <c r="FS25" s="169"/>
      <c r="FT25" s="169"/>
      <c r="FU25" s="169"/>
      <c r="FV25" s="169"/>
      <c r="FW25" s="169"/>
      <c r="FX25" s="169"/>
      <c r="FY25" s="169"/>
      <c r="FZ25" s="169"/>
      <c r="GA25" s="169"/>
      <c r="GB25" s="169"/>
      <c r="GC25" s="169"/>
      <c r="GD25" s="169"/>
      <c r="GE25" s="169"/>
      <c r="GF25" s="169"/>
      <c r="GG25" s="169"/>
      <c r="GH25" s="169"/>
      <c r="GI25" s="169"/>
      <c r="GJ25" s="169"/>
      <c r="GK25" s="169"/>
      <c r="GL25" s="169"/>
      <c r="GM25" s="169"/>
      <c r="GN25" s="169"/>
      <c r="GO25" s="169"/>
      <c r="GP25" s="169"/>
      <c r="GQ25" s="169"/>
      <c r="GR25" s="169"/>
      <c r="GS25" s="169"/>
      <c r="GT25" s="169"/>
      <c r="GU25" s="169"/>
      <c r="GV25" s="169"/>
      <c r="GW25" s="169"/>
      <c r="GX25" s="169"/>
      <c r="GY25" s="169"/>
      <c r="GZ25" s="169"/>
      <c r="HA25" s="169"/>
      <c r="HB25" s="169"/>
      <c r="HC25" s="169"/>
      <c r="HD25" s="169"/>
      <c r="HE25" s="169"/>
      <c r="HF25" s="169"/>
      <c r="HG25" s="169"/>
      <c r="HH25" s="169"/>
      <c r="HI25" s="169"/>
      <c r="HJ25" s="169"/>
      <c r="HK25" s="169"/>
      <c r="HL25" s="169"/>
      <c r="HM25" s="169"/>
      <c r="HN25" s="169"/>
      <c r="HO25" s="169"/>
      <c r="HP25" s="169"/>
      <c r="HQ25" s="169"/>
      <c r="HR25" s="169"/>
      <c r="HS25" s="169"/>
      <c r="HT25" s="169"/>
      <c r="HU25" s="169"/>
      <c r="HV25" s="169"/>
      <c r="HW25" s="169"/>
      <c r="HX25" s="169"/>
      <c r="HY25" s="169"/>
      <c r="HZ25" s="169"/>
      <c r="IA25" s="169"/>
      <c r="IB25" s="169"/>
      <c r="IC25" s="169"/>
      <c r="ID25" s="169"/>
      <c r="IE25" s="169"/>
      <c r="IF25" s="169"/>
      <c r="IG25" s="169"/>
      <c r="IH25" s="169"/>
      <c r="II25" s="169"/>
      <c r="IJ25" s="169"/>
      <c r="IK25" s="169"/>
      <c r="IL25" s="169"/>
      <c r="IM25" s="169"/>
      <c r="IN25" s="169"/>
      <c r="IO25" s="169"/>
      <c r="IP25" s="169"/>
      <c r="IQ25" s="169"/>
      <c r="IR25" s="169"/>
      <c r="IS25" s="169"/>
      <c r="IT25" s="169"/>
      <c r="IU25" s="169"/>
      <c r="IV25" s="169"/>
    </row>
    <row r="26" spans="1:256" ht="15" x14ac:dyDescent="0.25">
      <c r="A26" s="1801">
        <v>6</v>
      </c>
      <c r="B26" s="1811">
        <v>44834</v>
      </c>
      <c r="C26" s="1812">
        <v>0</v>
      </c>
      <c r="D26" s="1813">
        <v>44708</v>
      </c>
      <c r="E26" s="1814">
        <v>418147.27</v>
      </c>
      <c r="F26" s="1815">
        <v>0.44900000000000001</v>
      </c>
      <c r="G26" s="1816">
        <v>0.64920999999999995</v>
      </c>
      <c r="H26" s="1817">
        <v>811.32</v>
      </c>
      <c r="I26" s="1817">
        <f t="shared" si="0"/>
        <v>948.77</v>
      </c>
      <c r="J26" s="1817">
        <v>913.2</v>
      </c>
      <c r="K26" s="1818">
        <f>ROUND($E$25*$H$25/I26,2)</f>
        <v>357569.53</v>
      </c>
      <c r="L26" s="1818">
        <f>ROUND($F$23*$G$23*C26,2)</f>
        <v>0</v>
      </c>
      <c r="M26" s="1819">
        <f>ROUND(L26*(J26-I26)/$H$22,2)</f>
        <v>0</v>
      </c>
      <c r="N26" s="175"/>
      <c r="O26" s="175"/>
      <c r="P26" s="175"/>
      <c r="Q26" s="175"/>
      <c r="R26" s="175"/>
      <c r="S26" s="175"/>
      <c r="T26" s="175"/>
      <c r="U26" s="175"/>
      <c r="V26" s="175"/>
      <c r="W26" s="175"/>
      <c r="X26" s="175"/>
      <c r="Y26" s="175"/>
      <c r="Z26" s="175"/>
      <c r="AA26" s="175"/>
      <c r="AB26" s="175"/>
      <c r="AC26" s="175"/>
      <c r="AD26" s="175"/>
      <c r="AE26" s="175"/>
      <c r="AF26" s="169"/>
      <c r="AG26" s="169"/>
      <c r="AH26" s="169"/>
      <c r="AI26" s="169"/>
      <c r="AJ26" s="169"/>
      <c r="AK26" s="169"/>
      <c r="AL26" s="169"/>
      <c r="AM26" s="169"/>
      <c r="AN26" s="169"/>
      <c r="AO26" s="169"/>
      <c r="AP26" s="169"/>
      <c r="AQ26" s="169"/>
      <c r="AR26" s="169"/>
      <c r="AS26" s="169"/>
      <c r="AT26" s="169"/>
      <c r="AU26" s="169"/>
      <c r="AV26" s="169"/>
      <c r="AW26" s="169"/>
      <c r="AX26" s="169"/>
      <c r="AY26" s="169"/>
      <c r="AZ26" s="169"/>
      <c r="BA26" s="169"/>
      <c r="BB26" s="169"/>
      <c r="BC26" s="169"/>
      <c r="BD26" s="169"/>
      <c r="BE26" s="169"/>
      <c r="BF26" s="169"/>
      <c r="BG26" s="169"/>
      <c r="BH26" s="169"/>
      <c r="BI26" s="169"/>
      <c r="BJ26" s="169"/>
      <c r="BK26" s="169"/>
      <c r="BL26" s="169"/>
      <c r="BM26" s="169"/>
      <c r="BN26" s="169"/>
      <c r="BO26" s="169"/>
      <c r="BP26" s="169"/>
      <c r="BQ26" s="169"/>
      <c r="BR26" s="169"/>
      <c r="BS26" s="169"/>
      <c r="BT26" s="169"/>
      <c r="BU26" s="169"/>
      <c r="BV26" s="169"/>
      <c r="BW26" s="169"/>
      <c r="BX26" s="169"/>
      <c r="BY26" s="169"/>
      <c r="BZ26" s="169"/>
      <c r="CA26" s="169"/>
      <c r="CB26" s="169"/>
      <c r="CC26" s="169"/>
      <c r="CD26" s="169"/>
      <c r="CE26" s="169"/>
      <c r="CF26" s="169"/>
      <c r="CG26" s="169"/>
      <c r="CH26" s="169"/>
      <c r="CI26" s="169"/>
      <c r="CJ26" s="169"/>
      <c r="CK26" s="169"/>
      <c r="CL26" s="169"/>
      <c r="CM26" s="169"/>
      <c r="CN26" s="169"/>
      <c r="CO26" s="169"/>
      <c r="CP26" s="169"/>
      <c r="CQ26" s="169"/>
      <c r="CR26" s="169"/>
      <c r="CS26" s="169"/>
      <c r="CT26" s="169"/>
      <c r="CU26" s="169"/>
      <c r="CV26" s="169"/>
      <c r="CW26" s="169"/>
      <c r="CX26" s="169"/>
      <c r="CY26" s="169"/>
      <c r="CZ26" s="169"/>
      <c r="DA26" s="169"/>
      <c r="DB26" s="169"/>
      <c r="DC26" s="169"/>
      <c r="DD26" s="169"/>
      <c r="DE26" s="169"/>
      <c r="DF26" s="169"/>
      <c r="DG26" s="169"/>
      <c r="DH26" s="169"/>
      <c r="DI26" s="169"/>
      <c r="DJ26" s="169"/>
      <c r="DK26" s="169"/>
      <c r="DL26" s="169"/>
      <c r="DM26" s="169"/>
      <c r="DN26" s="169"/>
      <c r="DO26" s="169"/>
      <c r="DP26" s="169"/>
      <c r="DQ26" s="169"/>
      <c r="DR26" s="169"/>
      <c r="DS26" s="169"/>
      <c r="DT26" s="169"/>
      <c r="DU26" s="169"/>
      <c r="DV26" s="169"/>
      <c r="DW26" s="169"/>
      <c r="DX26" s="169"/>
      <c r="DY26" s="169"/>
      <c r="DZ26" s="169"/>
      <c r="EA26" s="169"/>
      <c r="EB26" s="169"/>
      <c r="EC26" s="169"/>
      <c r="ED26" s="169"/>
      <c r="EE26" s="169"/>
      <c r="EF26" s="169"/>
      <c r="EG26" s="169"/>
      <c r="EH26" s="169"/>
      <c r="EI26" s="169"/>
      <c r="EJ26" s="169"/>
      <c r="EK26" s="169"/>
      <c r="EL26" s="169"/>
      <c r="EM26" s="169"/>
      <c r="EN26" s="169"/>
      <c r="EO26" s="169"/>
      <c r="EP26" s="169"/>
      <c r="EQ26" s="169"/>
      <c r="ER26" s="169"/>
      <c r="ES26" s="169"/>
      <c r="ET26" s="169"/>
      <c r="EU26" s="169"/>
      <c r="EV26" s="169"/>
      <c r="EW26" s="169"/>
      <c r="EX26" s="169"/>
      <c r="EY26" s="169"/>
      <c r="EZ26" s="169"/>
      <c r="FA26" s="169"/>
      <c r="FB26" s="169"/>
      <c r="FC26" s="169"/>
      <c r="FD26" s="169"/>
      <c r="FE26" s="169"/>
      <c r="FF26" s="169"/>
      <c r="FG26" s="169"/>
      <c r="FH26" s="169"/>
      <c r="FI26" s="169"/>
      <c r="FJ26" s="169"/>
      <c r="FK26" s="169"/>
      <c r="FL26" s="169"/>
      <c r="FM26" s="169"/>
      <c r="FN26" s="169"/>
      <c r="FO26" s="169"/>
      <c r="FP26" s="169"/>
      <c r="FQ26" s="169"/>
      <c r="FR26" s="169"/>
      <c r="FS26" s="169"/>
      <c r="FT26" s="169"/>
      <c r="FU26" s="169"/>
      <c r="FV26" s="169"/>
      <c r="FW26" s="169"/>
      <c r="FX26" s="169"/>
      <c r="FY26" s="169"/>
      <c r="FZ26" s="169"/>
      <c r="GA26" s="169"/>
      <c r="GB26" s="169"/>
      <c r="GC26" s="169"/>
      <c r="GD26" s="169"/>
      <c r="GE26" s="169"/>
      <c r="GF26" s="169"/>
      <c r="GG26" s="169"/>
      <c r="GH26" s="169"/>
      <c r="GI26" s="169"/>
      <c r="GJ26" s="169"/>
      <c r="GK26" s="169"/>
      <c r="GL26" s="169"/>
      <c r="GM26" s="169"/>
      <c r="GN26" s="169"/>
      <c r="GO26" s="169"/>
      <c r="GP26" s="169"/>
      <c r="GQ26" s="169"/>
      <c r="GR26" s="169"/>
      <c r="GS26" s="169"/>
      <c r="GT26" s="169"/>
      <c r="GU26" s="169"/>
      <c r="GV26" s="169"/>
      <c r="GW26" s="169"/>
      <c r="GX26" s="169"/>
      <c r="GY26" s="169"/>
      <c r="GZ26" s="169"/>
      <c r="HA26" s="169"/>
      <c r="HB26" s="169"/>
      <c r="HC26" s="169"/>
      <c r="HD26" s="169"/>
      <c r="HE26" s="169"/>
      <c r="HF26" s="169"/>
      <c r="HG26" s="169"/>
      <c r="HH26" s="169"/>
      <c r="HI26" s="169"/>
      <c r="HJ26" s="169"/>
      <c r="HK26" s="169"/>
      <c r="HL26" s="169"/>
      <c r="HM26" s="169"/>
      <c r="HN26" s="169"/>
      <c r="HO26" s="169"/>
      <c r="HP26" s="169"/>
      <c r="HQ26" s="169"/>
      <c r="HR26" s="169"/>
      <c r="HS26" s="169"/>
      <c r="HT26" s="169"/>
      <c r="HU26" s="169"/>
      <c r="HV26" s="169"/>
      <c r="HW26" s="169"/>
      <c r="HX26" s="169"/>
      <c r="HY26" s="169"/>
      <c r="HZ26" s="169"/>
      <c r="IA26" s="169"/>
      <c r="IB26" s="169"/>
      <c r="IC26" s="169"/>
      <c r="ID26" s="169"/>
      <c r="IE26" s="169"/>
      <c r="IF26" s="169"/>
      <c r="IG26" s="169"/>
      <c r="IH26" s="169"/>
      <c r="II26" s="169"/>
      <c r="IJ26" s="169"/>
      <c r="IK26" s="169"/>
      <c r="IL26" s="169"/>
      <c r="IM26" s="169"/>
      <c r="IN26" s="169"/>
      <c r="IO26" s="169"/>
      <c r="IP26" s="169"/>
      <c r="IQ26" s="169"/>
      <c r="IR26" s="169"/>
      <c r="IS26" s="169"/>
      <c r="IT26" s="169"/>
      <c r="IU26" s="169"/>
      <c r="IV26" s="169"/>
    </row>
    <row r="27" spans="1:256" ht="15" x14ac:dyDescent="0.25">
      <c r="A27" s="1801">
        <v>7</v>
      </c>
      <c r="B27" s="1811">
        <v>44865</v>
      </c>
      <c r="C27" s="1812">
        <f>'REINT_REAJ_ (2)'!E24</f>
        <v>134499.1</v>
      </c>
      <c r="D27" s="1813">
        <v>44708</v>
      </c>
      <c r="E27" s="1814">
        <v>418147.27</v>
      </c>
      <c r="F27" s="1815">
        <v>0.44900000000000001</v>
      </c>
      <c r="G27" s="1816">
        <v>0.64920999999999995</v>
      </c>
      <c r="H27" s="1817">
        <v>811.32</v>
      </c>
      <c r="I27" s="1817">
        <f t="shared" si="0"/>
        <v>948.77</v>
      </c>
      <c r="J27" s="1817">
        <v>890.03</v>
      </c>
      <c r="K27" s="1818">
        <f>ROUND($E$27*$H$27/I27,2)</f>
        <v>357569.53</v>
      </c>
      <c r="L27" s="1818">
        <f>ROUND($F$27*$G$27*C27,2)</f>
        <v>39205.85</v>
      </c>
      <c r="M27" s="1820">
        <f>ROUND(L27*(J27-I27)/$H$27,2)</f>
        <v>-2838.52</v>
      </c>
      <c r="N27" s="175"/>
      <c r="O27" s="175"/>
      <c r="P27" s="175"/>
      <c r="Q27" s="175"/>
      <c r="R27" s="175"/>
      <c r="S27" s="175"/>
      <c r="T27" s="175"/>
      <c r="U27" s="175"/>
      <c r="V27" s="175"/>
      <c r="W27" s="175"/>
      <c r="X27" s="175"/>
      <c r="Y27" s="175"/>
      <c r="Z27" s="175"/>
      <c r="AA27" s="175"/>
      <c r="AB27" s="175"/>
      <c r="AC27" s="175"/>
      <c r="AD27" s="175"/>
      <c r="AE27" s="175"/>
      <c r="AF27" s="169"/>
      <c r="AG27" s="169"/>
      <c r="AH27" s="169"/>
      <c r="AI27" s="169"/>
      <c r="AJ27" s="169"/>
      <c r="AK27" s="169"/>
      <c r="AL27" s="169"/>
      <c r="AM27" s="169"/>
      <c r="AN27" s="169"/>
      <c r="AO27" s="169"/>
      <c r="AP27" s="169"/>
      <c r="AQ27" s="169"/>
      <c r="AR27" s="169"/>
      <c r="AS27" s="169"/>
      <c r="AT27" s="169"/>
      <c r="AU27" s="169"/>
      <c r="AV27" s="169"/>
      <c r="AW27" s="169"/>
      <c r="AX27" s="169"/>
      <c r="AY27" s="169"/>
      <c r="AZ27" s="169"/>
      <c r="BA27" s="169"/>
      <c r="BB27" s="169"/>
      <c r="BC27" s="169"/>
      <c r="BD27" s="169"/>
      <c r="BE27" s="169"/>
      <c r="BF27" s="169"/>
      <c r="BG27" s="169"/>
      <c r="BH27" s="169"/>
      <c r="BI27" s="169"/>
      <c r="BJ27" s="169"/>
      <c r="BK27" s="169"/>
      <c r="BL27" s="169"/>
      <c r="BM27" s="169"/>
      <c r="BN27" s="169"/>
      <c r="BO27" s="169"/>
      <c r="BP27" s="169"/>
      <c r="BQ27" s="169"/>
      <c r="BR27" s="169"/>
      <c r="BS27" s="169"/>
      <c r="BT27" s="169"/>
      <c r="BU27" s="169"/>
      <c r="BV27" s="169"/>
      <c r="BW27" s="169"/>
      <c r="BX27" s="169"/>
      <c r="BY27" s="169"/>
      <c r="BZ27" s="169"/>
      <c r="CA27" s="169"/>
      <c r="CB27" s="169"/>
      <c r="CC27" s="169"/>
      <c r="CD27" s="169"/>
      <c r="CE27" s="169"/>
      <c r="CF27" s="169"/>
      <c r="CG27" s="169"/>
      <c r="CH27" s="169"/>
      <c r="CI27" s="169"/>
      <c r="CJ27" s="169"/>
      <c r="CK27" s="169"/>
      <c r="CL27" s="169"/>
      <c r="CM27" s="169"/>
      <c r="CN27" s="169"/>
      <c r="CO27" s="169"/>
      <c r="CP27" s="169"/>
      <c r="CQ27" s="169"/>
      <c r="CR27" s="169"/>
      <c r="CS27" s="169"/>
      <c r="CT27" s="169"/>
      <c r="CU27" s="169"/>
      <c r="CV27" s="169"/>
      <c r="CW27" s="169"/>
      <c r="CX27" s="169"/>
      <c r="CY27" s="169"/>
      <c r="CZ27" s="169"/>
      <c r="DA27" s="169"/>
      <c r="DB27" s="169"/>
      <c r="DC27" s="169"/>
      <c r="DD27" s="169"/>
      <c r="DE27" s="169"/>
      <c r="DF27" s="169"/>
      <c r="DG27" s="169"/>
      <c r="DH27" s="169"/>
      <c r="DI27" s="169"/>
      <c r="DJ27" s="169"/>
      <c r="DK27" s="169"/>
      <c r="DL27" s="169"/>
      <c r="DM27" s="169"/>
      <c r="DN27" s="169"/>
      <c r="DO27" s="169"/>
      <c r="DP27" s="169"/>
      <c r="DQ27" s="169"/>
      <c r="DR27" s="169"/>
      <c r="DS27" s="169"/>
      <c r="DT27" s="169"/>
      <c r="DU27" s="169"/>
      <c r="DV27" s="169"/>
      <c r="DW27" s="169"/>
      <c r="DX27" s="169"/>
      <c r="DY27" s="169"/>
      <c r="DZ27" s="169"/>
      <c r="EA27" s="169"/>
      <c r="EB27" s="169"/>
      <c r="EC27" s="169"/>
      <c r="ED27" s="169"/>
      <c r="EE27" s="169"/>
      <c r="EF27" s="169"/>
      <c r="EG27" s="169"/>
      <c r="EH27" s="169"/>
      <c r="EI27" s="169"/>
      <c r="EJ27" s="169"/>
      <c r="EK27" s="169"/>
      <c r="EL27" s="169"/>
      <c r="EM27" s="169"/>
      <c r="EN27" s="169"/>
      <c r="EO27" s="169"/>
      <c r="EP27" s="169"/>
      <c r="EQ27" s="169"/>
      <c r="ER27" s="169"/>
      <c r="ES27" s="169"/>
      <c r="ET27" s="169"/>
      <c r="EU27" s="169"/>
      <c r="EV27" s="169"/>
      <c r="EW27" s="169"/>
      <c r="EX27" s="169"/>
      <c r="EY27" s="169"/>
      <c r="EZ27" s="169"/>
      <c r="FA27" s="169"/>
      <c r="FB27" s="169"/>
      <c r="FC27" s="169"/>
      <c r="FD27" s="169"/>
      <c r="FE27" s="169"/>
      <c r="FF27" s="169"/>
      <c r="FG27" s="169"/>
      <c r="FH27" s="169"/>
      <c r="FI27" s="169"/>
      <c r="FJ27" s="169"/>
      <c r="FK27" s="169"/>
      <c r="FL27" s="169"/>
      <c r="FM27" s="169"/>
      <c r="FN27" s="169"/>
      <c r="FO27" s="169"/>
      <c r="FP27" s="169"/>
      <c r="FQ27" s="169"/>
      <c r="FR27" s="169"/>
      <c r="FS27" s="169"/>
      <c r="FT27" s="169"/>
      <c r="FU27" s="169"/>
      <c r="FV27" s="169"/>
      <c r="FW27" s="169"/>
      <c r="FX27" s="169"/>
      <c r="FY27" s="169"/>
      <c r="FZ27" s="169"/>
      <c r="GA27" s="169"/>
      <c r="GB27" s="169"/>
      <c r="GC27" s="169"/>
      <c r="GD27" s="169"/>
      <c r="GE27" s="169"/>
      <c r="GF27" s="169"/>
      <c r="GG27" s="169"/>
      <c r="GH27" s="169"/>
      <c r="GI27" s="169"/>
      <c r="GJ27" s="169"/>
      <c r="GK27" s="169"/>
      <c r="GL27" s="169"/>
      <c r="GM27" s="169"/>
      <c r="GN27" s="169"/>
      <c r="GO27" s="169"/>
      <c r="GP27" s="169"/>
      <c r="GQ27" s="169"/>
      <c r="GR27" s="169"/>
      <c r="GS27" s="169"/>
      <c r="GT27" s="169"/>
      <c r="GU27" s="169"/>
      <c r="GV27" s="169"/>
      <c r="GW27" s="169"/>
      <c r="GX27" s="169"/>
      <c r="GY27" s="169"/>
      <c r="GZ27" s="169"/>
      <c r="HA27" s="169"/>
      <c r="HB27" s="169"/>
      <c r="HC27" s="169"/>
      <c r="HD27" s="169"/>
      <c r="HE27" s="169"/>
      <c r="HF27" s="169"/>
      <c r="HG27" s="169"/>
      <c r="HH27" s="169"/>
      <c r="HI27" s="169"/>
      <c r="HJ27" s="169"/>
      <c r="HK27" s="169"/>
      <c r="HL27" s="169"/>
      <c r="HM27" s="169"/>
      <c r="HN27" s="169"/>
      <c r="HO27" s="169"/>
      <c r="HP27" s="169"/>
      <c r="HQ27" s="169"/>
      <c r="HR27" s="169"/>
      <c r="HS27" s="169"/>
      <c r="HT27" s="169"/>
      <c r="HU27" s="169"/>
      <c r="HV27" s="169"/>
      <c r="HW27" s="169"/>
      <c r="HX27" s="169"/>
      <c r="HY27" s="169"/>
      <c r="HZ27" s="169"/>
      <c r="IA27" s="169"/>
      <c r="IB27" s="169"/>
      <c r="IC27" s="169"/>
      <c r="ID27" s="169"/>
      <c r="IE27" s="169"/>
      <c r="IF27" s="169"/>
      <c r="IG27" s="169"/>
      <c r="IH27" s="169"/>
      <c r="II27" s="169"/>
      <c r="IJ27" s="169"/>
      <c r="IK27" s="169"/>
      <c r="IL27" s="169"/>
      <c r="IM27" s="169"/>
      <c r="IN27" s="169"/>
      <c r="IO27" s="169"/>
      <c r="IP27" s="169"/>
      <c r="IQ27" s="169"/>
      <c r="IR27" s="169"/>
      <c r="IS27" s="169"/>
      <c r="IT27" s="169"/>
      <c r="IU27" s="169"/>
      <c r="IV27" s="169"/>
    </row>
    <row r="28" spans="1:256" ht="15" x14ac:dyDescent="0.25">
      <c r="A28" s="1801">
        <v>8</v>
      </c>
      <c r="B28" s="1811">
        <v>44895</v>
      </c>
      <c r="C28" s="1812">
        <v>0</v>
      </c>
      <c r="D28" s="1813">
        <v>44708</v>
      </c>
      <c r="E28" s="1814">
        <v>418147.27</v>
      </c>
      <c r="F28" s="1815">
        <v>0.44900000000000001</v>
      </c>
      <c r="G28" s="1816">
        <v>0.64920999999999995</v>
      </c>
      <c r="H28" s="1817">
        <v>811.32</v>
      </c>
      <c r="I28" s="1817">
        <f t="shared" si="0"/>
        <v>948.77</v>
      </c>
      <c r="J28" s="1817">
        <v>890.03</v>
      </c>
      <c r="K28" s="1818">
        <f>ROUND($E$28*$H$28/I28,2)-L27</f>
        <v>318363.68000000005</v>
      </c>
      <c r="L28" s="1818">
        <f>ROUND($F$27*$G$27*C28,2)</f>
        <v>0</v>
      </c>
      <c r="M28" s="1820">
        <f>ROUND(L28*(J28-I28)/$H$28,2)</f>
        <v>0</v>
      </c>
      <c r="N28" s="175"/>
      <c r="O28" s="175"/>
      <c r="P28" s="175"/>
      <c r="Q28" s="175"/>
      <c r="R28" s="175"/>
      <c r="S28" s="175"/>
      <c r="T28" s="175"/>
      <c r="U28" s="175"/>
      <c r="V28" s="175"/>
      <c r="W28" s="175"/>
      <c r="X28" s="175"/>
      <c r="Y28" s="175"/>
      <c r="Z28" s="175"/>
      <c r="AA28" s="175"/>
      <c r="AB28" s="175"/>
      <c r="AC28" s="175"/>
      <c r="AD28" s="175"/>
      <c r="AE28" s="175"/>
      <c r="AF28" s="169"/>
      <c r="AG28" s="169"/>
      <c r="AH28" s="169"/>
      <c r="AI28" s="169"/>
      <c r="AJ28" s="169"/>
      <c r="AK28" s="169"/>
      <c r="AL28" s="169"/>
      <c r="AM28" s="169"/>
      <c r="AN28" s="169"/>
      <c r="AO28" s="169"/>
      <c r="AP28" s="169"/>
      <c r="AQ28" s="169"/>
      <c r="AR28" s="169"/>
      <c r="AS28" s="169"/>
      <c r="AT28" s="169"/>
      <c r="AU28" s="169"/>
      <c r="AV28" s="169"/>
      <c r="AW28" s="169"/>
      <c r="AX28" s="169"/>
      <c r="AY28" s="169"/>
      <c r="AZ28" s="169"/>
      <c r="BA28" s="169"/>
      <c r="BB28" s="169"/>
      <c r="BC28" s="169"/>
      <c r="BD28" s="169"/>
      <c r="BE28" s="169"/>
      <c r="BF28" s="169"/>
      <c r="BG28" s="169"/>
      <c r="BH28" s="169"/>
      <c r="BI28" s="169"/>
      <c r="BJ28" s="169"/>
      <c r="BK28" s="169"/>
      <c r="BL28" s="169"/>
      <c r="BM28" s="169"/>
      <c r="BN28" s="169"/>
      <c r="BO28" s="169"/>
      <c r="BP28" s="169"/>
      <c r="BQ28" s="169"/>
      <c r="BR28" s="169"/>
      <c r="BS28" s="169"/>
      <c r="BT28" s="169"/>
      <c r="BU28" s="169"/>
      <c r="BV28" s="169"/>
      <c r="BW28" s="169"/>
      <c r="BX28" s="169"/>
      <c r="BY28" s="169"/>
      <c r="BZ28" s="169"/>
      <c r="CA28" s="169"/>
      <c r="CB28" s="169"/>
      <c r="CC28" s="169"/>
      <c r="CD28" s="169"/>
      <c r="CE28" s="169"/>
      <c r="CF28" s="169"/>
      <c r="CG28" s="169"/>
      <c r="CH28" s="169"/>
      <c r="CI28" s="169"/>
      <c r="CJ28" s="169"/>
      <c r="CK28" s="169"/>
      <c r="CL28" s="169"/>
      <c r="CM28" s="169"/>
      <c r="CN28" s="169"/>
      <c r="CO28" s="169"/>
      <c r="CP28" s="169"/>
      <c r="CQ28" s="169"/>
      <c r="CR28" s="169"/>
      <c r="CS28" s="169"/>
      <c r="CT28" s="169"/>
      <c r="CU28" s="169"/>
      <c r="CV28" s="169"/>
      <c r="CW28" s="169"/>
      <c r="CX28" s="169"/>
      <c r="CY28" s="169"/>
      <c r="CZ28" s="169"/>
      <c r="DA28" s="169"/>
      <c r="DB28" s="169"/>
      <c r="DC28" s="169"/>
      <c r="DD28" s="169"/>
      <c r="DE28" s="169"/>
      <c r="DF28" s="169"/>
      <c r="DG28" s="169"/>
      <c r="DH28" s="169"/>
      <c r="DI28" s="169"/>
      <c r="DJ28" s="169"/>
      <c r="DK28" s="169"/>
      <c r="DL28" s="169"/>
      <c r="DM28" s="169"/>
      <c r="DN28" s="169"/>
      <c r="DO28" s="169"/>
      <c r="DP28" s="169"/>
      <c r="DQ28" s="169"/>
      <c r="DR28" s="169"/>
      <c r="DS28" s="169"/>
      <c r="DT28" s="169"/>
      <c r="DU28" s="169"/>
      <c r="DV28" s="169"/>
      <c r="DW28" s="169"/>
      <c r="DX28" s="169"/>
      <c r="DY28" s="169"/>
      <c r="DZ28" s="169"/>
      <c r="EA28" s="169"/>
      <c r="EB28" s="169"/>
      <c r="EC28" s="169"/>
      <c r="ED28" s="169"/>
      <c r="EE28" s="169"/>
      <c r="EF28" s="169"/>
      <c r="EG28" s="169"/>
      <c r="EH28" s="169"/>
      <c r="EI28" s="169"/>
      <c r="EJ28" s="169"/>
      <c r="EK28" s="169"/>
      <c r="EL28" s="169"/>
      <c r="EM28" s="169"/>
      <c r="EN28" s="169"/>
      <c r="EO28" s="169"/>
      <c r="EP28" s="169"/>
      <c r="EQ28" s="169"/>
      <c r="ER28" s="169"/>
      <c r="ES28" s="169"/>
      <c r="ET28" s="169"/>
      <c r="EU28" s="169"/>
      <c r="EV28" s="169"/>
      <c r="EW28" s="169"/>
      <c r="EX28" s="169"/>
      <c r="EY28" s="169"/>
      <c r="EZ28" s="169"/>
      <c r="FA28" s="169"/>
      <c r="FB28" s="169"/>
      <c r="FC28" s="169"/>
      <c r="FD28" s="169"/>
      <c r="FE28" s="169"/>
      <c r="FF28" s="169"/>
      <c r="FG28" s="169"/>
      <c r="FH28" s="169"/>
      <c r="FI28" s="169"/>
      <c r="FJ28" s="169"/>
      <c r="FK28" s="169"/>
      <c r="FL28" s="169"/>
      <c r="FM28" s="169"/>
      <c r="FN28" s="169"/>
      <c r="FO28" s="169"/>
      <c r="FP28" s="169"/>
      <c r="FQ28" s="169"/>
      <c r="FR28" s="169"/>
      <c r="FS28" s="169"/>
      <c r="FT28" s="169"/>
      <c r="FU28" s="169"/>
      <c r="FV28" s="169"/>
      <c r="FW28" s="169"/>
      <c r="FX28" s="169"/>
      <c r="FY28" s="169"/>
      <c r="FZ28" s="169"/>
      <c r="GA28" s="169"/>
      <c r="GB28" s="169"/>
      <c r="GC28" s="169"/>
      <c r="GD28" s="169"/>
      <c r="GE28" s="169"/>
      <c r="GF28" s="169"/>
      <c r="GG28" s="169"/>
      <c r="GH28" s="169"/>
      <c r="GI28" s="169"/>
      <c r="GJ28" s="169"/>
      <c r="GK28" s="169"/>
      <c r="GL28" s="169"/>
      <c r="GM28" s="169"/>
      <c r="GN28" s="169"/>
      <c r="GO28" s="169"/>
      <c r="GP28" s="169"/>
      <c r="GQ28" s="169"/>
      <c r="GR28" s="169"/>
      <c r="GS28" s="169"/>
      <c r="GT28" s="169"/>
      <c r="GU28" s="169"/>
      <c r="GV28" s="169"/>
      <c r="GW28" s="169"/>
      <c r="GX28" s="169"/>
      <c r="GY28" s="169"/>
      <c r="GZ28" s="169"/>
      <c r="HA28" s="169"/>
      <c r="HB28" s="169"/>
      <c r="HC28" s="169"/>
      <c r="HD28" s="169"/>
      <c r="HE28" s="169"/>
      <c r="HF28" s="169"/>
      <c r="HG28" s="169"/>
      <c r="HH28" s="169"/>
      <c r="HI28" s="169"/>
      <c r="HJ28" s="169"/>
      <c r="HK28" s="169"/>
      <c r="HL28" s="169"/>
      <c r="HM28" s="169"/>
      <c r="HN28" s="169"/>
      <c r="HO28" s="169"/>
      <c r="HP28" s="169"/>
      <c r="HQ28" s="169"/>
      <c r="HR28" s="169"/>
      <c r="HS28" s="169"/>
      <c r="HT28" s="169"/>
      <c r="HU28" s="169"/>
      <c r="HV28" s="169"/>
      <c r="HW28" s="169"/>
      <c r="HX28" s="169"/>
      <c r="HY28" s="169"/>
      <c r="HZ28" s="169"/>
      <c r="IA28" s="169"/>
      <c r="IB28" s="169"/>
      <c r="IC28" s="169"/>
      <c r="ID28" s="169"/>
      <c r="IE28" s="169"/>
      <c r="IF28" s="169"/>
      <c r="IG28" s="169"/>
      <c r="IH28" s="169"/>
      <c r="II28" s="169"/>
      <c r="IJ28" s="169"/>
      <c r="IK28" s="169"/>
      <c r="IL28" s="169"/>
      <c r="IM28" s="169"/>
      <c r="IN28" s="169"/>
      <c r="IO28" s="169"/>
      <c r="IP28" s="169"/>
      <c r="IQ28" s="169"/>
      <c r="IR28" s="169"/>
      <c r="IS28" s="169"/>
      <c r="IT28" s="169"/>
      <c r="IU28" s="169"/>
      <c r="IV28" s="169"/>
    </row>
    <row r="29" spans="1:256" ht="15" x14ac:dyDescent="0.25">
      <c r="A29" s="1821">
        <v>9</v>
      </c>
      <c r="B29" s="1822">
        <v>44926</v>
      </c>
      <c r="C29" s="1823">
        <v>0</v>
      </c>
      <c r="D29" s="1824">
        <v>44708</v>
      </c>
      <c r="E29" s="1825">
        <v>418147.27</v>
      </c>
      <c r="F29" s="1826">
        <v>0.44900000000000001</v>
      </c>
      <c r="G29" s="1827">
        <v>0.64920999999999995</v>
      </c>
      <c r="H29" s="1828">
        <v>811.32</v>
      </c>
      <c r="I29" s="1828">
        <f t="shared" si="0"/>
        <v>948.77</v>
      </c>
      <c r="J29" s="1828">
        <v>890.03</v>
      </c>
      <c r="K29" s="1829">
        <f>ROUND($E$25*$H$25/I29,2)-L27</f>
        <v>318363.68000000005</v>
      </c>
      <c r="L29" s="1829">
        <f>ROUND($F$27*$G$27*C29,2)</f>
        <v>0</v>
      </c>
      <c r="M29" s="1830">
        <f>ROUND(L29*(J29-I29)/$H$27,2)</f>
        <v>0</v>
      </c>
      <c r="N29" s="175"/>
      <c r="O29" s="175"/>
      <c r="P29" s="175"/>
      <c r="Q29" s="175"/>
      <c r="R29" s="175"/>
      <c r="S29" s="175"/>
      <c r="T29" s="175"/>
      <c r="U29" s="175"/>
      <c r="V29" s="175"/>
      <c r="W29" s="175"/>
      <c r="X29" s="175"/>
      <c r="Y29" s="175"/>
      <c r="Z29" s="175"/>
      <c r="AA29" s="175"/>
      <c r="AB29" s="175"/>
      <c r="AC29" s="175"/>
      <c r="AD29" s="175"/>
      <c r="AE29" s="175"/>
      <c r="AF29" s="169"/>
      <c r="AG29" s="169"/>
      <c r="AH29" s="169"/>
      <c r="AI29" s="169"/>
      <c r="AJ29" s="169"/>
      <c r="AK29" s="169"/>
      <c r="AL29" s="169"/>
      <c r="AM29" s="169"/>
      <c r="AN29" s="169"/>
      <c r="AO29" s="169"/>
      <c r="AP29" s="169"/>
      <c r="AQ29" s="169"/>
      <c r="AR29" s="169"/>
      <c r="AS29" s="169"/>
      <c r="AT29" s="169"/>
      <c r="AU29" s="169"/>
      <c r="AV29" s="169"/>
      <c r="AW29" s="169"/>
      <c r="AX29" s="169"/>
      <c r="AY29" s="169"/>
      <c r="AZ29" s="169"/>
      <c r="BA29" s="169"/>
      <c r="BB29" s="169"/>
      <c r="BC29" s="169"/>
      <c r="BD29" s="169"/>
      <c r="BE29" s="169"/>
      <c r="BF29" s="169"/>
      <c r="BG29" s="169"/>
      <c r="BH29" s="169"/>
      <c r="BI29" s="169"/>
      <c r="BJ29" s="169"/>
      <c r="BK29" s="169"/>
      <c r="BL29" s="169"/>
      <c r="BM29" s="169"/>
      <c r="BN29" s="169"/>
      <c r="BO29" s="169"/>
      <c r="BP29" s="169"/>
      <c r="BQ29" s="169"/>
      <c r="BR29" s="169"/>
      <c r="BS29" s="169"/>
      <c r="BT29" s="169"/>
      <c r="BU29" s="169"/>
      <c r="BV29" s="169"/>
      <c r="BW29" s="169"/>
      <c r="BX29" s="169"/>
      <c r="BY29" s="169"/>
      <c r="BZ29" s="169"/>
      <c r="CA29" s="169"/>
      <c r="CB29" s="169"/>
      <c r="CC29" s="169"/>
      <c r="CD29" s="169"/>
      <c r="CE29" s="169"/>
      <c r="CF29" s="169"/>
      <c r="CG29" s="169"/>
      <c r="CH29" s="169"/>
      <c r="CI29" s="169"/>
      <c r="CJ29" s="169"/>
      <c r="CK29" s="169"/>
      <c r="CL29" s="169"/>
      <c r="CM29" s="169"/>
      <c r="CN29" s="169"/>
      <c r="CO29" s="169"/>
      <c r="CP29" s="169"/>
      <c r="CQ29" s="169"/>
      <c r="CR29" s="169"/>
      <c r="CS29" s="169"/>
      <c r="CT29" s="169"/>
      <c r="CU29" s="169"/>
      <c r="CV29" s="169"/>
      <c r="CW29" s="169"/>
      <c r="CX29" s="169"/>
      <c r="CY29" s="169"/>
      <c r="CZ29" s="169"/>
      <c r="DA29" s="169"/>
      <c r="DB29" s="169"/>
      <c r="DC29" s="169"/>
      <c r="DD29" s="169"/>
      <c r="DE29" s="169"/>
      <c r="DF29" s="169"/>
      <c r="DG29" s="169"/>
      <c r="DH29" s="169"/>
      <c r="DI29" s="169"/>
      <c r="DJ29" s="169"/>
      <c r="DK29" s="169"/>
      <c r="DL29" s="169"/>
      <c r="DM29" s="169"/>
      <c r="DN29" s="169"/>
      <c r="DO29" s="169"/>
      <c r="DP29" s="169"/>
      <c r="DQ29" s="169"/>
      <c r="DR29" s="169"/>
      <c r="DS29" s="169"/>
      <c r="DT29" s="169"/>
      <c r="DU29" s="169"/>
      <c r="DV29" s="169"/>
      <c r="DW29" s="169"/>
      <c r="DX29" s="169"/>
      <c r="DY29" s="169"/>
      <c r="DZ29" s="169"/>
      <c r="EA29" s="169"/>
      <c r="EB29" s="169"/>
      <c r="EC29" s="169"/>
      <c r="ED29" s="169"/>
      <c r="EE29" s="169"/>
      <c r="EF29" s="169"/>
      <c r="EG29" s="169"/>
      <c r="EH29" s="169"/>
      <c r="EI29" s="169"/>
      <c r="EJ29" s="169"/>
      <c r="EK29" s="169"/>
      <c r="EL29" s="169"/>
      <c r="EM29" s="169"/>
      <c r="EN29" s="169"/>
      <c r="EO29" s="169"/>
      <c r="EP29" s="169"/>
      <c r="EQ29" s="169"/>
      <c r="ER29" s="169"/>
      <c r="ES29" s="169"/>
      <c r="ET29" s="169"/>
      <c r="EU29" s="169"/>
      <c r="EV29" s="169"/>
      <c r="EW29" s="169"/>
      <c r="EX29" s="169"/>
      <c r="EY29" s="169"/>
      <c r="EZ29" s="169"/>
      <c r="FA29" s="169"/>
      <c r="FB29" s="169"/>
      <c r="FC29" s="169"/>
      <c r="FD29" s="169"/>
      <c r="FE29" s="169"/>
      <c r="FF29" s="169"/>
      <c r="FG29" s="169"/>
      <c r="FH29" s="169"/>
      <c r="FI29" s="169"/>
      <c r="FJ29" s="169"/>
      <c r="FK29" s="169"/>
      <c r="FL29" s="169"/>
      <c r="FM29" s="169"/>
      <c r="FN29" s="169"/>
      <c r="FO29" s="169"/>
      <c r="FP29" s="169"/>
      <c r="FQ29" s="169"/>
      <c r="FR29" s="169"/>
      <c r="FS29" s="169"/>
      <c r="FT29" s="169"/>
      <c r="FU29" s="169"/>
      <c r="FV29" s="169"/>
      <c r="FW29" s="169"/>
      <c r="FX29" s="169"/>
      <c r="FY29" s="169"/>
      <c r="FZ29" s="169"/>
      <c r="GA29" s="169"/>
      <c r="GB29" s="169"/>
      <c r="GC29" s="169"/>
      <c r="GD29" s="169"/>
      <c r="GE29" s="169"/>
      <c r="GF29" s="169"/>
      <c r="GG29" s="169"/>
      <c r="GH29" s="169"/>
      <c r="GI29" s="169"/>
      <c r="GJ29" s="169"/>
      <c r="GK29" s="169"/>
      <c r="GL29" s="169"/>
      <c r="GM29" s="169"/>
      <c r="GN29" s="169"/>
      <c r="GO29" s="169"/>
      <c r="GP29" s="169"/>
      <c r="GQ29" s="169"/>
      <c r="GR29" s="169"/>
      <c r="GS29" s="169"/>
      <c r="GT29" s="169"/>
      <c r="GU29" s="169"/>
      <c r="GV29" s="169"/>
      <c r="GW29" s="169"/>
      <c r="GX29" s="169"/>
      <c r="GY29" s="169"/>
      <c r="GZ29" s="169"/>
      <c r="HA29" s="169"/>
      <c r="HB29" s="169"/>
      <c r="HC29" s="169"/>
      <c r="HD29" s="169"/>
      <c r="HE29" s="169"/>
      <c r="HF29" s="169"/>
      <c r="HG29" s="169"/>
      <c r="HH29" s="169"/>
      <c r="HI29" s="169"/>
      <c r="HJ29" s="169"/>
      <c r="HK29" s="169"/>
      <c r="HL29" s="169"/>
      <c r="HM29" s="169"/>
      <c r="HN29" s="169"/>
      <c r="HO29" s="169"/>
      <c r="HP29" s="169"/>
      <c r="HQ29" s="169"/>
      <c r="HR29" s="169"/>
      <c r="HS29" s="169"/>
      <c r="HT29" s="169"/>
      <c r="HU29" s="169"/>
      <c r="HV29" s="169"/>
      <c r="HW29" s="169"/>
      <c r="HX29" s="169"/>
      <c r="HY29" s="169"/>
      <c r="HZ29" s="169"/>
      <c r="IA29" s="169"/>
      <c r="IB29" s="169"/>
      <c r="IC29" s="169"/>
      <c r="ID29" s="169"/>
      <c r="IE29" s="169"/>
      <c r="IF29" s="169"/>
      <c r="IG29" s="169"/>
      <c r="IH29" s="169"/>
      <c r="II29" s="169"/>
      <c r="IJ29" s="169"/>
      <c r="IK29" s="169"/>
      <c r="IL29" s="169"/>
      <c r="IM29" s="169"/>
      <c r="IN29" s="169"/>
      <c r="IO29" s="169"/>
      <c r="IP29" s="169"/>
      <c r="IQ29" s="169"/>
      <c r="IR29" s="169"/>
      <c r="IS29" s="169"/>
      <c r="IT29" s="169"/>
      <c r="IU29" s="169"/>
      <c r="IV29" s="169"/>
    </row>
    <row r="30" spans="1:256" x14ac:dyDescent="0.25">
      <c r="A30" s="170"/>
      <c r="B30" s="604"/>
      <c r="C30" s="604"/>
      <c r="D30" s="618"/>
      <c r="E30" s="618"/>
      <c r="F30" s="170"/>
      <c r="G30" s="173"/>
      <c r="H30" s="173"/>
      <c r="I30" s="173"/>
      <c r="J30" s="173"/>
      <c r="K30" s="173"/>
      <c r="L30" s="1713" t="s">
        <v>1191</v>
      </c>
      <c r="M30" s="1714">
        <f>SUM(M22:M27)</f>
        <v>-2838.52</v>
      </c>
      <c r="N30" s="169"/>
      <c r="O30" s="169"/>
      <c r="P30" s="169"/>
      <c r="Q30" s="169"/>
      <c r="R30" s="169"/>
      <c r="S30" s="169"/>
      <c r="T30" s="169"/>
      <c r="U30" s="169"/>
      <c r="V30" s="169"/>
      <c r="W30" s="169"/>
      <c r="X30" s="169"/>
      <c r="Y30" s="169"/>
      <c r="Z30" s="169"/>
      <c r="AA30" s="169"/>
      <c r="AB30" s="169"/>
      <c r="AC30" s="169"/>
      <c r="AD30" s="169"/>
      <c r="AE30" s="169"/>
      <c r="AF30" s="169"/>
      <c r="AG30" s="169"/>
      <c r="AH30" s="169"/>
      <c r="AI30" s="169"/>
      <c r="AJ30" s="169"/>
      <c r="AK30" s="169"/>
      <c r="AL30" s="169"/>
      <c r="AM30" s="169"/>
      <c r="AN30" s="169"/>
      <c r="AO30" s="169"/>
      <c r="AP30" s="169"/>
      <c r="AQ30" s="169"/>
      <c r="AR30" s="169"/>
      <c r="AS30" s="169"/>
      <c r="AT30" s="169"/>
      <c r="AU30" s="169"/>
      <c r="AV30" s="169"/>
      <c r="AW30" s="169"/>
      <c r="AX30" s="169"/>
      <c r="AY30" s="169"/>
      <c r="AZ30" s="169"/>
      <c r="BA30" s="169"/>
      <c r="BB30" s="169"/>
      <c r="BC30" s="169"/>
      <c r="BD30" s="169"/>
      <c r="BE30" s="169"/>
      <c r="BF30" s="169"/>
      <c r="BG30" s="169"/>
      <c r="BH30" s="169"/>
      <c r="BI30" s="169"/>
      <c r="BJ30" s="169"/>
      <c r="BK30" s="169"/>
      <c r="BL30" s="169"/>
      <c r="BM30" s="169"/>
      <c r="BN30" s="169"/>
      <c r="BO30" s="169"/>
      <c r="BP30" s="169"/>
      <c r="BQ30" s="169"/>
      <c r="BR30" s="169"/>
      <c r="BS30" s="169"/>
      <c r="BT30" s="169"/>
      <c r="BU30" s="169"/>
      <c r="BV30" s="169"/>
      <c r="BW30" s="169"/>
      <c r="BX30" s="169"/>
      <c r="BY30" s="169"/>
      <c r="BZ30" s="169"/>
      <c r="CA30" s="169"/>
      <c r="CB30" s="169"/>
      <c r="CC30" s="169"/>
      <c r="CD30" s="169"/>
      <c r="CE30" s="169"/>
      <c r="CF30" s="169"/>
      <c r="CG30" s="169"/>
      <c r="CH30" s="169"/>
      <c r="CI30" s="169"/>
      <c r="CJ30" s="169"/>
      <c r="CK30" s="169"/>
      <c r="CL30" s="169"/>
      <c r="CM30" s="169"/>
      <c r="CN30" s="169"/>
      <c r="CO30" s="169"/>
      <c r="CP30" s="169"/>
      <c r="CQ30" s="169"/>
      <c r="CR30" s="169"/>
      <c r="CS30" s="169"/>
      <c r="CT30" s="169"/>
      <c r="CU30" s="169"/>
      <c r="CV30" s="169"/>
      <c r="CW30" s="169"/>
      <c r="CX30" s="169"/>
      <c r="CY30" s="169"/>
      <c r="CZ30" s="169"/>
      <c r="DA30" s="169"/>
      <c r="DB30" s="169"/>
      <c r="DC30" s="169"/>
      <c r="DD30" s="169"/>
      <c r="DE30" s="169"/>
      <c r="DF30" s="169"/>
      <c r="DG30" s="169"/>
      <c r="DH30" s="169"/>
      <c r="DI30" s="169"/>
      <c r="DJ30" s="169"/>
      <c r="DK30" s="169"/>
      <c r="DL30" s="169"/>
      <c r="DM30" s="169"/>
      <c r="DN30" s="169"/>
      <c r="DO30" s="169"/>
      <c r="DP30" s="169"/>
      <c r="DQ30" s="169"/>
      <c r="DR30" s="169"/>
      <c r="DS30" s="169"/>
      <c r="DT30" s="169"/>
      <c r="DU30" s="169"/>
      <c r="DV30" s="169"/>
      <c r="DW30" s="169"/>
      <c r="DX30" s="169"/>
      <c r="DY30" s="169"/>
      <c r="DZ30" s="169"/>
      <c r="EA30" s="169"/>
      <c r="EB30" s="169"/>
      <c r="EC30" s="169"/>
      <c r="ED30" s="169"/>
      <c r="EE30" s="169"/>
      <c r="EF30" s="169"/>
      <c r="EG30" s="169"/>
      <c r="EH30" s="169"/>
      <c r="EI30" s="169"/>
      <c r="EJ30" s="169"/>
      <c r="EK30" s="169"/>
      <c r="EL30" s="169"/>
      <c r="EM30" s="169"/>
      <c r="EN30" s="169"/>
      <c r="EO30" s="169"/>
      <c r="EP30" s="169"/>
      <c r="EQ30" s="169"/>
      <c r="ER30" s="169"/>
      <c r="ES30" s="169"/>
      <c r="ET30" s="169"/>
      <c r="EU30" s="169"/>
      <c r="EV30" s="169"/>
      <c r="EW30" s="169"/>
      <c r="EX30" s="169"/>
      <c r="EY30" s="169"/>
      <c r="EZ30" s="169"/>
      <c r="FA30" s="169"/>
      <c r="FB30" s="169"/>
      <c r="FC30" s="169"/>
      <c r="FD30" s="169"/>
      <c r="FE30" s="169"/>
      <c r="FF30" s="169"/>
      <c r="FG30" s="169"/>
      <c r="FH30" s="169"/>
      <c r="FI30" s="169"/>
      <c r="FJ30" s="169"/>
      <c r="FK30" s="169"/>
      <c r="FL30" s="169"/>
      <c r="FM30" s="169"/>
      <c r="FN30" s="169"/>
      <c r="FO30" s="169"/>
      <c r="FP30" s="169"/>
      <c r="FQ30" s="169"/>
      <c r="FR30" s="169"/>
      <c r="FS30" s="169"/>
      <c r="FT30" s="169"/>
      <c r="FU30" s="169"/>
      <c r="FV30" s="169"/>
      <c r="FW30" s="169"/>
      <c r="FX30" s="169"/>
      <c r="FY30" s="169"/>
      <c r="FZ30" s="169"/>
      <c r="GA30" s="169"/>
      <c r="GB30" s="169"/>
      <c r="GC30" s="169"/>
      <c r="GD30" s="169"/>
      <c r="GE30" s="169"/>
      <c r="GF30" s="169"/>
      <c r="GG30" s="169"/>
      <c r="GH30" s="169"/>
      <c r="GI30" s="169"/>
      <c r="GJ30" s="169"/>
      <c r="GK30" s="169"/>
      <c r="GL30" s="169"/>
      <c r="GM30" s="169"/>
      <c r="GN30" s="169"/>
      <c r="GO30" s="169"/>
      <c r="GP30" s="169"/>
      <c r="GQ30" s="169"/>
      <c r="GR30" s="169"/>
      <c r="GS30" s="169"/>
      <c r="GT30" s="169"/>
      <c r="GU30" s="169"/>
      <c r="GV30" s="169"/>
      <c r="GW30" s="169"/>
      <c r="GX30" s="169"/>
      <c r="GY30" s="169"/>
      <c r="GZ30" s="169"/>
      <c r="HA30" s="169"/>
      <c r="HB30" s="169"/>
      <c r="HC30" s="169"/>
      <c r="HD30" s="169"/>
      <c r="HE30" s="169"/>
      <c r="HF30" s="169"/>
      <c r="HG30" s="169"/>
      <c r="HH30" s="169"/>
      <c r="HI30" s="169"/>
      <c r="HJ30" s="169"/>
      <c r="HK30" s="169"/>
      <c r="HL30" s="169"/>
      <c r="HM30" s="169"/>
      <c r="HN30" s="169"/>
      <c r="HO30" s="169"/>
      <c r="HP30" s="169"/>
      <c r="HQ30" s="169"/>
      <c r="HR30" s="169"/>
      <c r="HS30" s="169"/>
      <c r="HT30" s="169"/>
      <c r="HU30" s="169"/>
      <c r="HV30" s="169"/>
      <c r="HW30" s="169"/>
      <c r="HX30" s="169"/>
      <c r="HY30" s="169"/>
      <c r="HZ30" s="169"/>
      <c r="IA30" s="169"/>
      <c r="IB30" s="169"/>
      <c r="IC30" s="169"/>
      <c r="ID30" s="169"/>
      <c r="IE30" s="169"/>
      <c r="IF30" s="169"/>
      <c r="IG30" s="169"/>
      <c r="IH30" s="169"/>
      <c r="II30" s="169"/>
      <c r="IJ30" s="169"/>
      <c r="IK30" s="169"/>
      <c r="IL30" s="169"/>
      <c r="IM30" s="169"/>
      <c r="IN30" s="169"/>
      <c r="IO30" s="169"/>
      <c r="IP30" s="169"/>
      <c r="IQ30" s="169"/>
      <c r="IR30" s="169"/>
      <c r="IS30" s="169"/>
      <c r="IT30" s="169"/>
      <c r="IU30" s="169"/>
      <c r="IV30" s="169"/>
    </row>
    <row r="31" spans="1:256" ht="13.8" thickBot="1" x14ac:dyDescent="0.3">
      <c r="A31" s="170"/>
      <c r="B31" s="604"/>
      <c r="C31" s="604"/>
      <c r="D31" s="618"/>
      <c r="E31" s="618"/>
      <c r="F31" s="170"/>
      <c r="G31" s="173"/>
      <c r="H31" s="173"/>
      <c r="I31" s="173"/>
      <c r="J31" s="173"/>
      <c r="K31" s="173"/>
      <c r="L31" s="173"/>
      <c r="M31" s="479"/>
      <c r="N31" s="169"/>
      <c r="O31" s="169"/>
      <c r="P31" s="169"/>
      <c r="Q31" s="169"/>
      <c r="R31" s="169"/>
      <c r="S31" s="169"/>
      <c r="T31" s="169"/>
      <c r="U31" s="169"/>
      <c r="V31" s="169"/>
      <c r="W31" s="169"/>
      <c r="X31" s="169"/>
      <c r="Y31" s="169"/>
      <c r="Z31" s="169"/>
      <c r="AA31" s="169"/>
      <c r="AB31" s="169"/>
      <c r="AC31" s="169"/>
      <c r="AD31" s="169"/>
      <c r="AE31" s="169"/>
      <c r="AF31" s="169"/>
      <c r="AG31" s="169"/>
      <c r="AH31" s="169"/>
      <c r="AI31" s="169"/>
      <c r="AJ31" s="169"/>
      <c r="AK31" s="169"/>
      <c r="AL31" s="169"/>
      <c r="AM31" s="169"/>
      <c r="AN31" s="169"/>
      <c r="AO31" s="169"/>
      <c r="AP31" s="169"/>
      <c r="AQ31" s="169"/>
      <c r="AR31" s="169"/>
      <c r="AS31" s="169"/>
      <c r="AT31" s="169"/>
      <c r="AU31" s="169"/>
      <c r="AV31" s="169"/>
      <c r="AW31" s="169"/>
      <c r="AX31" s="169"/>
      <c r="AY31" s="169"/>
      <c r="AZ31" s="169"/>
      <c r="BA31" s="169"/>
      <c r="BB31" s="169"/>
      <c r="BC31" s="169"/>
      <c r="BD31" s="169"/>
      <c r="BE31" s="169"/>
      <c r="BF31" s="169"/>
      <c r="BG31" s="169"/>
      <c r="BH31" s="169"/>
      <c r="BI31" s="169"/>
      <c r="BJ31" s="169"/>
      <c r="BK31" s="169"/>
      <c r="BL31" s="169"/>
      <c r="BM31" s="169"/>
      <c r="BN31" s="169"/>
      <c r="BO31" s="169"/>
      <c r="BP31" s="169"/>
      <c r="BQ31" s="169"/>
      <c r="BR31" s="169"/>
      <c r="BS31" s="169"/>
      <c r="BT31" s="169"/>
      <c r="BU31" s="169"/>
      <c r="BV31" s="169"/>
      <c r="BW31" s="169"/>
      <c r="BX31" s="169"/>
      <c r="BY31" s="169"/>
      <c r="BZ31" s="169"/>
      <c r="CA31" s="169"/>
      <c r="CB31" s="169"/>
      <c r="CC31" s="169"/>
      <c r="CD31" s="169"/>
      <c r="CE31" s="169"/>
      <c r="CF31" s="169"/>
      <c r="CG31" s="169"/>
      <c r="CH31" s="169"/>
      <c r="CI31" s="169"/>
      <c r="CJ31" s="169"/>
      <c r="CK31" s="169"/>
      <c r="CL31" s="169"/>
      <c r="CM31" s="169"/>
      <c r="CN31" s="169"/>
      <c r="CO31" s="169"/>
      <c r="CP31" s="169"/>
      <c r="CQ31" s="169"/>
      <c r="CR31" s="169"/>
      <c r="CS31" s="169"/>
      <c r="CT31" s="169"/>
      <c r="CU31" s="169"/>
      <c r="CV31" s="169"/>
      <c r="CW31" s="169"/>
      <c r="CX31" s="169"/>
      <c r="CY31" s="169"/>
      <c r="CZ31" s="169"/>
      <c r="DA31" s="169"/>
      <c r="DB31" s="169"/>
      <c r="DC31" s="169"/>
      <c r="DD31" s="169"/>
      <c r="DE31" s="169"/>
      <c r="DF31" s="169"/>
      <c r="DG31" s="169"/>
      <c r="DH31" s="169"/>
      <c r="DI31" s="169"/>
      <c r="DJ31" s="169"/>
      <c r="DK31" s="169"/>
      <c r="DL31" s="169"/>
      <c r="DM31" s="169"/>
      <c r="DN31" s="169"/>
      <c r="DO31" s="169"/>
      <c r="DP31" s="169"/>
      <c r="DQ31" s="169"/>
      <c r="DR31" s="169"/>
      <c r="DS31" s="169"/>
      <c r="DT31" s="169"/>
      <c r="DU31" s="169"/>
      <c r="DV31" s="169"/>
      <c r="DW31" s="169"/>
      <c r="DX31" s="169"/>
      <c r="DY31" s="169"/>
      <c r="DZ31" s="169"/>
      <c r="EA31" s="169"/>
      <c r="EB31" s="169"/>
      <c r="EC31" s="169"/>
      <c r="ED31" s="169"/>
      <c r="EE31" s="169"/>
      <c r="EF31" s="169"/>
      <c r="EG31" s="169"/>
      <c r="EH31" s="169"/>
      <c r="EI31" s="169"/>
      <c r="EJ31" s="169"/>
      <c r="EK31" s="169"/>
      <c r="EL31" s="169"/>
      <c r="EM31" s="169"/>
      <c r="EN31" s="169"/>
      <c r="EO31" s="169"/>
      <c r="EP31" s="169"/>
      <c r="EQ31" s="169"/>
      <c r="ER31" s="169"/>
      <c r="ES31" s="169"/>
      <c r="ET31" s="169"/>
      <c r="EU31" s="169"/>
      <c r="EV31" s="169"/>
      <c r="EW31" s="169"/>
      <c r="EX31" s="169"/>
      <c r="EY31" s="169"/>
      <c r="EZ31" s="169"/>
      <c r="FA31" s="169"/>
      <c r="FB31" s="169"/>
      <c r="FC31" s="169"/>
      <c r="FD31" s="169"/>
      <c r="FE31" s="169"/>
      <c r="FF31" s="169"/>
      <c r="FG31" s="169"/>
      <c r="FH31" s="169"/>
      <c r="FI31" s="169"/>
      <c r="FJ31" s="169"/>
      <c r="FK31" s="169"/>
      <c r="FL31" s="169"/>
      <c r="FM31" s="169"/>
      <c r="FN31" s="169"/>
      <c r="FO31" s="169"/>
      <c r="FP31" s="169"/>
      <c r="FQ31" s="169"/>
      <c r="FR31" s="169"/>
      <c r="FS31" s="169"/>
      <c r="FT31" s="169"/>
      <c r="FU31" s="169"/>
      <c r="FV31" s="169"/>
      <c r="FW31" s="169"/>
      <c r="FX31" s="169"/>
      <c r="FY31" s="169"/>
      <c r="FZ31" s="169"/>
      <c r="GA31" s="169"/>
      <c r="GB31" s="169"/>
      <c r="GC31" s="169"/>
      <c r="GD31" s="169"/>
      <c r="GE31" s="169"/>
      <c r="GF31" s="169"/>
      <c r="GG31" s="169"/>
      <c r="GH31" s="169"/>
      <c r="GI31" s="169"/>
      <c r="GJ31" s="169"/>
      <c r="GK31" s="169"/>
      <c r="GL31" s="169"/>
      <c r="GM31" s="169"/>
      <c r="GN31" s="169"/>
      <c r="GO31" s="169"/>
      <c r="GP31" s="169"/>
      <c r="GQ31" s="169"/>
      <c r="GR31" s="169"/>
      <c r="GS31" s="169"/>
      <c r="GT31" s="169"/>
      <c r="GU31" s="169"/>
      <c r="GV31" s="169"/>
      <c r="GW31" s="169"/>
      <c r="GX31" s="169"/>
      <c r="GY31" s="169"/>
      <c r="GZ31" s="169"/>
      <c r="HA31" s="169"/>
      <c r="HB31" s="169"/>
      <c r="HC31" s="169"/>
      <c r="HD31" s="169"/>
      <c r="HE31" s="169"/>
      <c r="HF31" s="169"/>
      <c r="HG31" s="169"/>
      <c r="HH31" s="169"/>
      <c r="HI31" s="169"/>
      <c r="HJ31" s="169"/>
      <c r="HK31" s="169"/>
      <c r="HL31" s="169"/>
      <c r="HM31" s="169"/>
      <c r="HN31" s="169"/>
      <c r="HO31" s="169"/>
      <c r="HP31" s="169"/>
      <c r="HQ31" s="169"/>
      <c r="HR31" s="169"/>
      <c r="HS31" s="169"/>
      <c r="HT31" s="169"/>
      <c r="HU31" s="169"/>
      <c r="HV31" s="169"/>
      <c r="HW31" s="169"/>
      <c r="HX31" s="169"/>
      <c r="HY31" s="169"/>
      <c r="HZ31" s="169"/>
      <c r="IA31" s="169"/>
      <c r="IB31" s="169"/>
      <c r="IC31" s="169"/>
      <c r="ID31" s="169"/>
      <c r="IE31" s="169"/>
      <c r="IF31" s="169"/>
      <c r="IG31" s="169"/>
      <c r="IH31" s="169"/>
      <c r="II31" s="169"/>
      <c r="IJ31" s="169"/>
      <c r="IK31" s="169"/>
      <c r="IL31" s="169"/>
      <c r="IM31" s="169"/>
      <c r="IN31" s="169"/>
      <c r="IO31" s="169"/>
      <c r="IP31" s="169"/>
      <c r="IQ31" s="169"/>
      <c r="IR31" s="169"/>
      <c r="IS31" s="169"/>
      <c r="IT31" s="169"/>
      <c r="IU31" s="169"/>
      <c r="IV31" s="169"/>
    </row>
    <row r="32" spans="1:256" x14ac:dyDescent="0.25">
      <c r="A32" s="2295" t="s">
        <v>21</v>
      </c>
      <c r="B32" s="2278"/>
      <c r="C32" s="2296"/>
      <c r="D32" s="2297" t="s">
        <v>52</v>
      </c>
      <c r="E32" s="2296"/>
      <c r="F32" s="2297" t="s">
        <v>53</v>
      </c>
      <c r="G32" s="2296"/>
      <c r="H32" s="2297" t="s">
        <v>54</v>
      </c>
      <c r="I32" s="2278"/>
      <c r="J32" s="2296"/>
      <c r="K32" s="1313" t="s">
        <v>40</v>
      </c>
      <c r="L32" s="331" t="s">
        <v>40</v>
      </c>
      <c r="M32" s="1276" t="s">
        <v>42</v>
      </c>
      <c r="N32" s="169"/>
      <c r="O32" s="169"/>
      <c r="P32" s="169"/>
      <c r="Q32" s="169"/>
      <c r="R32" s="169"/>
      <c r="S32" s="169"/>
      <c r="T32" s="169"/>
      <c r="U32" s="169"/>
      <c r="V32" s="169"/>
      <c r="W32" s="169"/>
      <c r="X32" s="169"/>
      <c r="Y32" s="169"/>
      <c r="Z32" s="169"/>
      <c r="AA32" s="169"/>
      <c r="AB32" s="169"/>
      <c r="AC32" s="169"/>
      <c r="AD32" s="169"/>
      <c r="AE32" s="169"/>
      <c r="AF32" s="169"/>
      <c r="AG32" s="169"/>
      <c r="AH32" s="169"/>
      <c r="AI32" s="169"/>
      <c r="AJ32" s="169"/>
      <c r="AK32" s="169"/>
      <c r="AL32" s="169"/>
      <c r="AM32" s="169"/>
      <c r="AN32" s="169"/>
      <c r="AO32" s="169"/>
      <c r="AP32" s="169"/>
      <c r="AQ32" s="169"/>
      <c r="AR32" s="169"/>
      <c r="AS32" s="169"/>
      <c r="AT32" s="169"/>
      <c r="AU32" s="169"/>
      <c r="AV32" s="169"/>
      <c r="AW32" s="169"/>
      <c r="AX32" s="169"/>
      <c r="AY32" s="169"/>
      <c r="AZ32" s="169"/>
      <c r="BA32" s="169"/>
      <c r="BB32" s="169"/>
      <c r="BC32" s="169"/>
      <c r="BD32" s="169"/>
      <c r="BE32" s="169"/>
      <c r="BF32" s="169"/>
      <c r="BG32" s="169"/>
      <c r="BH32" s="169"/>
      <c r="BI32" s="169"/>
      <c r="BJ32" s="169"/>
      <c r="BK32" s="169"/>
      <c r="BL32" s="169"/>
      <c r="BM32" s="169"/>
      <c r="BN32" s="169"/>
      <c r="BO32" s="169"/>
      <c r="BP32" s="169"/>
      <c r="BQ32" s="169"/>
      <c r="BR32" s="169"/>
      <c r="BS32" s="169"/>
      <c r="BT32" s="169"/>
      <c r="BU32" s="169"/>
      <c r="BV32" s="169"/>
      <c r="BW32" s="169"/>
      <c r="BX32" s="169"/>
      <c r="BY32" s="169"/>
      <c r="BZ32" s="169"/>
      <c r="CA32" s="169"/>
      <c r="CB32" s="169"/>
      <c r="CC32" s="169"/>
      <c r="CD32" s="169"/>
      <c r="CE32" s="169"/>
      <c r="CF32" s="169"/>
      <c r="CG32" s="169"/>
      <c r="CH32" s="169"/>
      <c r="CI32" s="169"/>
      <c r="CJ32" s="169"/>
      <c r="CK32" s="169"/>
      <c r="CL32" s="169"/>
      <c r="CM32" s="169"/>
      <c r="CN32" s="169"/>
      <c r="CO32" s="169"/>
      <c r="CP32" s="169"/>
      <c r="CQ32" s="169"/>
      <c r="CR32" s="169"/>
      <c r="CS32" s="169"/>
      <c r="CT32" s="169"/>
      <c r="CU32" s="169"/>
      <c r="CV32" s="169"/>
      <c r="CW32" s="169"/>
      <c r="CX32" s="169"/>
      <c r="CY32" s="169"/>
      <c r="CZ32" s="169"/>
      <c r="DA32" s="169"/>
      <c r="DB32" s="169"/>
      <c r="DC32" s="169"/>
      <c r="DD32" s="169"/>
      <c r="DE32" s="169"/>
      <c r="DF32" s="169"/>
      <c r="DG32" s="169"/>
      <c r="DH32" s="169"/>
      <c r="DI32" s="169"/>
      <c r="DJ32" s="169"/>
      <c r="DK32" s="169"/>
      <c r="DL32" s="169"/>
      <c r="DM32" s="169"/>
      <c r="DN32" s="169"/>
      <c r="DO32" s="169"/>
      <c r="DP32" s="169"/>
      <c r="DQ32" s="169"/>
      <c r="DR32" s="169"/>
      <c r="DS32" s="169"/>
      <c r="DT32" s="169"/>
      <c r="DU32" s="169"/>
      <c r="DV32" s="169"/>
      <c r="DW32" s="169"/>
      <c r="DX32" s="169"/>
      <c r="DY32" s="169"/>
      <c r="DZ32" s="169"/>
      <c r="EA32" s="169"/>
      <c r="EB32" s="169"/>
      <c r="EC32" s="169"/>
      <c r="ED32" s="169"/>
      <c r="EE32" s="169"/>
      <c r="EF32" s="169"/>
      <c r="EG32" s="169"/>
      <c r="EH32" s="169"/>
      <c r="EI32" s="169"/>
      <c r="EJ32" s="169"/>
      <c r="EK32" s="169"/>
      <c r="EL32" s="169"/>
      <c r="EM32" s="169"/>
      <c r="EN32" s="169"/>
      <c r="EO32" s="169"/>
      <c r="EP32" s="169"/>
      <c r="EQ32" s="169"/>
      <c r="ER32" s="169"/>
      <c r="ES32" s="169"/>
      <c r="ET32" s="169"/>
      <c r="EU32" s="169"/>
      <c r="EV32" s="169"/>
      <c r="EW32" s="169"/>
      <c r="EX32" s="169"/>
      <c r="EY32" s="169"/>
      <c r="EZ32" s="169"/>
      <c r="FA32" s="169"/>
      <c r="FB32" s="169"/>
      <c r="FC32" s="169"/>
      <c r="FD32" s="169"/>
      <c r="FE32" s="169"/>
      <c r="FF32" s="169"/>
      <c r="FG32" s="169"/>
      <c r="FH32" s="169"/>
      <c r="FI32" s="169"/>
      <c r="FJ32" s="169"/>
      <c r="FK32" s="169"/>
      <c r="FL32" s="169"/>
      <c r="FM32" s="169"/>
      <c r="FN32" s="169"/>
      <c r="FO32" s="169"/>
      <c r="FP32" s="169"/>
      <c r="FQ32" s="169"/>
      <c r="FR32" s="169"/>
      <c r="FS32" s="169"/>
      <c r="FT32" s="169"/>
      <c r="FU32" s="169"/>
      <c r="FV32" s="169"/>
      <c r="FW32" s="169"/>
      <c r="FX32" s="169"/>
      <c r="FY32" s="169"/>
      <c r="FZ32" s="169"/>
      <c r="GA32" s="169"/>
      <c r="GB32" s="169"/>
      <c r="GC32" s="169"/>
      <c r="GD32" s="169"/>
      <c r="GE32" s="169"/>
      <c r="GF32" s="169"/>
      <c r="GG32" s="169"/>
      <c r="GH32" s="169"/>
      <c r="GI32" s="169"/>
      <c r="GJ32" s="169"/>
      <c r="GK32" s="169"/>
      <c r="GL32" s="169"/>
      <c r="GM32" s="169"/>
      <c r="GN32" s="169"/>
      <c r="GO32" s="169"/>
      <c r="GP32" s="169"/>
      <c r="GQ32" s="169"/>
      <c r="GR32" s="169"/>
      <c r="GS32" s="169"/>
      <c r="GT32" s="169"/>
      <c r="GU32" s="169"/>
      <c r="GV32" s="169"/>
      <c r="GW32" s="169"/>
      <c r="GX32" s="169"/>
      <c r="GY32" s="169"/>
      <c r="GZ32" s="169"/>
      <c r="HA32" s="169"/>
      <c r="HB32" s="169"/>
      <c r="HC32" s="169"/>
      <c r="HD32" s="169"/>
      <c r="HE32" s="169"/>
      <c r="HF32" s="169"/>
      <c r="HG32" s="169"/>
      <c r="HH32" s="169"/>
      <c r="HI32" s="169"/>
      <c r="HJ32" s="169"/>
      <c r="HK32" s="169"/>
      <c r="HL32" s="169"/>
      <c r="HM32" s="169"/>
      <c r="HN32" s="169"/>
      <c r="HO32" s="169"/>
      <c r="HP32" s="169"/>
      <c r="HQ32" s="169"/>
      <c r="HR32" s="169"/>
      <c r="HS32" s="169"/>
      <c r="HT32" s="169"/>
      <c r="HU32" s="169"/>
      <c r="HV32" s="169"/>
      <c r="HW32" s="169"/>
      <c r="HX32" s="169"/>
      <c r="HY32" s="169"/>
      <c r="HZ32" s="169"/>
      <c r="IA32" s="169"/>
      <c r="IB32" s="169"/>
      <c r="IC32" s="169"/>
      <c r="ID32" s="169"/>
      <c r="IE32" s="169"/>
      <c r="IF32" s="169"/>
      <c r="IG32" s="169"/>
      <c r="IH32" s="169"/>
      <c r="II32" s="169"/>
      <c r="IJ32" s="169"/>
      <c r="IK32" s="169"/>
      <c r="IL32" s="169"/>
      <c r="IM32" s="169"/>
      <c r="IN32" s="169"/>
      <c r="IO32" s="169"/>
      <c r="IP32" s="169"/>
      <c r="IQ32" s="169"/>
      <c r="IR32" s="169"/>
      <c r="IS32" s="169"/>
      <c r="IT32" s="169"/>
      <c r="IU32" s="169"/>
      <c r="IV32" s="169"/>
    </row>
    <row r="33" spans="1:256" x14ac:dyDescent="0.25">
      <c r="A33" s="314"/>
      <c r="B33" s="317"/>
      <c r="C33" s="317" t="s">
        <v>55</v>
      </c>
      <c r="D33" s="317"/>
      <c r="E33" s="315" t="s">
        <v>55</v>
      </c>
      <c r="F33" s="317" t="s">
        <v>56</v>
      </c>
      <c r="G33" s="317" t="s">
        <v>57</v>
      </c>
      <c r="H33" s="1314"/>
      <c r="I33" s="1314"/>
      <c r="J33" s="1315"/>
      <c r="K33" s="316" t="s">
        <v>58</v>
      </c>
      <c r="L33" s="315" t="s">
        <v>59</v>
      </c>
      <c r="M33" s="1277"/>
      <c r="N33" s="169"/>
      <c r="O33" s="169"/>
      <c r="P33" s="169"/>
      <c r="Q33" s="169"/>
      <c r="R33" s="169"/>
      <c r="S33" s="169"/>
      <c r="T33" s="169"/>
      <c r="U33" s="169"/>
      <c r="V33" s="169"/>
      <c r="W33" s="169"/>
      <c r="X33" s="169"/>
      <c r="Y33" s="169"/>
      <c r="Z33" s="169"/>
      <c r="AA33" s="169"/>
      <c r="AB33" s="169"/>
      <c r="AC33" s="169"/>
      <c r="AD33" s="169"/>
      <c r="AE33" s="169"/>
      <c r="AF33" s="169"/>
      <c r="AG33" s="169"/>
      <c r="AH33" s="169"/>
      <c r="AI33" s="169"/>
      <c r="AJ33" s="169"/>
      <c r="AK33" s="169"/>
      <c r="AL33" s="169"/>
      <c r="AM33" s="169"/>
      <c r="AN33" s="169"/>
      <c r="AO33" s="169"/>
      <c r="AP33" s="169"/>
      <c r="AQ33" s="169"/>
      <c r="AR33" s="169"/>
      <c r="AS33" s="169"/>
      <c r="AT33" s="169"/>
      <c r="AU33" s="169"/>
      <c r="AV33" s="169"/>
      <c r="AW33" s="169"/>
      <c r="AX33" s="169"/>
      <c r="AY33" s="169"/>
      <c r="AZ33" s="169"/>
      <c r="BA33" s="169"/>
      <c r="BB33" s="169"/>
      <c r="BC33" s="169"/>
      <c r="BD33" s="169"/>
      <c r="BE33" s="169"/>
      <c r="BF33" s="169"/>
      <c r="BG33" s="169"/>
      <c r="BH33" s="169"/>
      <c r="BI33" s="169"/>
      <c r="BJ33" s="169"/>
      <c r="BK33" s="169"/>
      <c r="BL33" s="169"/>
      <c r="BM33" s="169"/>
      <c r="BN33" s="169"/>
      <c r="BO33" s="169"/>
      <c r="BP33" s="169"/>
      <c r="BQ33" s="169"/>
      <c r="BR33" s="169"/>
      <c r="BS33" s="169"/>
      <c r="BT33" s="169"/>
      <c r="BU33" s="169"/>
      <c r="BV33" s="169"/>
      <c r="BW33" s="169"/>
      <c r="BX33" s="169"/>
      <c r="BY33" s="169"/>
      <c r="BZ33" s="169"/>
      <c r="CA33" s="169"/>
      <c r="CB33" s="169"/>
      <c r="CC33" s="169"/>
      <c r="CD33" s="169"/>
      <c r="CE33" s="169"/>
      <c r="CF33" s="169"/>
      <c r="CG33" s="169"/>
      <c r="CH33" s="169"/>
      <c r="CI33" s="169"/>
      <c r="CJ33" s="169"/>
      <c r="CK33" s="169"/>
      <c r="CL33" s="169"/>
      <c r="CM33" s="169"/>
      <c r="CN33" s="169"/>
      <c r="CO33" s="169"/>
      <c r="CP33" s="169"/>
      <c r="CQ33" s="169"/>
      <c r="CR33" s="169"/>
      <c r="CS33" s="169"/>
      <c r="CT33" s="169"/>
      <c r="CU33" s="169"/>
      <c r="CV33" s="169"/>
      <c r="CW33" s="169"/>
      <c r="CX33" s="169"/>
      <c r="CY33" s="169"/>
      <c r="CZ33" s="169"/>
      <c r="DA33" s="169"/>
      <c r="DB33" s="169"/>
      <c r="DC33" s="169"/>
      <c r="DD33" s="169"/>
      <c r="DE33" s="169"/>
      <c r="DF33" s="169"/>
      <c r="DG33" s="169"/>
      <c r="DH33" s="169"/>
      <c r="DI33" s="169"/>
      <c r="DJ33" s="169"/>
      <c r="DK33" s="169"/>
      <c r="DL33" s="169"/>
      <c r="DM33" s="169"/>
      <c r="DN33" s="169"/>
      <c r="DO33" s="169"/>
      <c r="DP33" s="169"/>
      <c r="DQ33" s="169"/>
      <c r="DR33" s="169"/>
      <c r="DS33" s="169"/>
      <c r="DT33" s="169"/>
      <c r="DU33" s="169"/>
      <c r="DV33" s="169"/>
      <c r="DW33" s="169"/>
      <c r="DX33" s="169"/>
      <c r="DY33" s="169"/>
      <c r="DZ33" s="169"/>
      <c r="EA33" s="169"/>
      <c r="EB33" s="169"/>
      <c r="EC33" s="169"/>
      <c r="ED33" s="169"/>
      <c r="EE33" s="169"/>
      <c r="EF33" s="169"/>
      <c r="EG33" s="169"/>
      <c r="EH33" s="169"/>
      <c r="EI33" s="169"/>
      <c r="EJ33" s="169"/>
      <c r="EK33" s="169"/>
      <c r="EL33" s="169"/>
      <c r="EM33" s="169"/>
      <c r="EN33" s="169"/>
      <c r="EO33" s="169"/>
      <c r="EP33" s="169"/>
      <c r="EQ33" s="169"/>
      <c r="ER33" s="169"/>
      <c r="ES33" s="169"/>
      <c r="ET33" s="169"/>
      <c r="EU33" s="169"/>
      <c r="EV33" s="169"/>
      <c r="EW33" s="169"/>
      <c r="EX33" s="169"/>
      <c r="EY33" s="169"/>
      <c r="EZ33" s="169"/>
      <c r="FA33" s="169"/>
      <c r="FB33" s="169"/>
      <c r="FC33" s="169"/>
      <c r="FD33" s="169"/>
      <c r="FE33" s="169"/>
      <c r="FF33" s="169"/>
      <c r="FG33" s="169"/>
      <c r="FH33" s="169"/>
      <c r="FI33" s="169"/>
      <c r="FJ33" s="169"/>
      <c r="FK33" s="169"/>
      <c r="FL33" s="169"/>
      <c r="FM33" s="169"/>
      <c r="FN33" s="169"/>
      <c r="FO33" s="169"/>
      <c r="FP33" s="169"/>
      <c r="FQ33" s="169"/>
      <c r="FR33" s="169"/>
      <c r="FS33" s="169"/>
      <c r="FT33" s="169"/>
      <c r="FU33" s="169"/>
      <c r="FV33" s="169"/>
      <c r="FW33" s="169"/>
      <c r="FX33" s="169"/>
      <c r="FY33" s="169"/>
      <c r="FZ33" s="169"/>
      <c r="GA33" s="169"/>
      <c r="GB33" s="169"/>
      <c r="GC33" s="169"/>
      <c r="GD33" s="169"/>
      <c r="GE33" s="169"/>
      <c r="GF33" s="169"/>
      <c r="GG33" s="169"/>
      <c r="GH33" s="169"/>
      <c r="GI33" s="169"/>
      <c r="GJ33" s="169"/>
      <c r="GK33" s="169"/>
      <c r="GL33" s="169"/>
      <c r="GM33" s="169"/>
      <c r="GN33" s="169"/>
      <c r="GO33" s="169"/>
      <c r="GP33" s="169"/>
      <c r="GQ33" s="169"/>
      <c r="GR33" s="169"/>
      <c r="GS33" s="169"/>
      <c r="GT33" s="169"/>
      <c r="GU33" s="169"/>
      <c r="GV33" s="169"/>
      <c r="GW33" s="169"/>
      <c r="GX33" s="169"/>
      <c r="GY33" s="169"/>
      <c r="GZ33" s="169"/>
      <c r="HA33" s="169"/>
      <c r="HB33" s="169"/>
      <c r="HC33" s="169"/>
      <c r="HD33" s="169"/>
      <c r="HE33" s="169"/>
      <c r="HF33" s="169"/>
      <c r="HG33" s="169"/>
      <c r="HH33" s="169"/>
      <c r="HI33" s="169"/>
      <c r="HJ33" s="169"/>
      <c r="HK33" s="169"/>
      <c r="HL33" s="169"/>
      <c r="HM33" s="169"/>
      <c r="HN33" s="169"/>
      <c r="HO33" s="169"/>
      <c r="HP33" s="169"/>
      <c r="HQ33" s="169"/>
      <c r="HR33" s="169"/>
      <c r="HS33" s="169"/>
      <c r="HT33" s="169"/>
      <c r="HU33" s="169"/>
      <c r="HV33" s="169"/>
      <c r="HW33" s="169"/>
      <c r="HX33" s="169"/>
      <c r="HY33" s="169"/>
      <c r="HZ33" s="169"/>
      <c r="IA33" s="169"/>
      <c r="IB33" s="169"/>
      <c r="IC33" s="169"/>
      <c r="ID33" s="169"/>
      <c r="IE33" s="169"/>
      <c r="IF33" s="169"/>
      <c r="IG33" s="169"/>
      <c r="IH33" s="169"/>
      <c r="II33" s="169"/>
      <c r="IJ33" s="169"/>
      <c r="IK33" s="169"/>
      <c r="IL33" s="169"/>
      <c r="IM33" s="169"/>
      <c r="IN33" s="169"/>
      <c r="IO33" s="169"/>
      <c r="IP33" s="169"/>
      <c r="IQ33" s="169"/>
      <c r="IR33" s="169"/>
      <c r="IS33" s="169"/>
      <c r="IT33" s="169"/>
      <c r="IU33" s="169"/>
      <c r="IV33" s="169"/>
    </row>
    <row r="34" spans="1:256" ht="13.8" thickBot="1" x14ac:dyDescent="0.3">
      <c r="A34" s="1278" t="s">
        <v>43</v>
      </c>
      <c r="B34" s="322" t="s">
        <v>44</v>
      </c>
      <c r="C34" s="322" t="s">
        <v>60</v>
      </c>
      <c r="D34" s="322" t="s">
        <v>3</v>
      </c>
      <c r="E34" s="323" t="s">
        <v>45</v>
      </c>
      <c r="F34" s="322" t="s">
        <v>46</v>
      </c>
      <c r="G34" s="322" t="s">
        <v>17</v>
      </c>
      <c r="H34" s="322" t="s">
        <v>28</v>
      </c>
      <c r="I34" s="322" t="s">
        <v>61</v>
      </c>
      <c r="J34" s="323" t="s">
        <v>34</v>
      </c>
      <c r="K34" s="321" t="s">
        <v>62</v>
      </c>
      <c r="L34" s="323" t="s">
        <v>63</v>
      </c>
      <c r="M34" s="1279" t="s">
        <v>36</v>
      </c>
      <c r="N34" s="169"/>
      <c r="O34" s="169"/>
      <c r="P34" s="169"/>
      <c r="Q34" s="169"/>
      <c r="R34" s="169"/>
      <c r="S34" s="169"/>
      <c r="T34" s="169"/>
      <c r="U34" s="169"/>
      <c r="V34" s="169"/>
      <c r="W34" s="169"/>
      <c r="X34" s="169"/>
      <c r="Y34" s="169"/>
      <c r="Z34" s="169"/>
      <c r="AA34" s="169"/>
      <c r="AB34" s="169"/>
      <c r="AC34" s="169"/>
      <c r="AD34" s="169"/>
      <c r="AE34" s="169"/>
      <c r="AF34" s="169"/>
      <c r="AG34" s="169"/>
      <c r="AH34" s="169"/>
      <c r="AI34" s="169"/>
      <c r="AJ34" s="169"/>
      <c r="AK34" s="169"/>
      <c r="AL34" s="169"/>
      <c r="AM34" s="169"/>
      <c r="AN34" s="169"/>
      <c r="AO34" s="169"/>
      <c r="AP34" s="169"/>
      <c r="AQ34" s="169"/>
      <c r="AR34" s="169"/>
      <c r="AS34" s="169"/>
      <c r="AT34" s="169"/>
      <c r="AU34" s="169"/>
      <c r="AV34" s="169"/>
      <c r="AW34" s="169"/>
      <c r="AX34" s="169"/>
      <c r="AY34" s="169"/>
      <c r="AZ34" s="169"/>
      <c r="BA34" s="169"/>
      <c r="BB34" s="169"/>
      <c r="BC34" s="169"/>
      <c r="BD34" s="169"/>
      <c r="BE34" s="169"/>
      <c r="BF34" s="169"/>
      <c r="BG34" s="169"/>
      <c r="BH34" s="169"/>
      <c r="BI34" s="169"/>
      <c r="BJ34" s="169"/>
      <c r="BK34" s="169"/>
      <c r="BL34" s="169"/>
      <c r="BM34" s="169"/>
      <c r="BN34" s="169"/>
      <c r="BO34" s="169"/>
      <c r="BP34" s="169"/>
      <c r="BQ34" s="169"/>
      <c r="BR34" s="169"/>
      <c r="BS34" s="169"/>
      <c r="BT34" s="169"/>
      <c r="BU34" s="169"/>
      <c r="BV34" s="169"/>
      <c r="BW34" s="169"/>
      <c r="BX34" s="169"/>
      <c r="BY34" s="169"/>
      <c r="BZ34" s="169"/>
      <c r="CA34" s="169"/>
      <c r="CB34" s="169"/>
      <c r="CC34" s="169"/>
      <c r="CD34" s="169"/>
      <c r="CE34" s="169"/>
      <c r="CF34" s="169"/>
      <c r="CG34" s="169"/>
      <c r="CH34" s="169"/>
      <c r="CI34" s="169"/>
      <c r="CJ34" s="169"/>
      <c r="CK34" s="169"/>
      <c r="CL34" s="169"/>
      <c r="CM34" s="169"/>
      <c r="CN34" s="169"/>
      <c r="CO34" s="169"/>
      <c r="CP34" s="169"/>
      <c r="CQ34" s="169"/>
      <c r="CR34" s="169"/>
      <c r="CS34" s="169"/>
      <c r="CT34" s="169"/>
      <c r="CU34" s="169"/>
      <c r="CV34" s="169"/>
      <c r="CW34" s="169"/>
      <c r="CX34" s="169"/>
      <c r="CY34" s="169"/>
      <c r="CZ34" s="169"/>
      <c r="DA34" s="169"/>
      <c r="DB34" s="169"/>
      <c r="DC34" s="169"/>
      <c r="DD34" s="169"/>
      <c r="DE34" s="169"/>
      <c r="DF34" s="169"/>
      <c r="DG34" s="169"/>
      <c r="DH34" s="169"/>
      <c r="DI34" s="169"/>
      <c r="DJ34" s="169"/>
      <c r="DK34" s="169"/>
      <c r="DL34" s="169"/>
      <c r="DM34" s="169"/>
      <c r="DN34" s="169"/>
      <c r="DO34" s="169"/>
      <c r="DP34" s="169"/>
      <c r="DQ34" s="169"/>
      <c r="DR34" s="169"/>
      <c r="DS34" s="169"/>
      <c r="DT34" s="169"/>
      <c r="DU34" s="169"/>
      <c r="DV34" s="169"/>
      <c r="DW34" s="169"/>
      <c r="DX34" s="169"/>
      <c r="DY34" s="169"/>
      <c r="DZ34" s="169"/>
      <c r="EA34" s="169"/>
      <c r="EB34" s="169"/>
      <c r="EC34" s="169"/>
      <c r="ED34" s="169"/>
      <c r="EE34" s="169"/>
      <c r="EF34" s="169"/>
      <c r="EG34" s="169"/>
      <c r="EH34" s="169"/>
      <c r="EI34" s="169"/>
      <c r="EJ34" s="169"/>
      <c r="EK34" s="169"/>
      <c r="EL34" s="169"/>
      <c r="EM34" s="169"/>
      <c r="EN34" s="169"/>
      <c r="EO34" s="169"/>
      <c r="EP34" s="169"/>
      <c r="EQ34" s="169"/>
      <c r="ER34" s="169"/>
      <c r="ES34" s="169"/>
      <c r="ET34" s="169"/>
      <c r="EU34" s="169"/>
      <c r="EV34" s="169"/>
      <c r="EW34" s="169"/>
      <c r="EX34" s="169"/>
      <c r="EY34" s="169"/>
      <c r="EZ34" s="169"/>
      <c r="FA34" s="169"/>
      <c r="FB34" s="169"/>
      <c r="FC34" s="169"/>
      <c r="FD34" s="169"/>
      <c r="FE34" s="169"/>
      <c r="FF34" s="169"/>
      <c r="FG34" s="169"/>
      <c r="FH34" s="169"/>
      <c r="FI34" s="169"/>
      <c r="FJ34" s="169"/>
      <c r="FK34" s="169"/>
      <c r="FL34" s="169"/>
      <c r="FM34" s="169"/>
      <c r="FN34" s="169"/>
      <c r="FO34" s="169"/>
      <c r="FP34" s="169"/>
      <c r="FQ34" s="169"/>
      <c r="FR34" s="169"/>
      <c r="FS34" s="169"/>
      <c r="FT34" s="169"/>
      <c r="FU34" s="169"/>
      <c r="FV34" s="169"/>
      <c r="FW34" s="169"/>
      <c r="FX34" s="169"/>
      <c r="FY34" s="169"/>
      <c r="FZ34" s="169"/>
      <c r="GA34" s="169"/>
      <c r="GB34" s="169"/>
      <c r="GC34" s="169"/>
      <c r="GD34" s="169"/>
      <c r="GE34" s="169"/>
      <c r="GF34" s="169"/>
      <c r="GG34" s="169"/>
      <c r="GH34" s="169"/>
      <c r="GI34" s="169"/>
      <c r="GJ34" s="169"/>
      <c r="GK34" s="169"/>
      <c r="GL34" s="169"/>
      <c r="GM34" s="169"/>
      <c r="GN34" s="169"/>
      <c r="GO34" s="169"/>
      <c r="GP34" s="169"/>
      <c r="GQ34" s="169"/>
      <c r="GR34" s="169"/>
      <c r="GS34" s="169"/>
      <c r="GT34" s="169"/>
      <c r="GU34" s="169"/>
      <c r="GV34" s="169"/>
      <c r="GW34" s="169"/>
      <c r="GX34" s="169"/>
      <c r="GY34" s="169"/>
      <c r="GZ34" s="169"/>
      <c r="HA34" s="169"/>
      <c r="HB34" s="169"/>
      <c r="HC34" s="169"/>
      <c r="HD34" s="169"/>
      <c r="HE34" s="169"/>
      <c r="HF34" s="169"/>
      <c r="HG34" s="169"/>
      <c r="HH34" s="169"/>
      <c r="HI34" s="169"/>
      <c r="HJ34" s="169"/>
      <c r="HK34" s="169"/>
      <c r="HL34" s="169"/>
      <c r="HM34" s="169"/>
      <c r="HN34" s="169"/>
      <c r="HO34" s="169"/>
      <c r="HP34" s="169"/>
      <c r="HQ34" s="169"/>
      <c r="HR34" s="169"/>
      <c r="HS34" s="169"/>
      <c r="HT34" s="169"/>
      <c r="HU34" s="169"/>
      <c r="HV34" s="169"/>
      <c r="HW34" s="169"/>
      <c r="HX34" s="169"/>
      <c r="HY34" s="169"/>
      <c r="HZ34" s="169"/>
      <c r="IA34" s="169"/>
      <c r="IB34" s="169"/>
      <c r="IC34" s="169"/>
      <c r="ID34" s="169"/>
      <c r="IE34" s="169"/>
      <c r="IF34" s="169"/>
      <c r="IG34" s="169"/>
      <c r="IH34" s="169"/>
      <c r="II34" s="169"/>
      <c r="IJ34" s="169"/>
      <c r="IK34" s="169"/>
      <c r="IL34" s="169"/>
      <c r="IM34" s="169"/>
      <c r="IN34" s="169"/>
      <c r="IO34" s="169"/>
      <c r="IP34" s="169"/>
      <c r="IQ34" s="169"/>
      <c r="IR34" s="169"/>
      <c r="IS34" s="169"/>
      <c r="IT34" s="169"/>
      <c r="IU34" s="169"/>
      <c r="IV34" s="169"/>
    </row>
    <row r="35" spans="1:256" ht="13.8" x14ac:dyDescent="0.25">
      <c r="A35" s="1459" t="s">
        <v>1430</v>
      </c>
      <c r="B35" s="1460"/>
      <c r="C35" s="1461"/>
      <c r="D35" s="1462"/>
      <c r="E35" s="1463"/>
      <c r="F35" s="605"/>
      <c r="G35" s="606"/>
      <c r="H35" s="493"/>
      <c r="I35" s="493"/>
      <c r="J35" s="493"/>
      <c r="K35" s="605"/>
      <c r="L35" s="605"/>
      <c r="M35" s="607"/>
      <c r="N35" s="169"/>
      <c r="O35" s="169"/>
      <c r="P35" s="169"/>
      <c r="Q35" s="169"/>
      <c r="R35" s="169"/>
      <c r="S35" s="169"/>
      <c r="T35" s="169"/>
      <c r="U35" s="169"/>
      <c r="V35" s="169"/>
      <c r="W35" s="169"/>
      <c r="X35" s="169"/>
      <c r="Y35" s="169"/>
      <c r="Z35" s="169"/>
      <c r="AA35" s="169"/>
      <c r="AB35" s="169"/>
      <c r="AC35" s="169"/>
      <c r="AD35" s="169"/>
      <c r="AE35" s="169"/>
      <c r="AF35" s="169"/>
      <c r="AG35" s="169"/>
      <c r="AH35" s="169"/>
      <c r="AI35" s="169"/>
      <c r="AJ35" s="169"/>
      <c r="AK35" s="169"/>
      <c r="AL35" s="169"/>
      <c r="AM35" s="169"/>
      <c r="AN35" s="169"/>
      <c r="AO35" s="169"/>
      <c r="AP35" s="169"/>
      <c r="AQ35" s="169"/>
      <c r="AR35" s="169"/>
      <c r="AS35" s="169"/>
      <c r="AT35" s="169"/>
      <c r="AU35" s="169"/>
      <c r="AV35" s="169"/>
      <c r="AW35" s="169"/>
      <c r="AX35" s="169"/>
      <c r="AY35" s="169"/>
      <c r="AZ35" s="169"/>
      <c r="BA35" s="169"/>
      <c r="BB35" s="169"/>
      <c r="BC35" s="169"/>
      <c r="BD35" s="169"/>
      <c r="BE35" s="169"/>
      <c r="BF35" s="169"/>
      <c r="BG35" s="169"/>
      <c r="BH35" s="169"/>
      <c r="BI35" s="169"/>
      <c r="BJ35" s="169"/>
      <c r="BK35" s="169"/>
      <c r="BL35" s="169"/>
      <c r="BM35" s="169"/>
      <c r="BN35" s="169"/>
      <c r="BO35" s="169"/>
      <c r="BP35" s="169"/>
      <c r="BQ35" s="169"/>
      <c r="BR35" s="169"/>
      <c r="BS35" s="169"/>
      <c r="BT35" s="169"/>
      <c r="BU35" s="169"/>
      <c r="BV35" s="169"/>
      <c r="BW35" s="169"/>
      <c r="BX35" s="169"/>
      <c r="BY35" s="169"/>
      <c r="BZ35" s="169"/>
      <c r="CA35" s="169"/>
      <c r="CB35" s="169"/>
      <c r="CC35" s="169"/>
      <c r="CD35" s="169"/>
      <c r="CE35" s="169"/>
      <c r="CF35" s="169"/>
      <c r="CG35" s="169"/>
      <c r="CH35" s="169"/>
      <c r="CI35" s="169"/>
      <c r="CJ35" s="169"/>
      <c r="CK35" s="169"/>
      <c r="CL35" s="169"/>
      <c r="CM35" s="169"/>
      <c r="CN35" s="169"/>
      <c r="CO35" s="169"/>
      <c r="CP35" s="169"/>
      <c r="CQ35" s="169"/>
      <c r="CR35" s="169"/>
      <c r="CS35" s="169"/>
      <c r="CT35" s="169"/>
      <c r="CU35" s="169"/>
      <c r="CV35" s="169"/>
      <c r="CW35" s="169"/>
      <c r="CX35" s="169"/>
      <c r="CY35" s="169"/>
      <c r="CZ35" s="169"/>
      <c r="DA35" s="169"/>
      <c r="DB35" s="169"/>
      <c r="DC35" s="169"/>
      <c r="DD35" s="169"/>
      <c r="DE35" s="169"/>
      <c r="DF35" s="169"/>
      <c r="DG35" s="169"/>
      <c r="DH35" s="169"/>
      <c r="DI35" s="169"/>
      <c r="DJ35" s="169"/>
      <c r="DK35" s="169"/>
      <c r="DL35" s="169"/>
      <c r="DM35" s="169"/>
      <c r="DN35" s="169"/>
      <c r="DO35" s="169"/>
      <c r="DP35" s="169"/>
      <c r="DQ35" s="169"/>
      <c r="DR35" s="169"/>
      <c r="DS35" s="169"/>
      <c r="DT35" s="169"/>
      <c r="DU35" s="169"/>
      <c r="DV35" s="169"/>
      <c r="DW35" s="169"/>
      <c r="DX35" s="169"/>
      <c r="DY35" s="169"/>
      <c r="DZ35" s="169"/>
      <c r="EA35" s="169"/>
      <c r="EB35" s="169"/>
      <c r="EC35" s="169"/>
      <c r="ED35" s="169"/>
      <c r="EE35" s="169"/>
      <c r="EF35" s="169"/>
      <c r="EG35" s="169"/>
      <c r="EH35" s="169"/>
      <c r="EI35" s="169"/>
      <c r="EJ35" s="169"/>
      <c r="EK35" s="169"/>
      <c r="EL35" s="169"/>
      <c r="EM35" s="169"/>
      <c r="EN35" s="169"/>
      <c r="EO35" s="169"/>
      <c r="EP35" s="169"/>
      <c r="EQ35" s="169"/>
      <c r="ER35" s="169"/>
      <c r="ES35" s="169"/>
      <c r="ET35" s="169"/>
      <c r="EU35" s="169"/>
      <c r="EV35" s="169"/>
      <c r="EW35" s="169"/>
      <c r="EX35" s="169"/>
      <c r="EY35" s="169"/>
      <c r="EZ35" s="169"/>
      <c r="FA35" s="169"/>
      <c r="FB35" s="169"/>
      <c r="FC35" s="169"/>
      <c r="FD35" s="169"/>
      <c r="FE35" s="169"/>
      <c r="FF35" s="169"/>
      <c r="FG35" s="169"/>
      <c r="FH35" s="169"/>
      <c r="FI35" s="169"/>
      <c r="FJ35" s="169"/>
      <c r="FK35" s="169"/>
      <c r="FL35" s="169"/>
      <c r="FM35" s="169"/>
      <c r="FN35" s="169"/>
      <c r="FO35" s="169"/>
      <c r="FP35" s="169"/>
      <c r="FQ35" s="169"/>
      <c r="FR35" s="169"/>
      <c r="FS35" s="169"/>
      <c r="FT35" s="169"/>
      <c r="FU35" s="169"/>
      <c r="FV35" s="169"/>
      <c r="FW35" s="169"/>
      <c r="FX35" s="169"/>
      <c r="FY35" s="169"/>
      <c r="FZ35" s="169"/>
      <c r="GA35" s="169"/>
      <c r="GB35" s="169"/>
      <c r="GC35" s="169"/>
      <c r="GD35" s="169"/>
      <c r="GE35" s="169"/>
      <c r="GF35" s="169"/>
      <c r="GG35" s="169"/>
      <c r="GH35" s="169"/>
      <c r="GI35" s="169"/>
      <c r="GJ35" s="169"/>
      <c r="GK35" s="169"/>
      <c r="GL35" s="169"/>
      <c r="GM35" s="169"/>
      <c r="GN35" s="169"/>
      <c r="GO35" s="169"/>
      <c r="GP35" s="169"/>
      <c r="GQ35" s="169"/>
      <c r="GR35" s="169"/>
      <c r="GS35" s="169"/>
      <c r="GT35" s="169"/>
      <c r="GU35" s="169"/>
      <c r="GV35" s="169"/>
      <c r="GW35" s="169"/>
      <c r="GX35" s="169"/>
      <c r="GY35" s="169"/>
      <c r="GZ35" s="169"/>
      <c r="HA35" s="169"/>
      <c r="HB35" s="169"/>
      <c r="HC35" s="169"/>
      <c r="HD35" s="169"/>
      <c r="HE35" s="169"/>
      <c r="HF35" s="169"/>
      <c r="HG35" s="169"/>
      <c r="HH35" s="169"/>
      <c r="HI35" s="169"/>
      <c r="HJ35" s="169"/>
      <c r="HK35" s="169"/>
      <c r="HL35" s="169"/>
      <c r="HM35" s="169"/>
      <c r="HN35" s="169"/>
      <c r="HO35" s="169"/>
      <c r="HP35" s="169"/>
      <c r="HQ35" s="169"/>
      <c r="HR35" s="169"/>
      <c r="HS35" s="169"/>
      <c r="HT35" s="169"/>
      <c r="HU35" s="169"/>
      <c r="HV35" s="169"/>
      <c r="HW35" s="169"/>
      <c r="HX35" s="169"/>
      <c r="HY35" s="169"/>
      <c r="HZ35" s="169"/>
      <c r="IA35" s="169"/>
      <c r="IB35" s="169"/>
      <c r="IC35" s="169"/>
      <c r="ID35" s="169"/>
      <c r="IE35" s="169"/>
      <c r="IF35" s="169"/>
      <c r="IG35" s="169"/>
      <c r="IH35" s="169"/>
      <c r="II35" s="169"/>
      <c r="IJ35" s="169"/>
      <c r="IK35" s="169"/>
      <c r="IL35" s="169"/>
      <c r="IM35" s="169"/>
      <c r="IN35" s="169"/>
      <c r="IO35" s="169"/>
      <c r="IP35" s="169"/>
      <c r="IQ35" s="169"/>
      <c r="IR35" s="169"/>
      <c r="IS35" s="169"/>
      <c r="IT35" s="169"/>
      <c r="IU35" s="169"/>
      <c r="IV35" s="169"/>
    </row>
    <row r="36" spans="1:256" ht="15" x14ac:dyDescent="0.25">
      <c r="A36" s="1831"/>
      <c r="B36" s="1832"/>
      <c r="C36" s="1833"/>
      <c r="D36" s="1834"/>
      <c r="E36" s="1834"/>
      <c r="F36" s="1834"/>
      <c r="G36" s="1835"/>
      <c r="H36" s="1834"/>
      <c r="I36" s="1834"/>
      <c r="J36" s="1836"/>
      <c r="K36" s="1834"/>
      <c r="L36" s="1834"/>
      <c r="M36" s="1837"/>
      <c r="N36" s="169"/>
      <c r="O36" s="169"/>
      <c r="P36" s="169"/>
      <c r="Q36" s="169"/>
      <c r="R36" s="169"/>
      <c r="S36" s="169"/>
      <c r="T36" s="169"/>
      <c r="U36" s="169"/>
      <c r="V36" s="169"/>
      <c r="W36" s="169"/>
      <c r="X36" s="169"/>
      <c r="Y36" s="169"/>
      <c r="Z36" s="169"/>
      <c r="AA36" s="169"/>
      <c r="AB36" s="169"/>
      <c r="AC36" s="169"/>
      <c r="AD36" s="169"/>
      <c r="AE36" s="169"/>
      <c r="AF36" s="169"/>
      <c r="AG36" s="169"/>
      <c r="AH36" s="169"/>
      <c r="AI36" s="169"/>
      <c r="AJ36" s="169"/>
      <c r="AK36" s="169"/>
      <c r="AL36" s="169"/>
      <c r="AM36" s="169"/>
      <c r="AN36" s="169"/>
      <c r="AO36" s="169"/>
      <c r="AP36" s="169"/>
      <c r="AQ36" s="169"/>
      <c r="AR36" s="169"/>
      <c r="AS36" s="169"/>
      <c r="AT36" s="169"/>
      <c r="AU36" s="169"/>
      <c r="AV36" s="169"/>
      <c r="AW36" s="169"/>
      <c r="AX36" s="169"/>
      <c r="AY36" s="169"/>
      <c r="AZ36" s="169"/>
      <c r="BA36" s="169"/>
      <c r="BB36" s="169"/>
      <c r="BC36" s="169"/>
      <c r="BD36" s="169"/>
      <c r="BE36" s="169"/>
      <c r="BF36" s="169"/>
      <c r="BG36" s="169"/>
      <c r="BH36" s="169"/>
      <c r="BI36" s="169"/>
      <c r="BJ36" s="169"/>
      <c r="BK36" s="169"/>
      <c r="BL36" s="169"/>
      <c r="BM36" s="169"/>
      <c r="BN36" s="169"/>
      <c r="BO36" s="169"/>
      <c r="BP36" s="169"/>
      <c r="BQ36" s="169"/>
      <c r="BR36" s="169"/>
      <c r="BS36" s="169"/>
      <c r="BT36" s="169"/>
      <c r="BU36" s="169"/>
      <c r="BV36" s="169"/>
      <c r="BW36" s="169"/>
      <c r="BX36" s="169"/>
      <c r="BY36" s="169"/>
      <c r="BZ36" s="169"/>
      <c r="CA36" s="169"/>
      <c r="CB36" s="169"/>
      <c r="CC36" s="169"/>
      <c r="CD36" s="169"/>
      <c r="CE36" s="169"/>
      <c r="CF36" s="169"/>
      <c r="CG36" s="169"/>
      <c r="CH36" s="169"/>
      <c r="CI36" s="169"/>
      <c r="CJ36" s="169"/>
      <c r="CK36" s="169"/>
      <c r="CL36" s="169"/>
      <c r="CM36" s="169"/>
      <c r="CN36" s="169"/>
      <c r="CO36" s="169"/>
      <c r="CP36" s="169"/>
      <c r="CQ36" s="169"/>
      <c r="CR36" s="169"/>
      <c r="CS36" s="169"/>
      <c r="CT36" s="169"/>
      <c r="CU36" s="169"/>
      <c r="CV36" s="169"/>
      <c r="CW36" s="169"/>
      <c r="CX36" s="169"/>
      <c r="CY36" s="169"/>
      <c r="CZ36" s="169"/>
      <c r="DA36" s="169"/>
      <c r="DB36" s="169"/>
      <c r="DC36" s="169"/>
      <c r="DD36" s="169"/>
      <c r="DE36" s="169"/>
      <c r="DF36" s="169"/>
      <c r="DG36" s="169"/>
      <c r="DH36" s="169"/>
      <c r="DI36" s="169"/>
      <c r="DJ36" s="169"/>
      <c r="DK36" s="169"/>
      <c r="DL36" s="169"/>
      <c r="DM36" s="169"/>
      <c r="DN36" s="169"/>
      <c r="DO36" s="169"/>
      <c r="DP36" s="169"/>
      <c r="DQ36" s="169"/>
      <c r="DR36" s="169"/>
      <c r="DS36" s="169"/>
      <c r="DT36" s="169"/>
      <c r="DU36" s="169"/>
      <c r="DV36" s="169"/>
      <c r="DW36" s="169"/>
      <c r="DX36" s="169"/>
      <c r="DY36" s="169"/>
      <c r="DZ36" s="169"/>
      <c r="EA36" s="169"/>
      <c r="EB36" s="169"/>
      <c r="EC36" s="169"/>
      <c r="ED36" s="169"/>
      <c r="EE36" s="169"/>
      <c r="EF36" s="169"/>
      <c r="EG36" s="169"/>
      <c r="EH36" s="169"/>
      <c r="EI36" s="169"/>
      <c r="EJ36" s="169"/>
      <c r="EK36" s="169"/>
      <c r="EL36" s="169"/>
      <c r="EM36" s="169"/>
      <c r="EN36" s="169"/>
      <c r="EO36" s="169"/>
      <c r="EP36" s="169"/>
      <c r="EQ36" s="169"/>
      <c r="ER36" s="169"/>
      <c r="ES36" s="169"/>
      <c r="ET36" s="169"/>
      <c r="EU36" s="169"/>
      <c r="EV36" s="169"/>
      <c r="EW36" s="169"/>
      <c r="EX36" s="169"/>
      <c r="EY36" s="169"/>
      <c r="EZ36" s="169"/>
      <c r="FA36" s="169"/>
      <c r="FB36" s="169"/>
      <c r="FC36" s="169"/>
      <c r="FD36" s="169"/>
      <c r="FE36" s="169"/>
      <c r="FF36" s="169"/>
      <c r="FG36" s="169"/>
      <c r="FH36" s="169"/>
      <c r="FI36" s="169"/>
      <c r="FJ36" s="169"/>
      <c r="FK36" s="169"/>
      <c r="FL36" s="169"/>
      <c r="FM36" s="169"/>
      <c r="FN36" s="169"/>
      <c r="FO36" s="169"/>
      <c r="FP36" s="169"/>
      <c r="FQ36" s="169"/>
      <c r="FR36" s="169"/>
      <c r="FS36" s="169"/>
      <c r="FT36" s="169"/>
      <c r="FU36" s="169"/>
      <c r="FV36" s="169"/>
      <c r="FW36" s="169"/>
      <c r="FX36" s="169"/>
      <c r="FY36" s="169"/>
      <c r="FZ36" s="169"/>
      <c r="GA36" s="169"/>
      <c r="GB36" s="169"/>
      <c r="GC36" s="169"/>
      <c r="GD36" s="169"/>
      <c r="GE36" s="169"/>
      <c r="GF36" s="169"/>
      <c r="GG36" s="169"/>
      <c r="GH36" s="169"/>
      <c r="GI36" s="169"/>
      <c r="GJ36" s="169"/>
      <c r="GK36" s="169"/>
      <c r="GL36" s="169"/>
      <c r="GM36" s="169"/>
      <c r="GN36" s="169"/>
      <c r="GO36" s="169"/>
      <c r="GP36" s="169"/>
      <c r="GQ36" s="169"/>
      <c r="GR36" s="169"/>
      <c r="GS36" s="169"/>
      <c r="GT36" s="169"/>
      <c r="GU36" s="169"/>
      <c r="GV36" s="169"/>
      <c r="GW36" s="169"/>
      <c r="GX36" s="169"/>
      <c r="GY36" s="169"/>
      <c r="GZ36" s="169"/>
      <c r="HA36" s="169"/>
      <c r="HB36" s="169"/>
      <c r="HC36" s="169"/>
      <c r="HD36" s="169"/>
      <c r="HE36" s="169"/>
      <c r="HF36" s="169"/>
      <c r="HG36" s="169"/>
      <c r="HH36" s="169"/>
      <c r="HI36" s="169"/>
      <c r="HJ36" s="169"/>
      <c r="HK36" s="169"/>
      <c r="HL36" s="169"/>
      <c r="HM36" s="169"/>
      <c r="HN36" s="169"/>
      <c r="HO36" s="169"/>
      <c r="HP36" s="169"/>
      <c r="HQ36" s="169"/>
      <c r="HR36" s="169"/>
      <c r="HS36" s="169"/>
      <c r="HT36" s="169"/>
      <c r="HU36" s="169"/>
      <c r="HV36" s="169"/>
      <c r="HW36" s="169"/>
      <c r="HX36" s="169"/>
      <c r="HY36" s="169"/>
      <c r="HZ36" s="169"/>
      <c r="IA36" s="169"/>
      <c r="IB36" s="169"/>
      <c r="IC36" s="169"/>
      <c r="ID36" s="169"/>
      <c r="IE36" s="169"/>
      <c r="IF36" s="169"/>
      <c r="IG36" s="169"/>
      <c r="IH36" s="169"/>
      <c r="II36" s="169"/>
      <c r="IJ36" s="169"/>
      <c r="IK36" s="169"/>
      <c r="IL36" s="169"/>
      <c r="IM36" s="169"/>
      <c r="IN36" s="169"/>
      <c r="IO36" s="169"/>
      <c r="IP36" s="169"/>
      <c r="IQ36" s="169"/>
      <c r="IR36" s="169"/>
      <c r="IS36" s="169"/>
      <c r="IT36" s="169"/>
      <c r="IU36" s="169"/>
      <c r="IV36" s="169"/>
    </row>
    <row r="37" spans="1:256" ht="15" x14ac:dyDescent="0.25">
      <c r="A37" s="1801">
        <v>2</v>
      </c>
      <c r="B37" s="1811">
        <v>44712</v>
      </c>
      <c r="C37" s="1812">
        <f>'REINT_REAJ_ (2)'!E19</f>
        <v>142315.32</v>
      </c>
      <c r="D37" s="1813">
        <v>44708</v>
      </c>
      <c r="E37" s="1814">
        <v>2402564.4500000002</v>
      </c>
      <c r="F37" s="1815">
        <v>0.44900000000000001</v>
      </c>
      <c r="G37" s="1816">
        <v>0.64920999999999995</v>
      </c>
      <c r="H37" s="1817">
        <v>811.32</v>
      </c>
      <c r="I37" s="1817">
        <f>I27</f>
        <v>948.77</v>
      </c>
      <c r="J37" s="1817">
        <f t="shared" ref="J37:J44" si="1">J22</f>
        <v>946.24</v>
      </c>
      <c r="K37" s="1818">
        <f>ROUND($E$37*$H$37/I37,2)</f>
        <v>2054500.66</v>
      </c>
      <c r="L37" s="1818">
        <f>ROUND($F$37*$G$37*C37,2)</f>
        <v>41484.25</v>
      </c>
      <c r="M37" s="1820">
        <f>ROUND(L37*(J37-I37)/$H$37,2)</f>
        <v>-129.36000000000001</v>
      </c>
      <c r="N37" s="175"/>
      <c r="O37" s="175"/>
      <c r="P37" s="175"/>
      <c r="Q37" s="175"/>
      <c r="R37" s="175"/>
      <c r="S37" s="175"/>
      <c r="T37" s="175"/>
      <c r="U37" s="175"/>
      <c r="V37" s="175"/>
      <c r="W37" s="175"/>
      <c r="X37" s="175"/>
      <c r="Y37" s="175"/>
      <c r="Z37" s="175"/>
      <c r="AA37" s="175"/>
      <c r="AB37" s="175"/>
      <c r="AC37" s="175"/>
      <c r="AD37" s="175"/>
      <c r="AE37" s="175"/>
      <c r="AF37" s="169"/>
      <c r="AG37" s="169"/>
      <c r="AH37" s="169"/>
      <c r="AI37" s="169"/>
      <c r="AJ37" s="169"/>
      <c r="AK37" s="169"/>
      <c r="AL37" s="169"/>
      <c r="AM37" s="169"/>
      <c r="AN37" s="169"/>
      <c r="AO37" s="169"/>
      <c r="AP37" s="169"/>
      <c r="AQ37" s="169"/>
      <c r="AR37" s="169"/>
      <c r="AS37" s="169"/>
      <c r="AT37" s="169"/>
      <c r="AU37" s="169"/>
      <c r="AV37" s="169"/>
      <c r="AW37" s="169"/>
      <c r="AX37" s="169"/>
      <c r="AY37" s="169"/>
      <c r="AZ37" s="169"/>
      <c r="BA37" s="169"/>
      <c r="BB37" s="169"/>
      <c r="BC37" s="169"/>
      <c r="BD37" s="169"/>
      <c r="BE37" s="169"/>
      <c r="BF37" s="169"/>
      <c r="BG37" s="169"/>
      <c r="BH37" s="169"/>
      <c r="BI37" s="169"/>
      <c r="BJ37" s="169"/>
      <c r="BK37" s="169"/>
      <c r="BL37" s="169"/>
      <c r="BM37" s="169"/>
      <c r="BN37" s="169"/>
      <c r="BO37" s="169"/>
      <c r="BP37" s="169"/>
      <c r="BQ37" s="169"/>
      <c r="BR37" s="169"/>
      <c r="BS37" s="169"/>
      <c r="BT37" s="169"/>
      <c r="BU37" s="169"/>
      <c r="BV37" s="169"/>
      <c r="BW37" s="169"/>
      <c r="BX37" s="169"/>
      <c r="BY37" s="169"/>
      <c r="BZ37" s="169"/>
      <c r="CA37" s="169"/>
      <c r="CB37" s="169"/>
      <c r="CC37" s="169"/>
      <c r="CD37" s="169"/>
      <c r="CE37" s="169"/>
      <c r="CF37" s="169"/>
      <c r="CG37" s="169"/>
      <c r="CH37" s="169"/>
      <c r="CI37" s="169"/>
      <c r="CJ37" s="169"/>
      <c r="CK37" s="169"/>
      <c r="CL37" s="169"/>
      <c r="CM37" s="169"/>
      <c r="CN37" s="169"/>
      <c r="CO37" s="169"/>
      <c r="CP37" s="169"/>
      <c r="CQ37" s="169"/>
      <c r="CR37" s="169"/>
      <c r="CS37" s="169"/>
      <c r="CT37" s="169"/>
      <c r="CU37" s="169"/>
      <c r="CV37" s="169"/>
      <c r="CW37" s="169"/>
      <c r="CX37" s="169"/>
      <c r="CY37" s="169"/>
      <c r="CZ37" s="169"/>
      <c r="DA37" s="169"/>
      <c r="DB37" s="169"/>
      <c r="DC37" s="169"/>
      <c r="DD37" s="169"/>
      <c r="DE37" s="169"/>
      <c r="DF37" s="169"/>
      <c r="DG37" s="169"/>
      <c r="DH37" s="169"/>
      <c r="DI37" s="169"/>
      <c r="DJ37" s="169"/>
      <c r="DK37" s="169"/>
      <c r="DL37" s="169"/>
      <c r="DM37" s="169"/>
      <c r="DN37" s="169"/>
      <c r="DO37" s="169"/>
      <c r="DP37" s="169"/>
      <c r="DQ37" s="169"/>
      <c r="DR37" s="169"/>
      <c r="DS37" s="169"/>
      <c r="DT37" s="169"/>
      <c r="DU37" s="169"/>
      <c r="DV37" s="169"/>
      <c r="DW37" s="169"/>
      <c r="DX37" s="169"/>
      <c r="DY37" s="169"/>
      <c r="DZ37" s="169"/>
      <c r="EA37" s="169"/>
      <c r="EB37" s="169"/>
      <c r="EC37" s="169"/>
      <c r="ED37" s="169"/>
      <c r="EE37" s="169"/>
      <c r="EF37" s="169"/>
      <c r="EG37" s="169"/>
      <c r="EH37" s="169"/>
      <c r="EI37" s="169"/>
      <c r="EJ37" s="169"/>
      <c r="EK37" s="169"/>
      <c r="EL37" s="169"/>
      <c r="EM37" s="169"/>
      <c r="EN37" s="169"/>
      <c r="EO37" s="169"/>
      <c r="EP37" s="169"/>
      <c r="EQ37" s="169"/>
      <c r="ER37" s="169"/>
      <c r="ES37" s="169"/>
      <c r="ET37" s="169"/>
      <c r="EU37" s="169"/>
      <c r="EV37" s="169"/>
      <c r="EW37" s="169"/>
      <c r="EX37" s="169"/>
      <c r="EY37" s="169"/>
      <c r="EZ37" s="169"/>
      <c r="FA37" s="169"/>
      <c r="FB37" s="169"/>
      <c r="FC37" s="169"/>
      <c r="FD37" s="169"/>
      <c r="FE37" s="169"/>
      <c r="FF37" s="169"/>
      <c r="FG37" s="169"/>
      <c r="FH37" s="169"/>
      <c r="FI37" s="169"/>
      <c r="FJ37" s="169"/>
      <c r="FK37" s="169"/>
      <c r="FL37" s="169"/>
      <c r="FM37" s="169"/>
      <c r="FN37" s="169"/>
      <c r="FO37" s="169"/>
      <c r="FP37" s="169"/>
      <c r="FQ37" s="169"/>
      <c r="FR37" s="169"/>
      <c r="FS37" s="169"/>
      <c r="FT37" s="169"/>
      <c r="FU37" s="169"/>
      <c r="FV37" s="169"/>
      <c r="FW37" s="169"/>
      <c r="FX37" s="169"/>
      <c r="FY37" s="169"/>
      <c r="FZ37" s="169"/>
      <c r="GA37" s="169"/>
      <c r="GB37" s="169"/>
      <c r="GC37" s="169"/>
      <c r="GD37" s="169"/>
      <c r="GE37" s="169"/>
      <c r="GF37" s="169"/>
      <c r="GG37" s="169"/>
      <c r="GH37" s="169"/>
      <c r="GI37" s="169"/>
      <c r="GJ37" s="169"/>
      <c r="GK37" s="169"/>
      <c r="GL37" s="169"/>
      <c r="GM37" s="169"/>
      <c r="GN37" s="169"/>
      <c r="GO37" s="169"/>
      <c r="GP37" s="169"/>
      <c r="GQ37" s="169"/>
      <c r="GR37" s="169"/>
      <c r="GS37" s="169"/>
      <c r="GT37" s="169"/>
      <c r="GU37" s="169"/>
      <c r="GV37" s="169"/>
      <c r="GW37" s="169"/>
      <c r="GX37" s="169"/>
      <c r="GY37" s="169"/>
      <c r="GZ37" s="169"/>
      <c r="HA37" s="169"/>
      <c r="HB37" s="169"/>
      <c r="HC37" s="169"/>
      <c r="HD37" s="169"/>
      <c r="HE37" s="169"/>
      <c r="HF37" s="169"/>
      <c r="HG37" s="169"/>
      <c r="HH37" s="169"/>
      <c r="HI37" s="169"/>
      <c r="HJ37" s="169"/>
      <c r="HK37" s="169"/>
      <c r="HL37" s="169"/>
      <c r="HM37" s="169"/>
      <c r="HN37" s="169"/>
      <c r="HO37" s="169"/>
      <c r="HP37" s="169"/>
      <c r="HQ37" s="169"/>
      <c r="HR37" s="169"/>
      <c r="HS37" s="169"/>
      <c r="HT37" s="169"/>
      <c r="HU37" s="169"/>
      <c r="HV37" s="169"/>
      <c r="HW37" s="169"/>
      <c r="HX37" s="169"/>
      <c r="HY37" s="169"/>
      <c r="HZ37" s="169"/>
      <c r="IA37" s="169"/>
      <c r="IB37" s="169"/>
      <c r="IC37" s="169"/>
      <c r="ID37" s="169"/>
      <c r="IE37" s="169"/>
      <c r="IF37" s="169"/>
      <c r="IG37" s="169"/>
      <c r="IH37" s="169"/>
      <c r="II37" s="169"/>
      <c r="IJ37" s="169"/>
      <c r="IK37" s="169"/>
      <c r="IL37" s="169"/>
      <c r="IM37" s="169"/>
      <c r="IN37" s="169"/>
      <c r="IO37" s="169"/>
      <c r="IP37" s="169"/>
      <c r="IQ37" s="169"/>
      <c r="IR37" s="169"/>
      <c r="IS37" s="169"/>
      <c r="IT37" s="169"/>
      <c r="IU37" s="169"/>
      <c r="IV37" s="169"/>
    </row>
    <row r="38" spans="1:256" ht="15" x14ac:dyDescent="0.25">
      <c r="A38" s="1801">
        <v>3</v>
      </c>
      <c r="B38" s="1811">
        <v>44742</v>
      </c>
      <c r="C38" s="1812">
        <f>'REINT_REAJ_ (2)'!E20</f>
        <v>174129.63</v>
      </c>
      <c r="D38" s="1813">
        <v>44708</v>
      </c>
      <c r="E38" s="1814">
        <v>2402564.4500000002</v>
      </c>
      <c r="F38" s="1815">
        <v>0.44900000000000001</v>
      </c>
      <c r="G38" s="1816">
        <v>0.64920999999999995</v>
      </c>
      <c r="H38" s="1817">
        <v>811.32</v>
      </c>
      <c r="I38" s="1817">
        <f>I37</f>
        <v>948.77</v>
      </c>
      <c r="J38" s="1817">
        <f t="shared" si="1"/>
        <v>985.34</v>
      </c>
      <c r="K38" s="1818">
        <f>ROUND($E$37*$H$37/I38,2)-L37</f>
        <v>2013016.41</v>
      </c>
      <c r="L38" s="1818">
        <f>ROUND($F$38*$G$38*C38,2)</f>
        <v>50757.97</v>
      </c>
      <c r="M38" s="1820">
        <f>ROUND(L38*(J38-I38)/$H$38,2)</f>
        <v>2287.9</v>
      </c>
      <c r="N38" s="175"/>
      <c r="O38" s="175"/>
      <c r="P38" s="175"/>
      <c r="Q38" s="175"/>
      <c r="R38" s="175"/>
      <c r="S38" s="175"/>
      <c r="T38" s="175"/>
      <c r="U38" s="175"/>
      <c r="V38" s="175"/>
      <c r="W38" s="175"/>
      <c r="X38" s="175"/>
      <c r="Y38" s="175"/>
      <c r="Z38" s="175"/>
      <c r="AA38" s="175"/>
      <c r="AB38" s="175"/>
      <c r="AC38" s="175"/>
      <c r="AD38" s="175"/>
      <c r="AE38" s="175"/>
      <c r="AF38" s="169"/>
      <c r="AG38" s="169"/>
      <c r="AH38" s="169"/>
      <c r="AI38" s="169"/>
      <c r="AJ38" s="169"/>
      <c r="AK38" s="169"/>
      <c r="AL38" s="169"/>
      <c r="AM38" s="169"/>
      <c r="AN38" s="169"/>
      <c r="AO38" s="169"/>
      <c r="AP38" s="169"/>
      <c r="AQ38" s="169"/>
      <c r="AR38" s="169"/>
      <c r="AS38" s="169"/>
      <c r="AT38" s="169"/>
      <c r="AU38" s="169"/>
      <c r="AV38" s="169"/>
      <c r="AW38" s="169"/>
      <c r="AX38" s="169"/>
      <c r="AY38" s="169"/>
      <c r="AZ38" s="169"/>
      <c r="BA38" s="169"/>
      <c r="BB38" s="169"/>
      <c r="BC38" s="169"/>
      <c r="BD38" s="169"/>
      <c r="BE38" s="169"/>
      <c r="BF38" s="169"/>
      <c r="BG38" s="169"/>
      <c r="BH38" s="169"/>
      <c r="BI38" s="169"/>
      <c r="BJ38" s="169"/>
      <c r="BK38" s="169"/>
      <c r="BL38" s="169"/>
      <c r="BM38" s="169"/>
      <c r="BN38" s="169"/>
      <c r="BO38" s="169"/>
      <c r="BP38" s="169"/>
      <c r="BQ38" s="169"/>
      <c r="BR38" s="169"/>
      <c r="BS38" s="169"/>
      <c r="BT38" s="169"/>
      <c r="BU38" s="169"/>
      <c r="BV38" s="169"/>
      <c r="BW38" s="169"/>
      <c r="BX38" s="169"/>
      <c r="BY38" s="169"/>
      <c r="BZ38" s="169"/>
      <c r="CA38" s="169"/>
      <c r="CB38" s="169"/>
      <c r="CC38" s="169"/>
      <c r="CD38" s="169"/>
      <c r="CE38" s="169"/>
      <c r="CF38" s="169"/>
      <c r="CG38" s="169"/>
      <c r="CH38" s="169"/>
      <c r="CI38" s="169"/>
      <c r="CJ38" s="169"/>
      <c r="CK38" s="169"/>
      <c r="CL38" s="169"/>
      <c r="CM38" s="169"/>
      <c r="CN38" s="169"/>
      <c r="CO38" s="169"/>
      <c r="CP38" s="169"/>
      <c r="CQ38" s="169"/>
      <c r="CR38" s="169"/>
      <c r="CS38" s="169"/>
      <c r="CT38" s="169"/>
      <c r="CU38" s="169"/>
      <c r="CV38" s="169"/>
      <c r="CW38" s="169"/>
      <c r="CX38" s="169"/>
      <c r="CY38" s="169"/>
      <c r="CZ38" s="169"/>
      <c r="DA38" s="169"/>
      <c r="DB38" s="169"/>
      <c r="DC38" s="169"/>
      <c r="DD38" s="169"/>
      <c r="DE38" s="169"/>
      <c r="DF38" s="169"/>
      <c r="DG38" s="169"/>
      <c r="DH38" s="169"/>
      <c r="DI38" s="169"/>
      <c r="DJ38" s="169"/>
      <c r="DK38" s="169"/>
      <c r="DL38" s="169"/>
      <c r="DM38" s="169"/>
      <c r="DN38" s="169"/>
      <c r="DO38" s="169"/>
      <c r="DP38" s="169"/>
      <c r="DQ38" s="169"/>
      <c r="DR38" s="169"/>
      <c r="DS38" s="169"/>
      <c r="DT38" s="169"/>
      <c r="DU38" s="169"/>
      <c r="DV38" s="169"/>
      <c r="DW38" s="169"/>
      <c r="DX38" s="169"/>
      <c r="DY38" s="169"/>
      <c r="DZ38" s="169"/>
      <c r="EA38" s="169"/>
      <c r="EB38" s="169"/>
      <c r="EC38" s="169"/>
      <c r="ED38" s="169"/>
      <c r="EE38" s="169"/>
      <c r="EF38" s="169"/>
      <c r="EG38" s="169"/>
      <c r="EH38" s="169"/>
      <c r="EI38" s="169"/>
      <c r="EJ38" s="169"/>
      <c r="EK38" s="169"/>
      <c r="EL38" s="169"/>
      <c r="EM38" s="169"/>
      <c r="EN38" s="169"/>
      <c r="EO38" s="169"/>
      <c r="EP38" s="169"/>
      <c r="EQ38" s="169"/>
      <c r="ER38" s="169"/>
      <c r="ES38" s="169"/>
      <c r="ET38" s="169"/>
      <c r="EU38" s="169"/>
      <c r="EV38" s="169"/>
      <c r="EW38" s="169"/>
      <c r="EX38" s="169"/>
      <c r="EY38" s="169"/>
      <c r="EZ38" s="169"/>
      <c r="FA38" s="169"/>
      <c r="FB38" s="169"/>
      <c r="FC38" s="169"/>
      <c r="FD38" s="169"/>
      <c r="FE38" s="169"/>
      <c r="FF38" s="169"/>
      <c r="FG38" s="169"/>
      <c r="FH38" s="169"/>
      <c r="FI38" s="169"/>
      <c r="FJ38" s="169"/>
      <c r="FK38" s="169"/>
      <c r="FL38" s="169"/>
      <c r="FM38" s="169"/>
      <c r="FN38" s="169"/>
      <c r="FO38" s="169"/>
      <c r="FP38" s="169"/>
      <c r="FQ38" s="169"/>
      <c r="FR38" s="169"/>
      <c r="FS38" s="169"/>
      <c r="FT38" s="169"/>
      <c r="FU38" s="169"/>
      <c r="FV38" s="169"/>
      <c r="FW38" s="169"/>
      <c r="FX38" s="169"/>
      <c r="FY38" s="169"/>
      <c r="FZ38" s="169"/>
      <c r="GA38" s="169"/>
      <c r="GB38" s="169"/>
      <c r="GC38" s="169"/>
      <c r="GD38" s="169"/>
      <c r="GE38" s="169"/>
      <c r="GF38" s="169"/>
      <c r="GG38" s="169"/>
      <c r="GH38" s="169"/>
      <c r="GI38" s="169"/>
      <c r="GJ38" s="169"/>
      <c r="GK38" s="169"/>
      <c r="GL38" s="169"/>
      <c r="GM38" s="169"/>
      <c r="GN38" s="169"/>
      <c r="GO38" s="169"/>
      <c r="GP38" s="169"/>
      <c r="GQ38" s="169"/>
      <c r="GR38" s="169"/>
      <c r="GS38" s="169"/>
      <c r="GT38" s="169"/>
      <c r="GU38" s="169"/>
      <c r="GV38" s="169"/>
      <c r="GW38" s="169"/>
      <c r="GX38" s="169"/>
      <c r="GY38" s="169"/>
      <c r="GZ38" s="169"/>
      <c r="HA38" s="169"/>
      <c r="HB38" s="169"/>
      <c r="HC38" s="169"/>
      <c r="HD38" s="169"/>
      <c r="HE38" s="169"/>
      <c r="HF38" s="169"/>
      <c r="HG38" s="169"/>
      <c r="HH38" s="169"/>
      <c r="HI38" s="169"/>
      <c r="HJ38" s="169"/>
      <c r="HK38" s="169"/>
      <c r="HL38" s="169"/>
      <c r="HM38" s="169"/>
      <c r="HN38" s="169"/>
      <c r="HO38" s="169"/>
      <c r="HP38" s="169"/>
      <c r="HQ38" s="169"/>
      <c r="HR38" s="169"/>
      <c r="HS38" s="169"/>
      <c r="HT38" s="169"/>
      <c r="HU38" s="169"/>
      <c r="HV38" s="169"/>
      <c r="HW38" s="169"/>
      <c r="HX38" s="169"/>
      <c r="HY38" s="169"/>
      <c r="HZ38" s="169"/>
      <c r="IA38" s="169"/>
      <c r="IB38" s="169"/>
      <c r="IC38" s="169"/>
      <c r="ID38" s="169"/>
      <c r="IE38" s="169"/>
      <c r="IF38" s="169"/>
      <c r="IG38" s="169"/>
      <c r="IH38" s="169"/>
      <c r="II38" s="169"/>
      <c r="IJ38" s="169"/>
      <c r="IK38" s="169"/>
      <c r="IL38" s="169"/>
      <c r="IM38" s="169"/>
      <c r="IN38" s="169"/>
      <c r="IO38" s="169"/>
      <c r="IP38" s="169"/>
      <c r="IQ38" s="169"/>
      <c r="IR38" s="169"/>
      <c r="IS38" s="169"/>
      <c r="IT38" s="169"/>
      <c r="IU38" s="169"/>
      <c r="IV38" s="169"/>
    </row>
    <row r="39" spans="1:256" ht="15" x14ac:dyDescent="0.25">
      <c r="A39" s="1801">
        <v>4</v>
      </c>
      <c r="B39" s="1811">
        <v>44773</v>
      </c>
      <c r="C39" s="1812">
        <f>'REINT_REAJ_ (2)'!E21</f>
        <v>680701.45</v>
      </c>
      <c r="D39" s="1813">
        <v>44708</v>
      </c>
      <c r="E39" s="1814">
        <v>2402564.4500000002</v>
      </c>
      <c r="F39" s="1815">
        <v>0.44900000000000001</v>
      </c>
      <c r="G39" s="1816">
        <v>0.64920999999999995</v>
      </c>
      <c r="H39" s="1817">
        <v>811.32</v>
      </c>
      <c r="I39" s="1817">
        <f t="shared" ref="I39:I44" si="2">I38</f>
        <v>948.77</v>
      </c>
      <c r="J39" s="1817">
        <f t="shared" si="1"/>
        <v>898.31</v>
      </c>
      <c r="K39" s="1818">
        <f>ROUND($E$37*$H$37/I39,2)-L38-L37</f>
        <v>1962258.44</v>
      </c>
      <c r="L39" s="1818">
        <f>ROUND($F$39*$G$39*C39,2)</f>
        <v>198421.27</v>
      </c>
      <c r="M39" s="1820">
        <f>ROUND(L39*(J39-I39)/$H$39,2)</f>
        <v>-12340.8</v>
      </c>
      <c r="N39" s="175"/>
      <c r="O39" s="175"/>
      <c r="P39" s="175"/>
      <c r="Q39" s="175"/>
      <c r="R39" s="175"/>
      <c r="S39" s="175"/>
      <c r="T39" s="175"/>
      <c r="U39" s="175"/>
      <c r="V39" s="175"/>
      <c r="W39" s="175"/>
      <c r="X39" s="175"/>
      <c r="Y39" s="175"/>
      <c r="Z39" s="175"/>
      <c r="AA39" s="175"/>
      <c r="AB39" s="175"/>
      <c r="AC39" s="175"/>
      <c r="AD39" s="175"/>
      <c r="AE39" s="175"/>
      <c r="AF39" s="169"/>
      <c r="AG39" s="169"/>
      <c r="AH39" s="169"/>
      <c r="AI39" s="169"/>
      <c r="AJ39" s="169"/>
      <c r="AK39" s="169"/>
      <c r="AL39" s="169"/>
      <c r="AM39" s="169"/>
      <c r="AN39" s="169"/>
      <c r="AO39" s="169"/>
      <c r="AP39" s="169"/>
      <c r="AQ39" s="169"/>
      <c r="AR39" s="169"/>
      <c r="AS39" s="169"/>
      <c r="AT39" s="169"/>
      <c r="AU39" s="169"/>
      <c r="AV39" s="169"/>
      <c r="AW39" s="169"/>
      <c r="AX39" s="169"/>
      <c r="AY39" s="169"/>
      <c r="AZ39" s="169"/>
      <c r="BA39" s="169"/>
      <c r="BB39" s="169"/>
      <c r="BC39" s="169"/>
      <c r="BD39" s="169"/>
      <c r="BE39" s="169"/>
      <c r="BF39" s="169"/>
      <c r="BG39" s="169"/>
      <c r="BH39" s="169"/>
      <c r="BI39" s="169"/>
      <c r="BJ39" s="169"/>
      <c r="BK39" s="169"/>
      <c r="BL39" s="169"/>
      <c r="BM39" s="169"/>
      <c r="BN39" s="169"/>
      <c r="BO39" s="169"/>
      <c r="BP39" s="169"/>
      <c r="BQ39" s="169"/>
      <c r="BR39" s="169"/>
      <c r="BS39" s="169"/>
      <c r="BT39" s="169"/>
      <c r="BU39" s="169"/>
      <c r="BV39" s="169"/>
      <c r="BW39" s="169"/>
      <c r="BX39" s="169"/>
      <c r="BY39" s="169"/>
      <c r="BZ39" s="169"/>
      <c r="CA39" s="169"/>
      <c r="CB39" s="169"/>
      <c r="CC39" s="169"/>
      <c r="CD39" s="169"/>
      <c r="CE39" s="169"/>
      <c r="CF39" s="169"/>
      <c r="CG39" s="169"/>
      <c r="CH39" s="169"/>
      <c r="CI39" s="169"/>
      <c r="CJ39" s="169"/>
      <c r="CK39" s="169"/>
      <c r="CL39" s="169"/>
      <c r="CM39" s="169"/>
      <c r="CN39" s="169"/>
      <c r="CO39" s="169"/>
      <c r="CP39" s="169"/>
      <c r="CQ39" s="169"/>
      <c r="CR39" s="169"/>
      <c r="CS39" s="169"/>
      <c r="CT39" s="169"/>
      <c r="CU39" s="169"/>
      <c r="CV39" s="169"/>
      <c r="CW39" s="169"/>
      <c r="CX39" s="169"/>
      <c r="CY39" s="169"/>
      <c r="CZ39" s="169"/>
      <c r="DA39" s="169"/>
      <c r="DB39" s="169"/>
      <c r="DC39" s="169"/>
      <c r="DD39" s="169"/>
      <c r="DE39" s="169"/>
      <c r="DF39" s="169"/>
      <c r="DG39" s="169"/>
      <c r="DH39" s="169"/>
      <c r="DI39" s="169"/>
      <c r="DJ39" s="169"/>
      <c r="DK39" s="169"/>
      <c r="DL39" s="169"/>
      <c r="DM39" s="169"/>
      <c r="DN39" s="169"/>
      <c r="DO39" s="169"/>
      <c r="DP39" s="169"/>
      <c r="DQ39" s="169"/>
      <c r="DR39" s="169"/>
      <c r="DS39" s="169"/>
      <c r="DT39" s="169"/>
      <c r="DU39" s="169"/>
      <c r="DV39" s="169"/>
      <c r="DW39" s="169"/>
      <c r="DX39" s="169"/>
      <c r="DY39" s="169"/>
      <c r="DZ39" s="169"/>
      <c r="EA39" s="169"/>
      <c r="EB39" s="169"/>
      <c r="EC39" s="169"/>
      <c r="ED39" s="169"/>
      <c r="EE39" s="169"/>
      <c r="EF39" s="169"/>
      <c r="EG39" s="169"/>
      <c r="EH39" s="169"/>
      <c r="EI39" s="169"/>
      <c r="EJ39" s="169"/>
      <c r="EK39" s="169"/>
      <c r="EL39" s="169"/>
      <c r="EM39" s="169"/>
      <c r="EN39" s="169"/>
      <c r="EO39" s="169"/>
      <c r="EP39" s="169"/>
      <c r="EQ39" s="169"/>
      <c r="ER39" s="169"/>
      <c r="ES39" s="169"/>
      <c r="ET39" s="169"/>
      <c r="EU39" s="169"/>
      <c r="EV39" s="169"/>
      <c r="EW39" s="169"/>
      <c r="EX39" s="169"/>
      <c r="EY39" s="169"/>
      <c r="EZ39" s="169"/>
      <c r="FA39" s="169"/>
      <c r="FB39" s="169"/>
      <c r="FC39" s="169"/>
      <c r="FD39" s="169"/>
      <c r="FE39" s="169"/>
      <c r="FF39" s="169"/>
      <c r="FG39" s="169"/>
      <c r="FH39" s="169"/>
      <c r="FI39" s="169"/>
      <c r="FJ39" s="169"/>
      <c r="FK39" s="169"/>
      <c r="FL39" s="169"/>
      <c r="FM39" s="169"/>
      <c r="FN39" s="169"/>
      <c r="FO39" s="169"/>
      <c r="FP39" s="169"/>
      <c r="FQ39" s="169"/>
      <c r="FR39" s="169"/>
      <c r="FS39" s="169"/>
      <c r="FT39" s="169"/>
      <c r="FU39" s="169"/>
      <c r="FV39" s="169"/>
      <c r="FW39" s="169"/>
      <c r="FX39" s="169"/>
      <c r="FY39" s="169"/>
      <c r="FZ39" s="169"/>
      <c r="GA39" s="169"/>
      <c r="GB39" s="169"/>
      <c r="GC39" s="169"/>
      <c r="GD39" s="169"/>
      <c r="GE39" s="169"/>
      <c r="GF39" s="169"/>
      <c r="GG39" s="169"/>
      <c r="GH39" s="169"/>
      <c r="GI39" s="169"/>
      <c r="GJ39" s="169"/>
      <c r="GK39" s="169"/>
      <c r="GL39" s="169"/>
      <c r="GM39" s="169"/>
      <c r="GN39" s="169"/>
      <c r="GO39" s="169"/>
      <c r="GP39" s="169"/>
      <c r="GQ39" s="169"/>
      <c r="GR39" s="169"/>
      <c r="GS39" s="169"/>
      <c r="GT39" s="169"/>
      <c r="GU39" s="169"/>
      <c r="GV39" s="169"/>
      <c r="GW39" s="169"/>
      <c r="GX39" s="169"/>
      <c r="GY39" s="169"/>
      <c r="GZ39" s="169"/>
      <c r="HA39" s="169"/>
      <c r="HB39" s="169"/>
      <c r="HC39" s="169"/>
      <c r="HD39" s="169"/>
      <c r="HE39" s="169"/>
      <c r="HF39" s="169"/>
      <c r="HG39" s="169"/>
      <c r="HH39" s="169"/>
      <c r="HI39" s="169"/>
      <c r="HJ39" s="169"/>
      <c r="HK39" s="169"/>
      <c r="HL39" s="169"/>
      <c r="HM39" s="169"/>
      <c r="HN39" s="169"/>
      <c r="HO39" s="169"/>
      <c r="HP39" s="169"/>
      <c r="HQ39" s="169"/>
      <c r="HR39" s="169"/>
      <c r="HS39" s="169"/>
      <c r="HT39" s="169"/>
      <c r="HU39" s="169"/>
      <c r="HV39" s="169"/>
      <c r="HW39" s="169"/>
      <c r="HX39" s="169"/>
      <c r="HY39" s="169"/>
      <c r="HZ39" s="169"/>
      <c r="IA39" s="169"/>
      <c r="IB39" s="169"/>
      <c r="IC39" s="169"/>
      <c r="ID39" s="169"/>
      <c r="IE39" s="169"/>
      <c r="IF39" s="169"/>
      <c r="IG39" s="169"/>
      <c r="IH39" s="169"/>
      <c r="II39" s="169"/>
      <c r="IJ39" s="169"/>
      <c r="IK39" s="169"/>
      <c r="IL39" s="169"/>
      <c r="IM39" s="169"/>
      <c r="IN39" s="169"/>
      <c r="IO39" s="169"/>
      <c r="IP39" s="169"/>
      <c r="IQ39" s="169"/>
      <c r="IR39" s="169"/>
      <c r="IS39" s="169"/>
      <c r="IT39" s="169"/>
      <c r="IU39" s="169"/>
      <c r="IV39" s="169"/>
    </row>
    <row r="40" spans="1:256" ht="15" x14ac:dyDescent="0.25">
      <c r="A40" s="1801">
        <v>5</v>
      </c>
      <c r="B40" s="1811">
        <v>44804</v>
      </c>
      <c r="C40" s="1812">
        <f>'REINT_REAJ_ (2)'!E22</f>
        <v>1560353.15</v>
      </c>
      <c r="D40" s="1813">
        <v>44708</v>
      </c>
      <c r="E40" s="1814">
        <v>2402564.4500000002</v>
      </c>
      <c r="F40" s="1815">
        <v>0.44900000000000001</v>
      </c>
      <c r="G40" s="1816">
        <v>0.64920999999999995</v>
      </c>
      <c r="H40" s="1817">
        <v>811.32</v>
      </c>
      <c r="I40" s="1817">
        <f t="shared" si="2"/>
        <v>948.77</v>
      </c>
      <c r="J40" s="1817">
        <f t="shared" si="1"/>
        <v>894.62</v>
      </c>
      <c r="K40" s="1818">
        <f>ROUND($E$37*$H$37/I40,2)-L39-L38-L37</f>
        <v>1763837.17</v>
      </c>
      <c r="L40" s="1818">
        <f>ROUND($F$40*$G$40*C40,2)</f>
        <v>454835.59</v>
      </c>
      <c r="M40" s="1820">
        <f>ROUND(L40*(J40-I40)/$H$40,2)</f>
        <v>-30357.13</v>
      </c>
      <c r="N40" s="175"/>
      <c r="O40" s="175"/>
      <c r="P40" s="175"/>
      <c r="Q40" s="175"/>
      <c r="R40" s="175"/>
      <c r="S40" s="175"/>
      <c r="T40" s="175"/>
      <c r="U40" s="175"/>
      <c r="V40" s="175"/>
      <c r="W40" s="175"/>
      <c r="X40" s="175"/>
      <c r="Y40" s="175"/>
      <c r="Z40" s="175"/>
      <c r="AA40" s="175"/>
      <c r="AB40" s="175"/>
      <c r="AC40" s="175"/>
      <c r="AD40" s="175"/>
      <c r="AE40" s="175"/>
      <c r="AF40" s="169"/>
      <c r="AG40" s="169"/>
      <c r="AH40" s="169"/>
      <c r="AI40" s="169"/>
      <c r="AJ40" s="169"/>
      <c r="AK40" s="169"/>
      <c r="AL40" s="169"/>
      <c r="AM40" s="169"/>
      <c r="AN40" s="169"/>
      <c r="AO40" s="169"/>
      <c r="AP40" s="169"/>
      <c r="AQ40" s="169"/>
      <c r="AR40" s="169"/>
      <c r="AS40" s="169"/>
      <c r="AT40" s="169"/>
      <c r="AU40" s="169"/>
      <c r="AV40" s="169"/>
      <c r="AW40" s="169"/>
      <c r="AX40" s="169"/>
      <c r="AY40" s="169"/>
      <c r="AZ40" s="169"/>
      <c r="BA40" s="169"/>
      <c r="BB40" s="169"/>
      <c r="BC40" s="169"/>
      <c r="BD40" s="169"/>
      <c r="BE40" s="169"/>
      <c r="BF40" s="169"/>
      <c r="BG40" s="169"/>
      <c r="BH40" s="169"/>
      <c r="BI40" s="169"/>
      <c r="BJ40" s="169"/>
      <c r="BK40" s="169"/>
      <c r="BL40" s="169"/>
      <c r="BM40" s="169"/>
      <c r="BN40" s="169"/>
      <c r="BO40" s="169"/>
      <c r="BP40" s="169"/>
      <c r="BQ40" s="169"/>
      <c r="BR40" s="169"/>
      <c r="BS40" s="169"/>
      <c r="BT40" s="169"/>
      <c r="BU40" s="169"/>
      <c r="BV40" s="169"/>
      <c r="BW40" s="169"/>
      <c r="BX40" s="169"/>
      <c r="BY40" s="169"/>
      <c r="BZ40" s="169"/>
      <c r="CA40" s="169"/>
      <c r="CB40" s="169"/>
      <c r="CC40" s="169"/>
      <c r="CD40" s="169"/>
      <c r="CE40" s="169"/>
      <c r="CF40" s="169"/>
      <c r="CG40" s="169"/>
      <c r="CH40" s="169"/>
      <c r="CI40" s="169"/>
      <c r="CJ40" s="169"/>
      <c r="CK40" s="169"/>
      <c r="CL40" s="169"/>
      <c r="CM40" s="169"/>
      <c r="CN40" s="169"/>
      <c r="CO40" s="169"/>
      <c r="CP40" s="169"/>
      <c r="CQ40" s="169"/>
      <c r="CR40" s="169"/>
      <c r="CS40" s="169"/>
      <c r="CT40" s="169"/>
      <c r="CU40" s="169"/>
      <c r="CV40" s="169"/>
      <c r="CW40" s="169"/>
      <c r="CX40" s="169"/>
      <c r="CY40" s="169"/>
      <c r="CZ40" s="169"/>
      <c r="DA40" s="169"/>
      <c r="DB40" s="169"/>
      <c r="DC40" s="169"/>
      <c r="DD40" s="169"/>
      <c r="DE40" s="169"/>
      <c r="DF40" s="169"/>
      <c r="DG40" s="169"/>
      <c r="DH40" s="169"/>
      <c r="DI40" s="169"/>
      <c r="DJ40" s="169"/>
      <c r="DK40" s="169"/>
      <c r="DL40" s="169"/>
      <c r="DM40" s="169"/>
      <c r="DN40" s="169"/>
      <c r="DO40" s="169"/>
      <c r="DP40" s="169"/>
      <c r="DQ40" s="169"/>
      <c r="DR40" s="169"/>
      <c r="DS40" s="169"/>
      <c r="DT40" s="169"/>
      <c r="DU40" s="169"/>
      <c r="DV40" s="169"/>
      <c r="DW40" s="169"/>
      <c r="DX40" s="169"/>
      <c r="DY40" s="169"/>
      <c r="DZ40" s="169"/>
      <c r="EA40" s="169"/>
      <c r="EB40" s="169"/>
      <c r="EC40" s="169"/>
      <c r="ED40" s="169"/>
      <c r="EE40" s="169"/>
      <c r="EF40" s="169"/>
      <c r="EG40" s="169"/>
      <c r="EH40" s="169"/>
      <c r="EI40" s="169"/>
      <c r="EJ40" s="169"/>
      <c r="EK40" s="169"/>
      <c r="EL40" s="169"/>
      <c r="EM40" s="169"/>
      <c r="EN40" s="169"/>
      <c r="EO40" s="169"/>
      <c r="EP40" s="169"/>
      <c r="EQ40" s="169"/>
      <c r="ER40" s="169"/>
      <c r="ES40" s="169"/>
      <c r="ET40" s="169"/>
      <c r="EU40" s="169"/>
      <c r="EV40" s="169"/>
      <c r="EW40" s="169"/>
      <c r="EX40" s="169"/>
      <c r="EY40" s="169"/>
      <c r="EZ40" s="169"/>
      <c r="FA40" s="169"/>
      <c r="FB40" s="169"/>
      <c r="FC40" s="169"/>
      <c r="FD40" s="169"/>
      <c r="FE40" s="169"/>
      <c r="FF40" s="169"/>
      <c r="FG40" s="169"/>
      <c r="FH40" s="169"/>
      <c r="FI40" s="169"/>
      <c r="FJ40" s="169"/>
      <c r="FK40" s="169"/>
      <c r="FL40" s="169"/>
      <c r="FM40" s="169"/>
      <c r="FN40" s="169"/>
      <c r="FO40" s="169"/>
      <c r="FP40" s="169"/>
      <c r="FQ40" s="169"/>
      <c r="FR40" s="169"/>
      <c r="FS40" s="169"/>
      <c r="FT40" s="169"/>
      <c r="FU40" s="169"/>
      <c r="FV40" s="169"/>
      <c r="FW40" s="169"/>
      <c r="FX40" s="169"/>
      <c r="FY40" s="169"/>
      <c r="FZ40" s="169"/>
      <c r="GA40" s="169"/>
      <c r="GB40" s="169"/>
      <c r="GC40" s="169"/>
      <c r="GD40" s="169"/>
      <c r="GE40" s="169"/>
      <c r="GF40" s="169"/>
      <c r="GG40" s="169"/>
      <c r="GH40" s="169"/>
      <c r="GI40" s="169"/>
      <c r="GJ40" s="169"/>
      <c r="GK40" s="169"/>
      <c r="GL40" s="169"/>
      <c r="GM40" s="169"/>
      <c r="GN40" s="169"/>
      <c r="GO40" s="169"/>
      <c r="GP40" s="169"/>
      <c r="GQ40" s="169"/>
      <c r="GR40" s="169"/>
      <c r="GS40" s="169"/>
      <c r="GT40" s="169"/>
      <c r="GU40" s="169"/>
      <c r="GV40" s="169"/>
      <c r="GW40" s="169"/>
      <c r="GX40" s="169"/>
      <c r="GY40" s="169"/>
      <c r="GZ40" s="169"/>
      <c r="HA40" s="169"/>
      <c r="HB40" s="169"/>
      <c r="HC40" s="169"/>
      <c r="HD40" s="169"/>
      <c r="HE40" s="169"/>
      <c r="HF40" s="169"/>
      <c r="HG40" s="169"/>
      <c r="HH40" s="169"/>
      <c r="HI40" s="169"/>
      <c r="HJ40" s="169"/>
      <c r="HK40" s="169"/>
      <c r="HL40" s="169"/>
      <c r="HM40" s="169"/>
      <c r="HN40" s="169"/>
      <c r="HO40" s="169"/>
      <c r="HP40" s="169"/>
      <c r="HQ40" s="169"/>
      <c r="HR40" s="169"/>
      <c r="HS40" s="169"/>
      <c r="HT40" s="169"/>
      <c r="HU40" s="169"/>
      <c r="HV40" s="169"/>
      <c r="HW40" s="169"/>
      <c r="HX40" s="169"/>
      <c r="HY40" s="169"/>
      <c r="HZ40" s="169"/>
      <c r="IA40" s="169"/>
      <c r="IB40" s="169"/>
      <c r="IC40" s="169"/>
      <c r="ID40" s="169"/>
      <c r="IE40" s="169"/>
      <c r="IF40" s="169"/>
      <c r="IG40" s="169"/>
      <c r="IH40" s="169"/>
      <c r="II40" s="169"/>
      <c r="IJ40" s="169"/>
      <c r="IK40" s="169"/>
      <c r="IL40" s="169"/>
      <c r="IM40" s="169"/>
      <c r="IN40" s="169"/>
      <c r="IO40" s="169"/>
      <c r="IP40" s="169"/>
      <c r="IQ40" s="169"/>
      <c r="IR40" s="169"/>
      <c r="IS40" s="169"/>
      <c r="IT40" s="169"/>
      <c r="IU40" s="169"/>
      <c r="IV40" s="169"/>
    </row>
    <row r="41" spans="1:256" ht="15" x14ac:dyDescent="0.25">
      <c r="A41" s="1801">
        <v>6</v>
      </c>
      <c r="B41" s="1811">
        <v>44834</v>
      </c>
      <c r="C41" s="1812">
        <f>'REINT_REAJ_ (2)'!E23</f>
        <v>1669307.74</v>
      </c>
      <c r="D41" s="1813">
        <v>44708</v>
      </c>
      <c r="E41" s="1814">
        <v>2402564.4500000002</v>
      </c>
      <c r="F41" s="1815">
        <v>0.44900000000000001</v>
      </c>
      <c r="G41" s="1816">
        <v>0.64920999999999995</v>
      </c>
      <c r="H41" s="1817">
        <v>811.32</v>
      </c>
      <c r="I41" s="1817">
        <f t="shared" si="2"/>
        <v>948.77</v>
      </c>
      <c r="J41" s="1817">
        <f t="shared" si="1"/>
        <v>913.2</v>
      </c>
      <c r="K41" s="1818">
        <f>ROUND($E$37*$H$37/I41,2)-L40-L39-L38-L37</f>
        <v>1309001.5799999998</v>
      </c>
      <c r="L41" s="1818">
        <f>ROUND($F$41*$G$41*C41,2)</f>
        <v>486595.34</v>
      </c>
      <c r="M41" s="1820">
        <f>ROUND(L41*(J41-I41)/$H$41,2)</f>
        <v>-21333.38</v>
      </c>
      <c r="N41" s="175"/>
      <c r="O41" s="175"/>
      <c r="P41" s="175"/>
      <c r="Q41" s="175"/>
      <c r="R41" s="175"/>
      <c r="S41" s="175"/>
      <c r="T41" s="175"/>
      <c r="U41" s="175"/>
      <c r="V41" s="175"/>
      <c r="W41" s="175"/>
      <c r="X41" s="175"/>
      <c r="Y41" s="175"/>
      <c r="Z41" s="175"/>
      <c r="AA41" s="175"/>
      <c r="AB41" s="175"/>
      <c r="AC41" s="175"/>
      <c r="AD41" s="175"/>
      <c r="AE41" s="175"/>
      <c r="AF41" s="169"/>
      <c r="AG41" s="169"/>
      <c r="AH41" s="169"/>
      <c r="AI41" s="169"/>
      <c r="AJ41" s="169"/>
      <c r="AK41" s="169"/>
      <c r="AL41" s="169"/>
      <c r="AM41" s="169"/>
      <c r="AN41" s="169"/>
      <c r="AO41" s="169"/>
      <c r="AP41" s="169"/>
      <c r="AQ41" s="169"/>
      <c r="AR41" s="169"/>
      <c r="AS41" s="169"/>
      <c r="AT41" s="169"/>
      <c r="AU41" s="169"/>
      <c r="AV41" s="169"/>
      <c r="AW41" s="169"/>
      <c r="AX41" s="169"/>
      <c r="AY41" s="169"/>
      <c r="AZ41" s="169"/>
      <c r="BA41" s="169"/>
      <c r="BB41" s="169"/>
      <c r="BC41" s="169"/>
      <c r="BD41" s="169"/>
      <c r="BE41" s="169"/>
      <c r="BF41" s="169"/>
      <c r="BG41" s="169"/>
      <c r="BH41" s="169"/>
      <c r="BI41" s="169"/>
      <c r="BJ41" s="169"/>
      <c r="BK41" s="169"/>
      <c r="BL41" s="169"/>
      <c r="BM41" s="169"/>
      <c r="BN41" s="169"/>
      <c r="BO41" s="169"/>
      <c r="BP41" s="169"/>
      <c r="BQ41" s="169"/>
      <c r="BR41" s="169"/>
      <c r="BS41" s="169"/>
      <c r="BT41" s="169"/>
      <c r="BU41" s="169"/>
      <c r="BV41" s="169"/>
      <c r="BW41" s="169"/>
      <c r="BX41" s="169"/>
      <c r="BY41" s="169"/>
      <c r="BZ41" s="169"/>
      <c r="CA41" s="169"/>
      <c r="CB41" s="169"/>
      <c r="CC41" s="169"/>
      <c r="CD41" s="169"/>
      <c r="CE41" s="169"/>
      <c r="CF41" s="169"/>
      <c r="CG41" s="169"/>
      <c r="CH41" s="169"/>
      <c r="CI41" s="169"/>
      <c r="CJ41" s="169"/>
      <c r="CK41" s="169"/>
      <c r="CL41" s="169"/>
      <c r="CM41" s="169"/>
      <c r="CN41" s="169"/>
      <c r="CO41" s="169"/>
      <c r="CP41" s="169"/>
      <c r="CQ41" s="169"/>
      <c r="CR41" s="169"/>
      <c r="CS41" s="169"/>
      <c r="CT41" s="169"/>
      <c r="CU41" s="169"/>
      <c r="CV41" s="169"/>
      <c r="CW41" s="169"/>
      <c r="CX41" s="169"/>
      <c r="CY41" s="169"/>
      <c r="CZ41" s="169"/>
      <c r="DA41" s="169"/>
      <c r="DB41" s="169"/>
      <c r="DC41" s="169"/>
      <c r="DD41" s="169"/>
      <c r="DE41" s="169"/>
      <c r="DF41" s="169"/>
      <c r="DG41" s="169"/>
      <c r="DH41" s="169"/>
      <c r="DI41" s="169"/>
      <c r="DJ41" s="169"/>
      <c r="DK41" s="169"/>
      <c r="DL41" s="169"/>
      <c r="DM41" s="169"/>
      <c r="DN41" s="169"/>
      <c r="DO41" s="169"/>
      <c r="DP41" s="169"/>
      <c r="DQ41" s="169"/>
      <c r="DR41" s="169"/>
      <c r="DS41" s="169"/>
      <c r="DT41" s="169"/>
      <c r="DU41" s="169"/>
      <c r="DV41" s="169"/>
      <c r="DW41" s="169"/>
      <c r="DX41" s="169"/>
      <c r="DY41" s="169"/>
      <c r="DZ41" s="169"/>
      <c r="EA41" s="169"/>
      <c r="EB41" s="169"/>
      <c r="EC41" s="169"/>
      <c r="ED41" s="169"/>
      <c r="EE41" s="169"/>
      <c r="EF41" s="169"/>
      <c r="EG41" s="169"/>
      <c r="EH41" s="169"/>
      <c r="EI41" s="169"/>
      <c r="EJ41" s="169"/>
      <c r="EK41" s="169"/>
      <c r="EL41" s="169"/>
      <c r="EM41" s="169"/>
      <c r="EN41" s="169"/>
      <c r="EO41" s="169"/>
      <c r="EP41" s="169"/>
      <c r="EQ41" s="169"/>
      <c r="ER41" s="169"/>
      <c r="ES41" s="169"/>
      <c r="ET41" s="169"/>
      <c r="EU41" s="169"/>
      <c r="EV41" s="169"/>
      <c r="EW41" s="169"/>
      <c r="EX41" s="169"/>
      <c r="EY41" s="169"/>
      <c r="EZ41" s="169"/>
      <c r="FA41" s="169"/>
      <c r="FB41" s="169"/>
      <c r="FC41" s="169"/>
      <c r="FD41" s="169"/>
      <c r="FE41" s="169"/>
      <c r="FF41" s="169"/>
      <c r="FG41" s="169"/>
      <c r="FH41" s="169"/>
      <c r="FI41" s="169"/>
      <c r="FJ41" s="169"/>
      <c r="FK41" s="169"/>
      <c r="FL41" s="169"/>
      <c r="FM41" s="169"/>
      <c r="FN41" s="169"/>
      <c r="FO41" s="169"/>
      <c r="FP41" s="169"/>
      <c r="FQ41" s="169"/>
      <c r="FR41" s="169"/>
      <c r="FS41" s="169"/>
      <c r="FT41" s="169"/>
      <c r="FU41" s="169"/>
      <c r="FV41" s="169"/>
      <c r="FW41" s="169"/>
      <c r="FX41" s="169"/>
      <c r="FY41" s="169"/>
      <c r="FZ41" s="169"/>
      <c r="GA41" s="169"/>
      <c r="GB41" s="169"/>
      <c r="GC41" s="169"/>
      <c r="GD41" s="169"/>
      <c r="GE41" s="169"/>
      <c r="GF41" s="169"/>
      <c r="GG41" s="169"/>
      <c r="GH41" s="169"/>
      <c r="GI41" s="169"/>
      <c r="GJ41" s="169"/>
      <c r="GK41" s="169"/>
      <c r="GL41" s="169"/>
      <c r="GM41" s="169"/>
      <c r="GN41" s="169"/>
      <c r="GO41" s="169"/>
      <c r="GP41" s="169"/>
      <c r="GQ41" s="169"/>
      <c r="GR41" s="169"/>
      <c r="GS41" s="169"/>
      <c r="GT41" s="169"/>
      <c r="GU41" s="169"/>
      <c r="GV41" s="169"/>
      <c r="GW41" s="169"/>
      <c r="GX41" s="169"/>
      <c r="GY41" s="169"/>
      <c r="GZ41" s="169"/>
      <c r="HA41" s="169"/>
      <c r="HB41" s="169"/>
      <c r="HC41" s="169"/>
      <c r="HD41" s="169"/>
      <c r="HE41" s="169"/>
      <c r="HF41" s="169"/>
      <c r="HG41" s="169"/>
      <c r="HH41" s="169"/>
      <c r="HI41" s="169"/>
      <c r="HJ41" s="169"/>
      <c r="HK41" s="169"/>
      <c r="HL41" s="169"/>
      <c r="HM41" s="169"/>
      <c r="HN41" s="169"/>
      <c r="HO41" s="169"/>
      <c r="HP41" s="169"/>
      <c r="HQ41" s="169"/>
      <c r="HR41" s="169"/>
      <c r="HS41" s="169"/>
      <c r="HT41" s="169"/>
      <c r="HU41" s="169"/>
      <c r="HV41" s="169"/>
      <c r="HW41" s="169"/>
      <c r="HX41" s="169"/>
      <c r="HY41" s="169"/>
      <c r="HZ41" s="169"/>
      <c r="IA41" s="169"/>
      <c r="IB41" s="169"/>
      <c r="IC41" s="169"/>
      <c r="ID41" s="169"/>
      <c r="IE41" s="169"/>
      <c r="IF41" s="169"/>
      <c r="IG41" s="169"/>
      <c r="IH41" s="169"/>
      <c r="II41" s="169"/>
      <c r="IJ41" s="169"/>
      <c r="IK41" s="169"/>
      <c r="IL41" s="169"/>
      <c r="IM41" s="169"/>
      <c r="IN41" s="169"/>
      <c r="IO41" s="169"/>
      <c r="IP41" s="169"/>
      <c r="IQ41" s="169"/>
      <c r="IR41" s="169"/>
      <c r="IS41" s="169"/>
      <c r="IT41" s="169"/>
      <c r="IU41" s="169"/>
      <c r="IV41" s="169"/>
    </row>
    <row r="42" spans="1:256" ht="15" x14ac:dyDescent="0.25">
      <c r="A42" s="1801">
        <v>7</v>
      </c>
      <c r="B42" s="1811">
        <v>44865</v>
      </c>
      <c r="C42" s="1812">
        <v>0</v>
      </c>
      <c r="D42" s="1813">
        <v>44708</v>
      </c>
      <c r="E42" s="1814">
        <v>2402564.4500000002</v>
      </c>
      <c r="F42" s="1815">
        <v>0.44900000000000001</v>
      </c>
      <c r="G42" s="1816">
        <v>0.64920999999999995</v>
      </c>
      <c r="H42" s="1817">
        <v>811.32</v>
      </c>
      <c r="I42" s="1817">
        <f t="shared" si="2"/>
        <v>948.77</v>
      </c>
      <c r="J42" s="1817">
        <f t="shared" si="1"/>
        <v>890.03</v>
      </c>
      <c r="K42" s="1818">
        <f>ROUND($E$37*$H$37/I42,2)-L41-L40-L39-L38-L37</f>
        <v>822406.23999999976</v>
      </c>
      <c r="L42" s="1818">
        <f>ROUND($F$42*$G$42*C42,2)</f>
        <v>0</v>
      </c>
      <c r="M42" s="1820">
        <f>ROUND(L42*(J42-I42)/$H$41,2)</f>
        <v>0</v>
      </c>
      <c r="N42" s="175"/>
      <c r="O42" s="175"/>
      <c r="P42" s="175"/>
      <c r="Q42" s="175"/>
      <c r="R42" s="175"/>
      <c r="S42" s="175"/>
      <c r="T42" s="175"/>
      <c r="U42" s="175"/>
      <c r="V42" s="175"/>
      <c r="W42" s="175"/>
      <c r="X42" s="175"/>
      <c r="Y42" s="175"/>
      <c r="Z42" s="175"/>
      <c r="AA42" s="175"/>
      <c r="AB42" s="175"/>
      <c r="AC42" s="175"/>
      <c r="AD42" s="175"/>
      <c r="AE42" s="175"/>
      <c r="AF42" s="169"/>
      <c r="AG42" s="169"/>
      <c r="AH42" s="169"/>
      <c r="AI42" s="169"/>
      <c r="AJ42" s="169"/>
      <c r="AK42" s="169"/>
      <c r="AL42" s="169"/>
      <c r="AM42" s="169"/>
      <c r="AN42" s="169"/>
      <c r="AO42" s="169"/>
      <c r="AP42" s="169"/>
      <c r="AQ42" s="169"/>
      <c r="AR42" s="169"/>
      <c r="AS42" s="169"/>
      <c r="AT42" s="169"/>
      <c r="AU42" s="169"/>
      <c r="AV42" s="169"/>
      <c r="AW42" s="169"/>
      <c r="AX42" s="169"/>
      <c r="AY42" s="169"/>
      <c r="AZ42" s="169"/>
      <c r="BA42" s="169"/>
      <c r="BB42" s="169"/>
      <c r="BC42" s="169"/>
      <c r="BD42" s="169"/>
      <c r="BE42" s="169"/>
      <c r="BF42" s="169"/>
      <c r="BG42" s="169"/>
      <c r="BH42" s="169"/>
      <c r="BI42" s="169"/>
      <c r="BJ42" s="169"/>
      <c r="BK42" s="169"/>
      <c r="BL42" s="169"/>
      <c r="BM42" s="169"/>
      <c r="BN42" s="169"/>
      <c r="BO42" s="169"/>
      <c r="BP42" s="169"/>
      <c r="BQ42" s="169"/>
      <c r="BR42" s="169"/>
      <c r="BS42" s="169"/>
      <c r="BT42" s="169"/>
      <c r="BU42" s="169"/>
      <c r="BV42" s="169"/>
      <c r="BW42" s="169"/>
      <c r="BX42" s="169"/>
      <c r="BY42" s="169"/>
      <c r="BZ42" s="169"/>
      <c r="CA42" s="169"/>
      <c r="CB42" s="169"/>
      <c r="CC42" s="169"/>
      <c r="CD42" s="169"/>
      <c r="CE42" s="169"/>
      <c r="CF42" s="169"/>
      <c r="CG42" s="169"/>
      <c r="CH42" s="169"/>
      <c r="CI42" s="169"/>
      <c r="CJ42" s="169"/>
      <c r="CK42" s="169"/>
      <c r="CL42" s="169"/>
      <c r="CM42" s="169"/>
      <c r="CN42" s="169"/>
      <c r="CO42" s="169"/>
      <c r="CP42" s="169"/>
      <c r="CQ42" s="169"/>
      <c r="CR42" s="169"/>
      <c r="CS42" s="169"/>
      <c r="CT42" s="169"/>
      <c r="CU42" s="169"/>
      <c r="CV42" s="169"/>
      <c r="CW42" s="169"/>
      <c r="CX42" s="169"/>
      <c r="CY42" s="169"/>
      <c r="CZ42" s="169"/>
      <c r="DA42" s="169"/>
      <c r="DB42" s="169"/>
      <c r="DC42" s="169"/>
      <c r="DD42" s="169"/>
      <c r="DE42" s="169"/>
      <c r="DF42" s="169"/>
      <c r="DG42" s="169"/>
      <c r="DH42" s="169"/>
      <c r="DI42" s="169"/>
      <c r="DJ42" s="169"/>
      <c r="DK42" s="169"/>
      <c r="DL42" s="169"/>
      <c r="DM42" s="169"/>
      <c r="DN42" s="169"/>
      <c r="DO42" s="169"/>
      <c r="DP42" s="169"/>
      <c r="DQ42" s="169"/>
      <c r="DR42" s="169"/>
      <c r="DS42" s="169"/>
      <c r="DT42" s="169"/>
      <c r="DU42" s="169"/>
      <c r="DV42" s="169"/>
      <c r="DW42" s="169"/>
      <c r="DX42" s="169"/>
      <c r="DY42" s="169"/>
      <c r="DZ42" s="169"/>
      <c r="EA42" s="169"/>
      <c r="EB42" s="169"/>
      <c r="EC42" s="169"/>
      <c r="ED42" s="169"/>
      <c r="EE42" s="169"/>
      <c r="EF42" s="169"/>
      <c r="EG42" s="169"/>
      <c r="EH42" s="169"/>
      <c r="EI42" s="169"/>
      <c r="EJ42" s="169"/>
      <c r="EK42" s="169"/>
      <c r="EL42" s="169"/>
      <c r="EM42" s="169"/>
      <c r="EN42" s="169"/>
      <c r="EO42" s="169"/>
      <c r="EP42" s="169"/>
      <c r="EQ42" s="169"/>
      <c r="ER42" s="169"/>
      <c r="ES42" s="169"/>
      <c r="ET42" s="169"/>
      <c r="EU42" s="169"/>
      <c r="EV42" s="169"/>
      <c r="EW42" s="169"/>
      <c r="EX42" s="169"/>
      <c r="EY42" s="169"/>
      <c r="EZ42" s="169"/>
      <c r="FA42" s="169"/>
      <c r="FB42" s="169"/>
      <c r="FC42" s="169"/>
      <c r="FD42" s="169"/>
      <c r="FE42" s="169"/>
      <c r="FF42" s="169"/>
      <c r="FG42" s="169"/>
      <c r="FH42" s="169"/>
      <c r="FI42" s="169"/>
      <c r="FJ42" s="169"/>
      <c r="FK42" s="169"/>
      <c r="FL42" s="169"/>
      <c r="FM42" s="169"/>
      <c r="FN42" s="169"/>
      <c r="FO42" s="169"/>
      <c r="FP42" s="169"/>
      <c r="FQ42" s="169"/>
      <c r="FR42" s="169"/>
      <c r="FS42" s="169"/>
      <c r="FT42" s="169"/>
      <c r="FU42" s="169"/>
      <c r="FV42" s="169"/>
      <c r="FW42" s="169"/>
      <c r="FX42" s="169"/>
      <c r="FY42" s="169"/>
      <c r="FZ42" s="169"/>
      <c r="GA42" s="169"/>
      <c r="GB42" s="169"/>
      <c r="GC42" s="169"/>
      <c r="GD42" s="169"/>
      <c r="GE42" s="169"/>
      <c r="GF42" s="169"/>
      <c r="GG42" s="169"/>
      <c r="GH42" s="169"/>
      <c r="GI42" s="169"/>
      <c r="GJ42" s="169"/>
      <c r="GK42" s="169"/>
      <c r="GL42" s="169"/>
      <c r="GM42" s="169"/>
      <c r="GN42" s="169"/>
      <c r="GO42" s="169"/>
      <c r="GP42" s="169"/>
      <c r="GQ42" s="169"/>
      <c r="GR42" s="169"/>
      <c r="GS42" s="169"/>
      <c r="GT42" s="169"/>
      <c r="GU42" s="169"/>
      <c r="GV42" s="169"/>
      <c r="GW42" s="169"/>
      <c r="GX42" s="169"/>
      <c r="GY42" s="169"/>
      <c r="GZ42" s="169"/>
      <c r="HA42" s="169"/>
      <c r="HB42" s="169"/>
      <c r="HC42" s="169"/>
      <c r="HD42" s="169"/>
      <c r="HE42" s="169"/>
      <c r="HF42" s="169"/>
      <c r="HG42" s="169"/>
      <c r="HH42" s="169"/>
      <c r="HI42" s="169"/>
      <c r="HJ42" s="169"/>
      <c r="HK42" s="169"/>
      <c r="HL42" s="169"/>
      <c r="HM42" s="169"/>
      <c r="HN42" s="169"/>
      <c r="HO42" s="169"/>
      <c r="HP42" s="169"/>
      <c r="HQ42" s="169"/>
      <c r="HR42" s="169"/>
      <c r="HS42" s="169"/>
      <c r="HT42" s="169"/>
      <c r="HU42" s="169"/>
      <c r="HV42" s="169"/>
      <c r="HW42" s="169"/>
      <c r="HX42" s="169"/>
      <c r="HY42" s="169"/>
      <c r="HZ42" s="169"/>
      <c r="IA42" s="169"/>
      <c r="IB42" s="169"/>
      <c r="IC42" s="169"/>
      <c r="ID42" s="169"/>
      <c r="IE42" s="169"/>
      <c r="IF42" s="169"/>
      <c r="IG42" s="169"/>
      <c r="IH42" s="169"/>
      <c r="II42" s="169"/>
      <c r="IJ42" s="169"/>
      <c r="IK42" s="169"/>
      <c r="IL42" s="169"/>
      <c r="IM42" s="169"/>
      <c r="IN42" s="169"/>
      <c r="IO42" s="169"/>
      <c r="IP42" s="169"/>
      <c r="IQ42" s="169"/>
      <c r="IR42" s="169"/>
      <c r="IS42" s="169"/>
      <c r="IT42" s="169"/>
      <c r="IU42" s="169"/>
      <c r="IV42" s="169"/>
    </row>
    <row r="43" spans="1:256" ht="15" x14ac:dyDescent="0.25">
      <c r="A43" s="1801">
        <v>8</v>
      </c>
      <c r="B43" s="1811">
        <v>44895</v>
      </c>
      <c r="C43" s="1812">
        <f>'REINT_REAJ_ (2)'!E25</f>
        <v>1413649.97</v>
      </c>
      <c r="D43" s="1813">
        <v>44708</v>
      </c>
      <c r="E43" s="1814">
        <v>2402564.4500000002</v>
      </c>
      <c r="F43" s="1815">
        <v>0.44900000000000001</v>
      </c>
      <c r="G43" s="1816">
        <v>0.64920999999999995</v>
      </c>
      <c r="H43" s="1817">
        <v>811.32</v>
      </c>
      <c r="I43" s="1817">
        <f t="shared" si="2"/>
        <v>948.77</v>
      </c>
      <c r="J43" s="1817">
        <f t="shared" si="1"/>
        <v>890.03</v>
      </c>
      <c r="K43" s="1818">
        <f>ROUND($E$37*$H$37/I43,2)-L42-L41-L40-L39-L38-L37</f>
        <v>822406.23999999976</v>
      </c>
      <c r="L43" s="1818">
        <f>ROUND($F$42*$G$42*C43,2)</f>
        <v>412072.31</v>
      </c>
      <c r="M43" s="1820">
        <f>ROUND(L43*(J43-I43)/$H$41,2)</f>
        <v>-29834.25</v>
      </c>
      <c r="N43" s="175"/>
      <c r="O43" s="175"/>
      <c r="P43" s="175"/>
      <c r="Q43" s="175"/>
      <c r="R43" s="175"/>
      <c r="S43" s="175"/>
      <c r="T43" s="175"/>
      <c r="U43" s="175"/>
      <c r="V43" s="175"/>
      <c r="W43" s="175"/>
      <c r="X43" s="175"/>
      <c r="Y43" s="175"/>
      <c r="Z43" s="175"/>
      <c r="AA43" s="175"/>
      <c r="AB43" s="175"/>
      <c r="AC43" s="175"/>
      <c r="AD43" s="175"/>
      <c r="AE43" s="175"/>
      <c r="AF43" s="169"/>
      <c r="AG43" s="169"/>
      <c r="AH43" s="169"/>
      <c r="AI43" s="169"/>
      <c r="AJ43" s="169"/>
      <c r="AK43" s="169"/>
      <c r="AL43" s="169"/>
      <c r="AM43" s="169"/>
      <c r="AN43" s="169"/>
      <c r="AO43" s="169"/>
      <c r="AP43" s="169"/>
      <c r="AQ43" s="169"/>
      <c r="AR43" s="169"/>
      <c r="AS43" s="169"/>
      <c r="AT43" s="169"/>
      <c r="AU43" s="169"/>
      <c r="AV43" s="169"/>
      <c r="AW43" s="169"/>
      <c r="AX43" s="169"/>
      <c r="AY43" s="169"/>
      <c r="AZ43" s="169"/>
      <c r="BA43" s="169"/>
      <c r="BB43" s="169"/>
      <c r="BC43" s="169"/>
      <c r="BD43" s="169"/>
      <c r="BE43" s="169"/>
      <c r="BF43" s="169"/>
      <c r="BG43" s="169"/>
      <c r="BH43" s="169"/>
      <c r="BI43" s="169"/>
      <c r="BJ43" s="169"/>
      <c r="BK43" s="169"/>
      <c r="BL43" s="169"/>
      <c r="BM43" s="169"/>
      <c r="BN43" s="169"/>
      <c r="BO43" s="169"/>
      <c r="BP43" s="169"/>
      <c r="BQ43" s="169"/>
      <c r="BR43" s="169"/>
      <c r="BS43" s="169"/>
      <c r="BT43" s="169"/>
      <c r="BU43" s="169"/>
      <c r="BV43" s="169"/>
      <c r="BW43" s="169"/>
      <c r="BX43" s="169"/>
      <c r="BY43" s="169"/>
      <c r="BZ43" s="169"/>
      <c r="CA43" s="169"/>
      <c r="CB43" s="169"/>
      <c r="CC43" s="169"/>
      <c r="CD43" s="169"/>
      <c r="CE43" s="169"/>
      <c r="CF43" s="169"/>
      <c r="CG43" s="169"/>
      <c r="CH43" s="169"/>
      <c r="CI43" s="169"/>
      <c r="CJ43" s="169"/>
      <c r="CK43" s="169"/>
      <c r="CL43" s="169"/>
      <c r="CM43" s="169"/>
      <c r="CN43" s="169"/>
      <c r="CO43" s="169"/>
      <c r="CP43" s="169"/>
      <c r="CQ43" s="169"/>
      <c r="CR43" s="169"/>
      <c r="CS43" s="169"/>
      <c r="CT43" s="169"/>
      <c r="CU43" s="169"/>
      <c r="CV43" s="169"/>
      <c r="CW43" s="169"/>
      <c r="CX43" s="169"/>
      <c r="CY43" s="169"/>
      <c r="CZ43" s="169"/>
      <c r="DA43" s="169"/>
      <c r="DB43" s="169"/>
      <c r="DC43" s="169"/>
      <c r="DD43" s="169"/>
      <c r="DE43" s="169"/>
      <c r="DF43" s="169"/>
      <c r="DG43" s="169"/>
      <c r="DH43" s="169"/>
      <c r="DI43" s="169"/>
      <c r="DJ43" s="169"/>
      <c r="DK43" s="169"/>
      <c r="DL43" s="169"/>
      <c r="DM43" s="169"/>
      <c r="DN43" s="169"/>
      <c r="DO43" s="169"/>
      <c r="DP43" s="169"/>
      <c r="DQ43" s="169"/>
      <c r="DR43" s="169"/>
      <c r="DS43" s="169"/>
      <c r="DT43" s="169"/>
      <c r="DU43" s="169"/>
      <c r="DV43" s="169"/>
      <c r="DW43" s="169"/>
      <c r="DX43" s="169"/>
      <c r="DY43" s="169"/>
      <c r="DZ43" s="169"/>
      <c r="EA43" s="169"/>
      <c r="EB43" s="169"/>
      <c r="EC43" s="169"/>
      <c r="ED43" s="169"/>
      <c r="EE43" s="169"/>
      <c r="EF43" s="169"/>
      <c r="EG43" s="169"/>
      <c r="EH43" s="169"/>
      <c r="EI43" s="169"/>
      <c r="EJ43" s="169"/>
      <c r="EK43" s="169"/>
      <c r="EL43" s="169"/>
      <c r="EM43" s="169"/>
      <c r="EN43" s="169"/>
      <c r="EO43" s="169"/>
      <c r="EP43" s="169"/>
      <c r="EQ43" s="169"/>
      <c r="ER43" s="169"/>
      <c r="ES43" s="169"/>
      <c r="ET43" s="169"/>
      <c r="EU43" s="169"/>
      <c r="EV43" s="169"/>
      <c r="EW43" s="169"/>
      <c r="EX43" s="169"/>
      <c r="EY43" s="169"/>
      <c r="EZ43" s="169"/>
      <c r="FA43" s="169"/>
      <c r="FB43" s="169"/>
      <c r="FC43" s="169"/>
      <c r="FD43" s="169"/>
      <c r="FE43" s="169"/>
      <c r="FF43" s="169"/>
      <c r="FG43" s="169"/>
      <c r="FH43" s="169"/>
      <c r="FI43" s="169"/>
      <c r="FJ43" s="169"/>
      <c r="FK43" s="169"/>
      <c r="FL43" s="169"/>
      <c r="FM43" s="169"/>
      <c r="FN43" s="169"/>
      <c r="FO43" s="169"/>
      <c r="FP43" s="169"/>
      <c r="FQ43" s="169"/>
      <c r="FR43" s="169"/>
      <c r="FS43" s="169"/>
      <c r="FT43" s="169"/>
      <c r="FU43" s="169"/>
      <c r="FV43" s="169"/>
      <c r="FW43" s="169"/>
      <c r="FX43" s="169"/>
      <c r="FY43" s="169"/>
      <c r="FZ43" s="169"/>
      <c r="GA43" s="169"/>
      <c r="GB43" s="169"/>
      <c r="GC43" s="169"/>
      <c r="GD43" s="169"/>
      <c r="GE43" s="169"/>
      <c r="GF43" s="169"/>
      <c r="GG43" s="169"/>
      <c r="GH43" s="169"/>
      <c r="GI43" s="169"/>
      <c r="GJ43" s="169"/>
      <c r="GK43" s="169"/>
      <c r="GL43" s="169"/>
      <c r="GM43" s="169"/>
      <c r="GN43" s="169"/>
      <c r="GO43" s="169"/>
      <c r="GP43" s="169"/>
      <c r="GQ43" s="169"/>
      <c r="GR43" s="169"/>
      <c r="GS43" s="169"/>
      <c r="GT43" s="169"/>
      <c r="GU43" s="169"/>
      <c r="GV43" s="169"/>
      <c r="GW43" s="169"/>
      <c r="GX43" s="169"/>
      <c r="GY43" s="169"/>
      <c r="GZ43" s="169"/>
      <c r="HA43" s="169"/>
      <c r="HB43" s="169"/>
      <c r="HC43" s="169"/>
      <c r="HD43" s="169"/>
      <c r="HE43" s="169"/>
      <c r="HF43" s="169"/>
      <c r="HG43" s="169"/>
      <c r="HH43" s="169"/>
      <c r="HI43" s="169"/>
      <c r="HJ43" s="169"/>
      <c r="HK43" s="169"/>
      <c r="HL43" s="169"/>
      <c r="HM43" s="169"/>
      <c r="HN43" s="169"/>
      <c r="HO43" s="169"/>
      <c r="HP43" s="169"/>
      <c r="HQ43" s="169"/>
      <c r="HR43" s="169"/>
      <c r="HS43" s="169"/>
      <c r="HT43" s="169"/>
      <c r="HU43" s="169"/>
      <c r="HV43" s="169"/>
      <c r="HW43" s="169"/>
      <c r="HX43" s="169"/>
      <c r="HY43" s="169"/>
      <c r="HZ43" s="169"/>
      <c r="IA43" s="169"/>
      <c r="IB43" s="169"/>
      <c r="IC43" s="169"/>
      <c r="ID43" s="169"/>
      <c r="IE43" s="169"/>
      <c r="IF43" s="169"/>
      <c r="IG43" s="169"/>
      <c r="IH43" s="169"/>
      <c r="II43" s="169"/>
      <c r="IJ43" s="169"/>
      <c r="IK43" s="169"/>
      <c r="IL43" s="169"/>
      <c r="IM43" s="169"/>
      <c r="IN43" s="169"/>
      <c r="IO43" s="169"/>
      <c r="IP43" s="169"/>
      <c r="IQ43" s="169"/>
      <c r="IR43" s="169"/>
      <c r="IS43" s="169"/>
      <c r="IT43" s="169"/>
      <c r="IU43" s="169"/>
      <c r="IV43" s="169"/>
    </row>
    <row r="44" spans="1:256" ht="15" x14ac:dyDescent="0.25">
      <c r="A44" s="1821">
        <v>9</v>
      </c>
      <c r="B44" s="1838">
        <v>44926</v>
      </c>
      <c r="C44" s="1839">
        <v>0</v>
      </c>
      <c r="D44" s="1840">
        <v>44708</v>
      </c>
      <c r="E44" s="1841">
        <v>2402564.4500000002</v>
      </c>
      <c r="F44" s="1842">
        <v>0.44900000000000001</v>
      </c>
      <c r="G44" s="1843">
        <v>0.64920999999999995</v>
      </c>
      <c r="H44" s="1844">
        <v>811.32</v>
      </c>
      <c r="I44" s="1844">
        <f t="shared" si="2"/>
        <v>948.77</v>
      </c>
      <c r="J44" s="1844">
        <f t="shared" si="1"/>
        <v>890.03</v>
      </c>
      <c r="K44" s="1845">
        <f>ROUND($E$44*$H$44/I44,2)-L43-L42-L41-L40-L39-L38-L37</f>
        <v>410333.9299999997</v>
      </c>
      <c r="L44" s="1845">
        <f>ROUND($F$42*$G$42*C44,2)</f>
        <v>0</v>
      </c>
      <c r="M44" s="1846">
        <f>ROUND(L44*(J44-I44)/$H$41,2)</f>
        <v>0</v>
      </c>
      <c r="N44" s="175"/>
      <c r="O44" s="175"/>
      <c r="P44" s="175"/>
      <c r="Q44" s="175"/>
      <c r="R44" s="175"/>
      <c r="S44" s="175"/>
      <c r="T44" s="175"/>
      <c r="U44" s="175"/>
      <c r="V44" s="175"/>
      <c r="W44" s="175"/>
      <c r="X44" s="175"/>
      <c r="Y44" s="175"/>
      <c r="Z44" s="175"/>
      <c r="AA44" s="175"/>
      <c r="AB44" s="175"/>
      <c r="AC44" s="175"/>
      <c r="AD44" s="175"/>
      <c r="AE44" s="175"/>
      <c r="AF44" s="169"/>
      <c r="AG44" s="169"/>
      <c r="AH44" s="169"/>
      <c r="AI44" s="169"/>
      <c r="AJ44" s="169"/>
      <c r="AK44" s="169"/>
      <c r="AL44" s="169"/>
      <c r="AM44" s="169"/>
      <c r="AN44" s="169"/>
      <c r="AO44" s="169"/>
      <c r="AP44" s="169"/>
      <c r="AQ44" s="169"/>
      <c r="AR44" s="169"/>
      <c r="AS44" s="169"/>
      <c r="AT44" s="169"/>
      <c r="AU44" s="169"/>
      <c r="AV44" s="169"/>
      <c r="AW44" s="169"/>
      <c r="AX44" s="169"/>
      <c r="AY44" s="169"/>
      <c r="AZ44" s="169"/>
      <c r="BA44" s="169"/>
      <c r="BB44" s="169"/>
      <c r="BC44" s="169"/>
      <c r="BD44" s="169"/>
      <c r="BE44" s="169"/>
      <c r="BF44" s="169"/>
      <c r="BG44" s="169"/>
      <c r="BH44" s="169"/>
      <c r="BI44" s="169"/>
      <c r="BJ44" s="169"/>
      <c r="BK44" s="169"/>
      <c r="BL44" s="169"/>
      <c r="BM44" s="169"/>
      <c r="BN44" s="169"/>
      <c r="BO44" s="169"/>
      <c r="BP44" s="169"/>
      <c r="BQ44" s="169"/>
      <c r="BR44" s="169"/>
      <c r="BS44" s="169"/>
      <c r="BT44" s="169"/>
      <c r="BU44" s="169"/>
      <c r="BV44" s="169"/>
      <c r="BW44" s="169"/>
      <c r="BX44" s="169"/>
      <c r="BY44" s="169"/>
      <c r="BZ44" s="169"/>
      <c r="CA44" s="169"/>
      <c r="CB44" s="169"/>
      <c r="CC44" s="169"/>
      <c r="CD44" s="169"/>
      <c r="CE44" s="169"/>
      <c r="CF44" s="169"/>
      <c r="CG44" s="169"/>
      <c r="CH44" s="169"/>
      <c r="CI44" s="169"/>
      <c r="CJ44" s="169"/>
      <c r="CK44" s="169"/>
      <c r="CL44" s="169"/>
      <c r="CM44" s="169"/>
      <c r="CN44" s="169"/>
      <c r="CO44" s="169"/>
      <c r="CP44" s="169"/>
      <c r="CQ44" s="169"/>
      <c r="CR44" s="169"/>
      <c r="CS44" s="169"/>
      <c r="CT44" s="169"/>
      <c r="CU44" s="169"/>
      <c r="CV44" s="169"/>
      <c r="CW44" s="169"/>
      <c r="CX44" s="169"/>
      <c r="CY44" s="169"/>
      <c r="CZ44" s="169"/>
      <c r="DA44" s="169"/>
      <c r="DB44" s="169"/>
      <c r="DC44" s="169"/>
      <c r="DD44" s="169"/>
      <c r="DE44" s="169"/>
      <c r="DF44" s="169"/>
      <c r="DG44" s="169"/>
      <c r="DH44" s="169"/>
      <c r="DI44" s="169"/>
      <c r="DJ44" s="169"/>
      <c r="DK44" s="169"/>
      <c r="DL44" s="169"/>
      <c r="DM44" s="169"/>
      <c r="DN44" s="169"/>
      <c r="DO44" s="169"/>
      <c r="DP44" s="169"/>
      <c r="DQ44" s="169"/>
      <c r="DR44" s="169"/>
      <c r="DS44" s="169"/>
      <c r="DT44" s="169"/>
      <c r="DU44" s="169"/>
      <c r="DV44" s="169"/>
      <c r="DW44" s="169"/>
      <c r="DX44" s="169"/>
      <c r="DY44" s="169"/>
      <c r="DZ44" s="169"/>
      <c r="EA44" s="169"/>
      <c r="EB44" s="169"/>
      <c r="EC44" s="169"/>
      <c r="ED44" s="169"/>
      <c r="EE44" s="169"/>
      <c r="EF44" s="169"/>
      <c r="EG44" s="169"/>
      <c r="EH44" s="169"/>
      <c r="EI44" s="169"/>
      <c r="EJ44" s="169"/>
      <c r="EK44" s="169"/>
      <c r="EL44" s="169"/>
      <c r="EM44" s="169"/>
      <c r="EN44" s="169"/>
      <c r="EO44" s="169"/>
      <c r="EP44" s="169"/>
      <c r="EQ44" s="169"/>
      <c r="ER44" s="169"/>
      <c r="ES44" s="169"/>
      <c r="ET44" s="169"/>
      <c r="EU44" s="169"/>
      <c r="EV44" s="169"/>
      <c r="EW44" s="169"/>
      <c r="EX44" s="169"/>
      <c r="EY44" s="169"/>
      <c r="EZ44" s="169"/>
      <c r="FA44" s="169"/>
      <c r="FB44" s="169"/>
      <c r="FC44" s="169"/>
      <c r="FD44" s="169"/>
      <c r="FE44" s="169"/>
      <c r="FF44" s="169"/>
      <c r="FG44" s="169"/>
      <c r="FH44" s="169"/>
      <c r="FI44" s="169"/>
      <c r="FJ44" s="169"/>
      <c r="FK44" s="169"/>
      <c r="FL44" s="169"/>
      <c r="FM44" s="169"/>
      <c r="FN44" s="169"/>
      <c r="FO44" s="169"/>
      <c r="FP44" s="169"/>
      <c r="FQ44" s="169"/>
      <c r="FR44" s="169"/>
      <c r="FS44" s="169"/>
      <c r="FT44" s="169"/>
      <c r="FU44" s="169"/>
      <c r="FV44" s="169"/>
      <c r="FW44" s="169"/>
      <c r="FX44" s="169"/>
      <c r="FY44" s="169"/>
      <c r="FZ44" s="169"/>
      <c r="GA44" s="169"/>
      <c r="GB44" s="169"/>
      <c r="GC44" s="169"/>
      <c r="GD44" s="169"/>
      <c r="GE44" s="169"/>
      <c r="GF44" s="169"/>
      <c r="GG44" s="169"/>
      <c r="GH44" s="169"/>
      <c r="GI44" s="169"/>
      <c r="GJ44" s="169"/>
      <c r="GK44" s="169"/>
      <c r="GL44" s="169"/>
      <c r="GM44" s="169"/>
      <c r="GN44" s="169"/>
      <c r="GO44" s="169"/>
      <c r="GP44" s="169"/>
      <c r="GQ44" s="169"/>
      <c r="GR44" s="169"/>
      <c r="GS44" s="169"/>
      <c r="GT44" s="169"/>
      <c r="GU44" s="169"/>
      <c r="GV44" s="169"/>
      <c r="GW44" s="169"/>
      <c r="GX44" s="169"/>
      <c r="GY44" s="169"/>
      <c r="GZ44" s="169"/>
      <c r="HA44" s="169"/>
      <c r="HB44" s="169"/>
      <c r="HC44" s="169"/>
      <c r="HD44" s="169"/>
      <c r="HE44" s="169"/>
      <c r="HF44" s="169"/>
      <c r="HG44" s="169"/>
      <c r="HH44" s="169"/>
      <c r="HI44" s="169"/>
      <c r="HJ44" s="169"/>
      <c r="HK44" s="169"/>
      <c r="HL44" s="169"/>
      <c r="HM44" s="169"/>
      <c r="HN44" s="169"/>
      <c r="HO44" s="169"/>
      <c r="HP44" s="169"/>
      <c r="HQ44" s="169"/>
      <c r="HR44" s="169"/>
      <c r="HS44" s="169"/>
      <c r="HT44" s="169"/>
      <c r="HU44" s="169"/>
      <c r="HV44" s="169"/>
      <c r="HW44" s="169"/>
      <c r="HX44" s="169"/>
      <c r="HY44" s="169"/>
      <c r="HZ44" s="169"/>
      <c r="IA44" s="169"/>
      <c r="IB44" s="169"/>
      <c r="IC44" s="169"/>
      <c r="ID44" s="169"/>
      <c r="IE44" s="169"/>
      <c r="IF44" s="169"/>
      <c r="IG44" s="169"/>
      <c r="IH44" s="169"/>
      <c r="II44" s="169"/>
      <c r="IJ44" s="169"/>
      <c r="IK44" s="169"/>
      <c r="IL44" s="169"/>
      <c r="IM44" s="169"/>
      <c r="IN44" s="169"/>
      <c r="IO44" s="169"/>
      <c r="IP44" s="169"/>
      <c r="IQ44" s="169"/>
      <c r="IR44" s="169"/>
      <c r="IS44" s="169"/>
      <c r="IT44" s="169"/>
      <c r="IU44" s="169"/>
      <c r="IV44" s="169"/>
    </row>
    <row r="45" spans="1:256" ht="13.8" x14ac:dyDescent="0.25">
      <c r="A45" s="1379"/>
      <c r="B45" s="1380"/>
      <c r="C45" s="1381"/>
      <c r="D45" s="1382"/>
      <c r="E45" s="1368"/>
      <c r="F45" s="1383"/>
      <c r="G45" s="1400"/>
      <c r="H45" s="1368"/>
      <c r="I45" s="1368"/>
      <c r="J45" s="1368"/>
      <c r="K45" s="1715"/>
      <c r="L45" s="1713" t="s">
        <v>1191</v>
      </c>
      <c r="M45" s="1714">
        <f>SUM(M37:M43)</f>
        <v>-91707.02</v>
      </c>
      <c r="N45" s="169"/>
      <c r="O45" s="169"/>
      <c r="P45" s="169"/>
      <c r="Q45" s="169"/>
      <c r="R45" s="169"/>
      <c r="S45" s="169"/>
      <c r="T45" s="169"/>
      <c r="U45" s="169"/>
      <c r="V45" s="169"/>
      <c r="W45" s="169"/>
      <c r="X45" s="169"/>
      <c r="Y45" s="169"/>
      <c r="Z45" s="169"/>
      <c r="AA45" s="169"/>
      <c r="AB45" s="169"/>
      <c r="AC45" s="169"/>
      <c r="AD45" s="169"/>
      <c r="AE45" s="169"/>
      <c r="AF45" s="169"/>
      <c r="AG45" s="169"/>
      <c r="AH45" s="169"/>
      <c r="AI45" s="169"/>
      <c r="AJ45" s="169"/>
      <c r="AK45" s="169"/>
      <c r="AL45" s="169"/>
      <c r="AM45" s="169"/>
      <c r="AN45" s="169"/>
      <c r="AO45" s="169"/>
      <c r="AP45" s="169"/>
      <c r="AQ45" s="169"/>
      <c r="AR45" s="169"/>
      <c r="AS45" s="169"/>
      <c r="AT45" s="169"/>
      <c r="AU45" s="169"/>
      <c r="AV45" s="169"/>
      <c r="AW45" s="169"/>
      <c r="AX45" s="169"/>
      <c r="AY45" s="169"/>
      <c r="AZ45" s="169"/>
      <c r="BA45" s="169"/>
      <c r="BB45" s="169"/>
      <c r="BC45" s="169"/>
      <c r="BD45" s="169"/>
      <c r="BE45" s="169"/>
      <c r="BF45" s="169"/>
      <c r="BG45" s="169"/>
      <c r="BH45" s="169"/>
      <c r="BI45" s="169"/>
      <c r="BJ45" s="169"/>
      <c r="BK45" s="169"/>
      <c r="BL45" s="169"/>
      <c r="BM45" s="169"/>
      <c r="BN45" s="169"/>
      <c r="BO45" s="169"/>
      <c r="BP45" s="169"/>
      <c r="BQ45" s="169"/>
      <c r="BR45" s="169"/>
      <c r="BS45" s="169"/>
      <c r="BT45" s="169"/>
      <c r="BU45" s="169"/>
      <c r="BV45" s="169"/>
      <c r="BW45" s="169"/>
      <c r="BX45" s="169"/>
      <c r="BY45" s="169"/>
      <c r="BZ45" s="169"/>
      <c r="CA45" s="169"/>
      <c r="CB45" s="169"/>
      <c r="CC45" s="169"/>
      <c r="CD45" s="169"/>
      <c r="CE45" s="169"/>
      <c r="CF45" s="169"/>
      <c r="CG45" s="169"/>
      <c r="CH45" s="169"/>
      <c r="CI45" s="169"/>
      <c r="CJ45" s="169"/>
      <c r="CK45" s="169"/>
      <c r="CL45" s="169"/>
      <c r="CM45" s="169"/>
      <c r="CN45" s="169"/>
      <c r="CO45" s="169"/>
      <c r="CP45" s="169"/>
      <c r="CQ45" s="169"/>
      <c r="CR45" s="169"/>
      <c r="CS45" s="169"/>
      <c r="CT45" s="169"/>
      <c r="CU45" s="169"/>
      <c r="CV45" s="169"/>
      <c r="CW45" s="169"/>
      <c r="CX45" s="169"/>
      <c r="CY45" s="169"/>
      <c r="CZ45" s="169"/>
      <c r="DA45" s="169"/>
      <c r="DB45" s="169"/>
      <c r="DC45" s="169"/>
      <c r="DD45" s="169"/>
      <c r="DE45" s="169"/>
      <c r="DF45" s="169"/>
      <c r="DG45" s="169"/>
      <c r="DH45" s="169"/>
      <c r="DI45" s="169"/>
      <c r="DJ45" s="169"/>
      <c r="DK45" s="169"/>
      <c r="DL45" s="169"/>
      <c r="DM45" s="169"/>
      <c r="DN45" s="169"/>
      <c r="DO45" s="169"/>
      <c r="DP45" s="169"/>
      <c r="DQ45" s="169"/>
      <c r="DR45" s="169"/>
      <c r="DS45" s="169"/>
      <c r="DT45" s="169"/>
      <c r="DU45" s="169"/>
      <c r="DV45" s="169"/>
      <c r="DW45" s="169"/>
      <c r="DX45" s="169"/>
      <c r="DY45" s="169"/>
      <c r="DZ45" s="169"/>
      <c r="EA45" s="169"/>
      <c r="EB45" s="169"/>
      <c r="EC45" s="169"/>
      <c r="ED45" s="169"/>
      <c r="EE45" s="169"/>
      <c r="EF45" s="169"/>
      <c r="EG45" s="169"/>
      <c r="EH45" s="169"/>
      <c r="EI45" s="169"/>
      <c r="EJ45" s="169"/>
      <c r="EK45" s="169"/>
      <c r="EL45" s="169"/>
      <c r="EM45" s="169"/>
      <c r="EN45" s="169"/>
      <c r="EO45" s="169"/>
      <c r="EP45" s="169"/>
      <c r="EQ45" s="169"/>
      <c r="ER45" s="169"/>
      <c r="ES45" s="169"/>
      <c r="ET45" s="169"/>
      <c r="EU45" s="169"/>
      <c r="EV45" s="169"/>
      <c r="EW45" s="169"/>
      <c r="EX45" s="169"/>
      <c r="EY45" s="169"/>
      <c r="EZ45" s="169"/>
      <c r="FA45" s="169"/>
      <c r="FB45" s="169"/>
      <c r="FC45" s="169"/>
      <c r="FD45" s="169"/>
      <c r="FE45" s="169"/>
      <c r="FF45" s="169"/>
      <c r="FG45" s="169"/>
      <c r="FH45" s="169"/>
      <c r="FI45" s="169"/>
      <c r="FJ45" s="169"/>
      <c r="FK45" s="169"/>
      <c r="FL45" s="169"/>
      <c r="FM45" s="169"/>
      <c r="FN45" s="169"/>
      <c r="FO45" s="169"/>
      <c r="FP45" s="169"/>
      <c r="FQ45" s="169"/>
      <c r="FR45" s="169"/>
      <c r="FS45" s="169"/>
      <c r="FT45" s="169"/>
      <c r="FU45" s="169"/>
      <c r="FV45" s="169"/>
      <c r="FW45" s="169"/>
      <c r="FX45" s="169"/>
      <c r="FY45" s="169"/>
      <c r="FZ45" s="169"/>
      <c r="GA45" s="169"/>
      <c r="GB45" s="169"/>
      <c r="GC45" s="169"/>
      <c r="GD45" s="169"/>
      <c r="GE45" s="169"/>
      <c r="GF45" s="169"/>
      <c r="GG45" s="169"/>
      <c r="GH45" s="169"/>
      <c r="GI45" s="169"/>
      <c r="GJ45" s="169"/>
      <c r="GK45" s="169"/>
      <c r="GL45" s="169"/>
      <c r="GM45" s="169"/>
      <c r="GN45" s="169"/>
      <c r="GO45" s="169"/>
      <c r="GP45" s="169"/>
      <c r="GQ45" s="169"/>
      <c r="GR45" s="169"/>
      <c r="GS45" s="169"/>
      <c r="GT45" s="169"/>
      <c r="GU45" s="169"/>
      <c r="GV45" s="169"/>
      <c r="GW45" s="169"/>
      <c r="GX45" s="169"/>
      <c r="GY45" s="169"/>
      <c r="GZ45" s="169"/>
      <c r="HA45" s="169"/>
      <c r="HB45" s="169"/>
      <c r="HC45" s="169"/>
      <c r="HD45" s="169"/>
      <c r="HE45" s="169"/>
      <c r="HF45" s="169"/>
      <c r="HG45" s="169"/>
      <c r="HH45" s="169"/>
      <c r="HI45" s="169"/>
      <c r="HJ45" s="169"/>
      <c r="HK45" s="169"/>
      <c r="HL45" s="169"/>
      <c r="HM45" s="169"/>
      <c r="HN45" s="169"/>
      <c r="HO45" s="169"/>
      <c r="HP45" s="169"/>
      <c r="HQ45" s="169"/>
      <c r="HR45" s="169"/>
      <c r="HS45" s="169"/>
      <c r="HT45" s="169"/>
      <c r="HU45" s="169"/>
      <c r="HV45" s="169"/>
      <c r="HW45" s="169"/>
      <c r="HX45" s="169"/>
      <c r="HY45" s="169"/>
      <c r="HZ45" s="169"/>
      <c r="IA45" s="169"/>
      <c r="IB45" s="169"/>
      <c r="IC45" s="169"/>
      <c r="ID45" s="169"/>
      <c r="IE45" s="169"/>
      <c r="IF45" s="169"/>
      <c r="IG45" s="169"/>
      <c r="IH45" s="169"/>
      <c r="II45" s="169"/>
      <c r="IJ45" s="169"/>
      <c r="IK45" s="169"/>
      <c r="IL45" s="169"/>
      <c r="IM45" s="169"/>
      <c r="IN45" s="169"/>
      <c r="IO45" s="169"/>
      <c r="IP45" s="169"/>
      <c r="IQ45" s="169"/>
      <c r="IR45" s="169"/>
      <c r="IS45" s="169"/>
      <c r="IT45" s="169"/>
      <c r="IU45" s="169"/>
      <c r="IV45" s="169"/>
    </row>
    <row r="46" spans="1:256" ht="14.4" thickBot="1" x14ac:dyDescent="0.3">
      <c r="A46" s="1379"/>
      <c r="B46" s="1380"/>
      <c r="C46" s="1381"/>
      <c r="D46" s="1382"/>
      <c r="E46" s="1368"/>
      <c r="F46" s="1383"/>
      <c r="G46" s="1384"/>
      <c r="H46" s="1385"/>
      <c r="I46" s="1385"/>
      <c r="J46" s="1390"/>
      <c r="K46" s="1368"/>
      <c r="L46" s="1386"/>
      <c r="M46" s="1387"/>
      <c r="N46" s="169"/>
      <c r="O46" s="169"/>
      <c r="P46" s="169"/>
      <c r="Q46" s="169"/>
      <c r="R46" s="169"/>
      <c r="S46" s="169"/>
      <c r="T46" s="169"/>
      <c r="U46" s="169"/>
      <c r="V46" s="169"/>
      <c r="W46" s="169"/>
      <c r="X46" s="169"/>
      <c r="Y46" s="169"/>
      <c r="Z46" s="169"/>
      <c r="AA46" s="169"/>
      <c r="AB46" s="169"/>
      <c r="AC46" s="169"/>
      <c r="AD46" s="169"/>
      <c r="AE46" s="169"/>
      <c r="AF46" s="169"/>
      <c r="AG46" s="169"/>
      <c r="AH46" s="169"/>
      <c r="AI46" s="169"/>
      <c r="AJ46" s="169"/>
      <c r="AK46" s="169"/>
      <c r="AL46" s="169"/>
      <c r="AM46" s="169"/>
      <c r="AN46" s="169"/>
      <c r="AO46" s="169"/>
      <c r="AP46" s="169"/>
      <c r="AQ46" s="169"/>
      <c r="AR46" s="169"/>
      <c r="AS46" s="169"/>
      <c r="AT46" s="169"/>
      <c r="AU46" s="169"/>
      <c r="AV46" s="169"/>
      <c r="AW46" s="169"/>
      <c r="AX46" s="169"/>
      <c r="AY46" s="169"/>
      <c r="AZ46" s="169"/>
      <c r="BA46" s="169"/>
      <c r="BB46" s="169"/>
      <c r="BC46" s="169"/>
      <c r="BD46" s="169"/>
      <c r="BE46" s="169"/>
      <c r="BF46" s="169"/>
      <c r="BG46" s="169"/>
      <c r="BH46" s="169"/>
      <c r="BI46" s="169"/>
      <c r="BJ46" s="169"/>
      <c r="BK46" s="169"/>
      <c r="BL46" s="169"/>
      <c r="BM46" s="169"/>
      <c r="BN46" s="169"/>
      <c r="BO46" s="169"/>
      <c r="BP46" s="169"/>
      <c r="BQ46" s="169"/>
      <c r="BR46" s="169"/>
      <c r="BS46" s="169"/>
      <c r="BT46" s="169"/>
      <c r="BU46" s="169"/>
      <c r="BV46" s="169"/>
      <c r="BW46" s="169"/>
      <c r="BX46" s="169"/>
      <c r="BY46" s="169"/>
      <c r="BZ46" s="169"/>
      <c r="CA46" s="169"/>
      <c r="CB46" s="169"/>
      <c r="CC46" s="169"/>
      <c r="CD46" s="169"/>
      <c r="CE46" s="169"/>
      <c r="CF46" s="169"/>
      <c r="CG46" s="169"/>
      <c r="CH46" s="169"/>
      <c r="CI46" s="169"/>
      <c r="CJ46" s="169"/>
      <c r="CK46" s="169"/>
      <c r="CL46" s="169"/>
      <c r="CM46" s="169"/>
      <c r="CN46" s="169"/>
      <c r="CO46" s="169"/>
      <c r="CP46" s="169"/>
      <c r="CQ46" s="169"/>
      <c r="CR46" s="169"/>
      <c r="CS46" s="169"/>
      <c r="CT46" s="169"/>
      <c r="CU46" s="169"/>
      <c r="CV46" s="169"/>
      <c r="CW46" s="169"/>
      <c r="CX46" s="169"/>
      <c r="CY46" s="169"/>
      <c r="CZ46" s="169"/>
      <c r="DA46" s="169"/>
      <c r="DB46" s="169"/>
      <c r="DC46" s="169"/>
      <c r="DD46" s="169"/>
      <c r="DE46" s="169"/>
      <c r="DF46" s="169"/>
      <c r="DG46" s="169"/>
      <c r="DH46" s="169"/>
      <c r="DI46" s="169"/>
      <c r="DJ46" s="169"/>
      <c r="DK46" s="169"/>
      <c r="DL46" s="169"/>
      <c r="DM46" s="169"/>
      <c r="DN46" s="169"/>
      <c r="DO46" s="169"/>
      <c r="DP46" s="169"/>
      <c r="DQ46" s="169"/>
      <c r="DR46" s="169"/>
      <c r="DS46" s="169"/>
      <c r="DT46" s="169"/>
      <c r="DU46" s="169"/>
      <c r="DV46" s="169"/>
      <c r="DW46" s="169"/>
      <c r="DX46" s="169"/>
      <c r="DY46" s="169"/>
      <c r="DZ46" s="169"/>
      <c r="EA46" s="169"/>
      <c r="EB46" s="169"/>
      <c r="EC46" s="169"/>
      <c r="ED46" s="169"/>
      <c r="EE46" s="169"/>
      <c r="EF46" s="169"/>
      <c r="EG46" s="169"/>
      <c r="EH46" s="169"/>
      <c r="EI46" s="169"/>
      <c r="EJ46" s="169"/>
      <c r="EK46" s="169"/>
      <c r="EL46" s="169"/>
      <c r="EM46" s="169"/>
      <c r="EN46" s="169"/>
      <c r="EO46" s="169"/>
      <c r="EP46" s="169"/>
      <c r="EQ46" s="169"/>
      <c r="ER46" s="169"/>
      <c r="ES46" s="169"/>
      <c r="ET46" s="169"/>
      <c r="EU46" s="169"/>
      <c r="EV46" s="169"/>
      <c r="EW46" s="169"/>
      <c r="EX46" s="169"/>
      <c r="EY46" s="169"/>
      <c r="EZ46" s="169"/>
      <c r="FA46" s="169"/>
      <c r="FB46" s="169"/>
      <c r="FC46" s="169"/>
      <c r="FD46" s="169"/>
      <c r="FE46" s="169"/>
      <c r="FF46" s="169"/>
      <c r="FG46" s="169"/>
      <c r="FH46" s="169"/>
      <c r="FI46" s="169"/>
      <c r="FJ46" s="169"/>
      <c r="FK46" s="169"/>
      <c r="FL46" s="169"/>
      <c r="FM46" s="169"/>
      <c r="FN46" s="169"/>
      <c r="FO46" s="169"/>
      <c r="FP46" s="169"/>
      <c r="FQ46" s="169"/>
      <c r="FR46" s="169"/>
      <c r="FS46" s="169"/>
      <c r="FT46" s="169"/>
      <c r="FU46" s="169"/>
      <c r="FV46" s="169"/>
      <c r="FW46" s="169"/>
      <c r="FX46" s="169"/>
      <c r="FY46" s="169"/>
      <c r="FZ46" s="169"/>
      <c r="GA46" s="169"/>
      <c r="GB46" s="169"/>
      <c r="GC46" s="169"/>
      <c r="GD46" s="169"/>
      <c r="GE46" s="169"/>
      <c r="GF46" s="169"/>
      <c r="GG46" s="169"/>
      <c r="GH46" s="169"/>
      <c r="GI46" s="169"/>
      <c r="GJ46" s="169"/>
      <c r="GK46" s="169"/>
      <c r="GL46" s="169"/>
      <c r="GM46" s="169"/>
      <c r="GN46" s="169"/>
      <c r="GO46" s="169"/>
      <c r="GP46" s="169"/>
      <c r="GQ46" s="169"/>
      <c r="GR46" s="169"/>
      <c r="GS46" s="169"/>
      <c r="GT46" s="169"/>
      <c r="GU46" s="169"/>
      <c r="GV46" s="169"/>
      <c r="GW46" s="169"/>
      <c r="GX46" s="169"/>
      <c r="GY46" s="169"/>
      <c r="GZ46" s="169"/>
      <c r="HA46" s="169"/>
      <c r="HB46" s="169"/>
      <c r="HC46" s="169"/>
      <c r="HD46" s="169"/>
      <c r="HE46" s="169"/>
      <c r="HF46" s="169"/>
      <c r="HG46" s="169"/>
      <c r="HH46" s="169"/>
      <c r="HI46" s="169"/>
      <c r="HJ46" s="169"/>
      <c r="HK46" s="169"/>
      <c r="HL46" s="169"/>
      <c r="HM46" s="169"/>
      <c r="HN46" s="169"/>
      <c r="HO46" s="169"/>
      <c r="HP46" s="169"/>
      <c r="HQ46" s="169"/>
      <c r="HR46" s="169"/>
      <c r="HS46" s="169"/>
      <c r="HT46" s="169"/>
      <c r="HU46" s="169"/>
      <c r="HV46" s="169"/>
      <c r="HW46" s="169"/>
      <c r="HX46" s="169"/>
      <c r="HY46" s="169"/>
      <c r="HZ46" s="169"/>
      <c r="IA46" s="169"/>
      <c r="IB46" s="169"/>
      <c r="IC46" s="169"/>
      <c r="ID46" s="169"/>
      <c r="IE46" s="169"/>
      <c r="IF46" s="169"/>
      <c r="IG46" s="169"/>
      <c r="IH46" s="169"/>
      <c r="II46" s="169"/>
      <c r="IJ46" s="169"/>
      <c r="IK46" s="169"/>
      <c r="IL46" s="169"/>
      <c r="IM46" s="169"/>
      <c r="IN46" s="169"/>
      <c r="IO46" s="169"/>
      <c r="IP46" s="169"/>
      <c r="IQ46" s="169"/>
      <c r="IR46" s="169"/>
      <c r="IS46" s="169"/>
      <c r="IT46" s="169"/>
      <c r="IU46" s="169"/>
      <c r="IV46" s="169"/>
    </row>
    <row r="47" spans="1:256" x14ac:dyDescent="0.25">
      <c r="A47" s="2295" t="s">
        <v>21</v>
      </c>
      <c r="B47" s="2278"/>
      <c r="C47" s="2296"/>
      <c r="D47" s="2297" t="s">
        <v>52</v>
      </c>
      <c r="E47" s="2296"/>
      <c r="F47" s="2297" t="s">
        <v>53</v>
      </c>
      <c r="G47" s="2296"/>
      <c r="H47" s="2297" t="s">
        <v>54</v>
      </c>
      <c r="I47" s="2278"/>
      <c r="J47" s="2296"/>
      <c r="K47" s="1313" t="s">
        <v>40</v>
      </c>
      <c r="L47" s="331" t="s">
        <v>40</v>
      </c>
      <c r="M47" s="1276" t="s">
        <v>42</v>
      </c>
      <c r="N47" s="169"/>
      <c r="O47" s="169"/>
      <c r="P47" s="169"/>
      <c r="Q47" s="169"/>
      <c r="R47" s="169"/>
      <c r="S47" s="169"/>
      <c r="T47" s="169"/>
      <c r="U47" s="169"/>
      <c r="V47" s="169"/>
      <c r="W47" s="169"/>
      <c r="X47" s="169"/>
      <c r="Y47" s="169"/>
      <c r="Z47" s="169"/>
      <c r="AA47" s="169"/>
      <c r="AB47" s="169"/>
      <c r="AC47" s="169"/>
      <c r="AD47" s="169"/>
      <c r="AE47" s="169"/>
      <c r="AF47" s="169"/>
      <c r="AG47" s="169"/>
      <c r="AH47" s="169"/>
      <c r="AI47" s="169"/>
      <c r="AJ47" s="169"/>
      <c r="AK47" s="169"/>
      <c r="AL47" s="169"/>
      <c r="AM47" s="169"/>
      <c r="AN47" s="169"/>
      <c r="AO47" s="169"/>
      <c r="AP47" s="169"/>
      <c r="AQ47" s="169"/>
      <c r="AR47" s="169"/>
      <c r="AS47" s="169"/>
      <c r="AT47" s="169"/>
      <c r="AU47" s="169"/>
      <c r="AV47" s="169"/>
      <c r="AW47" s="169"/>
      <c r="AX47" s="169"/>
      <c r="AY47" s="169"/>
      <c r="AZ47" s="169"/>
      <c r="BA47" s="169"/>
      <c r="BB47" s="169"/>
      <c r="BC47" s="169"/>
      <c r="BD47" s="169"/>
      <c r="BE47" s="169"/>
      <c r="BF47" s="169"/>
      <c r="BG47" s="169"/>
      <c r="BH47" s="169"/>
      <c r="BI47" s="169"/>
      <c r="BJ47" s="169"/>
      <c r="BK47" s="169"/>
      <c r="BL47" s="169"/>
      <c r="BM47" s="169"/>
      <c r="BN47" s="169"/>
      <c r="BO47" s="169"/>
      <c r="BP47" s="169"/>
      <c r="BQ47" s="169"/>
      <c r="BR47" s="169"/>
      <c r="BS47" s="169"/>
      <c r="BT47" s="169"/>
      <c r="BU47" s="169"/>
      <c r="BV47" s="169"/>
      <c r="BW47" s="169"/>
      <c r="BX47" s="169"/>
      <c r="BY47" s="169"/>
      <c r="BZ47" s="169"/>
      <c r="CA47" s="169"/>
      <c r="CB47" s="169"/>
      <c r="CC47" s="169"/>
      <c r="CD47" s="169"/>
      <c r="CE47" s="169"/>
      <c r="CF47" s="169"/>
      <c r="CG47" s="169"/>
      <c r="CH47" s="169"/>
      <c r="CI47" s="169"/>
      <c r="CJ47" s="169"/>
      <c r="CK47" s="169"/>
      <c r="CL47" s="169"/>
      <c r="CM47" s="169"/>
      <c r="CN47" s="169"/>
      <c r="CO47" s="169"/>
      <c r="CP47" s="169"/>
      <c r="CQ47" s="169"/>
      <c r="CR47" s="169"/>
      <c r="CS47" s="169"/>
      <c r="CT47" s="169"/>
      <c r="CU47" s="169"/>
      <c r="CV47" s="169"/>
      <c r="CW47" s="169"/>
      <c r="CX47" s="169"/>
      <c r="CY47" s="169"/>
      <c r="CZ47" s="169"/>
      <c r="DA47" s="169"/>
      <c r="DB47" s="169"/>
      <c r="DC47" s="169"/>
      <c r="DD47" s="169"/>
      <c r="DE47" s="169"/>
      <c r="DF47" s="169"/>
      <c r="DG47" s="169"/>
      <c r="DH47" s="169"/>
      <c r="DI47" s="169"/>
      <c r="DJ47" s="169"/>
      <c r="DK47" s="169"/>
      <c r="DL47" s="169"/>
      <c r="DM47" s="169"/>
      <c r="DN47" s="169"/>
      <c r="DO47" s="169"/>
      <c r="DP47" s="169"/>
      <c r="DQ47" s="169"/>
      <c r="DR47" s="169"/>
      <c r="DS47" s="169"/>
      <c r="DT47" s="169"/>
      <c r="DU47" s="169"/>
      <c r="DV47" s="169"/>
      <c r="DW47" s="169"/>
      <c r="DX47" s="169"/>
      <c r="DY47" s="169"/>
      <c r="DZ47" s="169"/>
      <c r="EA47" s="169"/>
      <c r="EB47" s="169"/>
      <c r="EC47" s="169"/>
      <c r="ED47" s="169"/>
      <c r="EE47" s="169"/>
      <c r="EF47" s="169"/>
      <c r="EG47" s="169"/>
      <c r="EH47" s="169"/>
      <c r="EI47" s="169"/>
      <c r="EJ47" s="169"/>
      <c r="EK47" s="169"/>
      <c r="EL47" s="169"/>
      <c r="EM47" s="169"/>
      <c r="EN47" s="169"/>
      <c r="EO47" s="169"/>
      <c r="EP47" s="169"/>
      <c r="EQ47" s="169"/>
      <c r="ER47" s="169"/>
      <c r="ES47" s="169"/>
      <c r="ET47" s="169"/>
      <c r="EU47" s="169"/>
      <c r="EV47" s="169"/>
      <c r="EW47" s="169"/>
      <c r="EX47" s="169"/>
      <c r="EY47" s="169"/>
      <c r="EZ47" s="169"/>
      <c r="FA47" s="169"/>
      <c r="FB47" s="169"/>
      <c r="FC47" s="169"/>
      <c r="FD47" s="169"/>
      <c r="FE47" s="169"/>
      <c r="FF47" s="169"/>
      <c r="FG47" s="169"/>
      <c r="FH47" s="169"/>
      <c r="FI47" s="169"/>
      <c r="FJ47" s="169"/>
      <c r="FK47" s="169"/>
      <c r="FL47" s="169"/>
      <c r="FM47" s="169"/>
      <c r="FN47" s="169"/>
      <c r="FO47" s="169"/>
      <c r="FP47" s="169"/>
      <c r="FQ47" s="169"/>
      <c r="FR47" s="169"/>
      <c r="FS47" s="169"/>
      <c r="FT47" s="169"/>
      <c r="FU47" s="169"/>
      <c r="FV47" s="169"/>
      <c r="FW47" s="169"/>
      <c r="FX47" s="169"/>
      <c r="FY47" s="169"/>
      <c r="FZ47" s="169"/>
      <c r="GA47" s="169"/>
      <c r="GB47" s="169"/>
      <c r="GC47" s="169"/>
      <c r="GD47" s="169"/>
      <c r="GE47" s="169"/>
      <c r="GF47" s="169"/>
      <c r="GG47" s="169"/>
      <c r="GH47" s="169"/>
      <c r="GI47" s="169"/>
      <c r="GJ47" s="169"/>
      <c r="GK47" s="169"/>
      <c r="GL47" s="169"/>
      <c r="GM47" s="169"/>
      <c r="GN47" s="169"/>
      <c r="GO47" s="169"/>
      <c r="GP47" s="169"/>
      <c r="GQ47" s="169"/>
      <c r="GR47" s="169"/>
      <c r="GS47" s="169"/>
      <c r="GT47" s="169"/>
      <c r="GU47" s="169"/>
      <c r="GV47" s="169"/>
      <c r="GW47" s="169"/>
      <c r="GX47" s="169"/>
      <c r="GY47" s="169"/>
      <c r="GZ47" s="169"/>
      <c r="HA47" s="169"/>
      <c r="HB47" s="169"/>
      <c r="HC47" s="169"/>
      <c r="HD47" s="169"/>
      <c r="HE47" s="169"/>
      <c r="HF47" s="169"/>
      <c r="HG47" s="169"/>
      <c r="HH47" s="169"/>
      <c r="HI47" s="169"/>
      <c r="HJ47" s="169"/>
      <c r="HK47" s="169"/>
      <c r="HL47" s="169"/>
      <c r="HM47" s="169"/>
      <c r="HN47" s="169"/>
      <c r="HO47" s="169"/>
      <c r="HP47" s="169"/>
      <c r="HQ47" s="169"/>
      <c r="HR47" s="169"/>
      <c r="HS47" s="169"/>
      <c r="HT47" s="169"/>
      <c r="HU47" s="169"/>
      <c r="HV47" s="169"/>
      <c r="HW47" s="169"/>
      <c r="HX47" s="169"/>
      <c r="HY47" s="169"/>
      <c r="HZ47" s="169"/>
      <c r="IA47" s="169"/>
      <c r="IB47" s="169"/>
      <c r="IC47" s="169"/>
      <c r="ID47" s="169"/>
      <c r="IE47" s="169"/>
      <c r="IF47" s="169"/>
      <c r="IG47" s="169"/>
      <c r="IH47" s="169"/>
      <c r="II47" s="169"/>
      <c r="IJ47" s="169"/>
      <c r="IK47" s="169"/>
      <c r="IL47" s="169"/>
      <c r="IM47" s="169"/>
      <c r="IN47" s="169"/>
      <c r="IO47" s="169"/>
      <c r="IP47" s="169"/>
      <c r="IQ47" s="169"/>
      <c r="IR47" s="169"/>
      <c r="IS47" s="169"/>
      <c r="IT47" s="169"/>
      <c r="IU47" s="169"/>
      <c r="IV47" s="169"/>
    </row>
    <row r="48" spans="1:256" x14ac:dyDescent="0.25">
      <c r="A48" s="314"/>
      <c r="B48" s="317"/>
      <c r="C48" s="317" t="s">
        <v>55</v>
      </c>
      <c r="D48" s="317"/>
      <c r="E48" s="315" t="s">
        <v>55</v>
      </c>
      <c r="F48" s="317" t="s">
        <v>56</v>
      </c>
      <c r="G48" s="317" t="s">
        <v>57</v>
      </c>
      <c r="H48" s="1314"/>
      <c r="I48" s="1314"/>
      <c r="J48" s="1315"/>
      <c r="K48" s="316" t="s">
        <v>58</v>
      </c>
      <c r="L48" s="315" t="s">
        <v>59</v>
      </c>
      <c r="M48" s="1277"/>
      <c r="N48" s="169"/>
      <c r="O48" s="169"/>
      <c r="P48" s="169"/>
      <c r="Q48" s="169"/>
      <c r="R48" s="169"/>
      <c r="S48" s="169"/>
      <c r="T48" s="169"/>
      <c r="U48" s="169"/>
      <c r="V48" s="169"/>
      <c r="W48" s="169"/>
      <c r="X48" s="169"/>
      <c r="Y48" s="169"/>
      <c r="Z48" s="169"/>
      <c r="AA48" s="169"/>
      <c r="AB48" s="169"/>
      <c r="AC48" s="169"/>
      <c r="AD48" s="169"/>
      <c r="AE48" s="169"/>
      <c r="AF48" s="169"/>
      <c r="AG48" s="169"/>
      <c r="AH48" s="169"/>
      <c r="AI48" s="169"/>
      <c r="AJ48" s="169"/>
      <c r="AK48" s="169"/>
      <c r="AL48" s="169"/>
      <c r="AM48" s="169"/>
      <c r="AN48" s="169"/>
      <c r="AO48" s="169"/>
      <c r="AP48" s="169"/>
      <c r="AQ48" s="169"/>
      <c r="AR48" s="169"/>
      <c r="AS48" s="169"/>
      <c r="AT48" s="169"/>
      <c r="AU48" s="169"/>
      <c r="AV48" s="169"/>
      <c r="AW48" s="169"/>
      <c r="AX48" s="169"/>
      <c r="AY48" s="169"/>
      <c r="AZ48" s="169"/>
      <c r="BA48" s="169"/>
      <c r="BB48" s="169"/>
      <c r="BC48" s="169"/>
      <c r="BD48" s="169"/>
      <c r="BE48" s="169"/>
      <c r="BF48" s="169"/>
      <c r="BG48" s="169"/>
      <c r="BH48" s="169"/>
      <c r="BI48" s="169"/>
      <c r="BJ48" s="169"/>
      <c r="BK48" s="169"/>
      <c r="BL48" s="169"/>
      <c r="BM48" s="169"/>
      <c r="BN48" s="169"/>
      <c r="BO48" s="169"/>
      <c r="BP48" s="169"/>
      <c r="BQ48" s="169"/>
      <c r="BR48" s="169"/>
      <c r="BS48" s="169"/>
      <c r="BT48" s="169"/>
      <c r="BU48" s="169"/>
      <c r="BV48" s="169"/>
      <c r="BW48" s="169"/>
      <c r="BX48" s="169"/>
      <c r="BY48" s="169"/>
      <c r="BZ48" s="169"/>
      <c r="CA48" s="169"/>
      <c r="CB48" s="169"/>
      <c r="CC48" s="169"/>
      <c r="CD48" s="169"/>
      <c r="CE48" s="169"/>
      <c r="CF48" s="169"/>
      <c r="CG48" s="169"/>
      <c r="CH48" s="169"/>
      <c r="CI48" s="169"/>
      <c r="CJ48" s="169"/>
      <c r="CK48" s="169"/>
      <c r="CL48" s="169"/>
      <c r="CM48" s="169"/>
      <c r="CN48" s="169"/>
      <c r="CO48" s="169"/>
      <c r="CP48" s="169"/>
      <c r="CQ48" s="169"/>
      <c r="CR48" s="169"/>
      <c r="CS48" s="169"/>
      <c r="CT48" s="169"/>
      <c r="CU48" s="169"/>
      <c r="CV48" s="169"/>
      <c r="CW48" s="169"/>
      <c r="CX48" s="169"/>
      <c r="CY48" s="169"/>
      <c r="CZ48" s="169"/>
      <c r="DA48" s="169"/>
      <c r="DB48" s="169"/>
      <c r="DC48" s="169"/>
      <c r="DD48" s="169"/>
      <c r="DE48" s="169"/>
      <c r="DF48" s="169"/>
      <c r="DG48" s="169"/>
      <c r="DH48" s="169"/>
      <c r="DI48" s="169"/>
      <c r="DJ48" s="169"/>
      <c r="DK48" s="169"/>
      <c r="DL48" s="169"/>
      <c r="DM48" s="169"/>
      <c r="DN48" s="169"/>
      <c r="DO48" s="169"/>
      <c r="DP48" s="169"/>
      <c r="DQ48" s="169"/>
      <c r="DR48" s="169"/>
      <c r="DS48" s="169"/>
      <c r="DT48" s="169"/>
      <c r="DU48" s="169"/>
      <c r="DV48" s="169"/>
      <c r="DW48" s="169"/>
      <c r="DX48" s="169"/>
      <c r="DY48" s="169"/>
      <c r="DZ48" s="169"/>
      <c r="EA48" s="169"/>
      <c r="EB48" s="169"/>
      <c r="EC48" s="169"/>
      <c r="ED48" s="169"/>
      <c r="EE48" s="169"/>
      <c r="EF48" s="169"/>
      <c r="EG48" s="169"/>
      <c r="EH48" s="169"/>
      <c r="EI48" s="169"/>
      <c r="EJ48" s="169"/>
      <c r="EK48" s="169"/>
      <c r="EL48" s="169"/>
      <c r="EM48" s="169"/>
      <c r="EN48" s="169"/>
      <c r="EO48" s="169"/>
      <c r="EP48" s="169"/>
      <c r="EQ48" s="169"/>
      <c r="ER48" s="169"/>
      <c r="ES48" s="169"/>
      <c r="ET48" s="169"/>
      <c r="EU48" s="169"/>
      <c r="EV48" s="169"/>
      <c r="EW48" s="169"/>
      <c r="EX48" s="169"/>
      <c r="EY48" s="169"/>
      <c r="EZ48" s="169"/>
      <c r="FA48" s="169"/>
      <c r="FB48" s="169"/>
      <c r="FC48" s="169"/>
      <c r="FD48" s="169"/>
      <c r="FE48" s="169"/>
      <c r="FF48" s="169"/>
      <c r="FG48" s="169"/>
      <c r="FH48" s="169"/>
      <c r="FI48" s="169"/>
      <c r="FJ48" s="169"/>
      <c r="FK48" s="169"/>
      <c r="FL48" s="169"/>
      <c r="FM48" s="169"/>
      <c r="FN48" s="169"/>
      <c r="FO48" s="169"/>
      <c r="FP48" s="169"/>
      <c r="FQ48" s="169"/>
      <c r="FR48" s="169"/>
      <c r="FS48" s="169"/>
      <c r="FT48" s="169"/>
      <c r="FU48" s="169"/>
      <c r="FV48" s="169"/>
      <c r="FW48" s="169"/>
      <c r="FX48" s="169"/>
      <c r="FY48" s="169"/>
      <c r="FZ48" s="169"/>
      <c r="GA48" s="169"/>
      <c r="GB48" s="169"/>
      <c r="GC48" s="169"/>
      <c r="GD48" s="169"/>
      <c r="GE48" s="169"/>
      <c r="GF48" s="169"/>
      <c r="GG48" s="169"/>
      <c r="GH48" s="169"/>
      <c r="GI48" s="169"/>
      <c r="GJ48" s="169"/>
      <c r="GK48" s="169"/>
      <c r="GL48" s="169"/>
      <c r="GM48" s="169"/>
      <c r="GN48" s="169"/>
      <c r="GO48" s="169"/>
      <c r="GP48" s="169"/>
      <c r="GQ48" s="169"/>
      <c r="GR48" s="169"/>
      <c r="GS48" s="169"/>
      <c r="GT48" s="169"/>
      <c r="GU48" s="169"/>
      <c r="GV48" s="169"/>
      <c r="GW48" s="169"/>
      <c r="GX48" s="169"/>
      <c r="GY48" s="169"/>
      <c r="GZ48" s="169"/>
      <c r="HA48" s="169"/>
      <c r="HB48" s="169"/>
      <c r="HC48" s="169"/>
      <c r="HD48" s="169"/>
      <c r="HE48" s="169"/>
      <c r="HF48" s="169"/>
      <c r="HG48" s="169"/>
      <c r="HH48" s="169"/>
      <c r="HI48" s="169"/>
      <c r="HJ48" s="169"/>
      <c r="HK48" s="169"/>
      <c r="HL48" s="169"/>
      <c r="HM48" s="169"/>
      <c r="HN48" s="169"/>
      <c r="HO48" s="169"/>
      <c r="HP48" s="169"/>
      <c r="HQ48" s="169"/>
      <c r="HR48" s="169"/>
      <c r="HS48" s="169"/>
      <c r="HT48" s="169"/>
      <c r="HU48" s="169"/>
      <c r="HV48" s="169"/>
      <c r="HW48" s="169"/>
      <c r="HX48" s="169"/>
      <c r="HY48" s="169"/>
      <c r="HZ48" s="169"/>
      <c r="IA48" s="169"/>
      <c r="IB48" s="169"/>
      <c r="IC48" s="169"/>
      <c r="ID48" s="169"/>
      <c r="IE48" s="169"/>
      <c r="IF48" s="169"/>
      <c r="IG48" s="169"/>
      <c r="IH48" s="169"/>
      <c r="II48" s="169"/>
      <c r="IJ48" s="169"/>
      <c r="IK48" s="169"/>
      <c r="IL48" s="169"/>
      <c r="IM48" s="169"/>
      <c r="IN48" s="169"/>
      <c r="IO48" s="169"/>
      <c r="IP48" s="169"/>
      <c r="IQ48" s="169"/>
      <c r="IR48" s="169"/>
      <c r="IS48" s="169"/>
      <c r="IT48" s="169"/>
      <c r="IU48" s="169"/>
      <c r="IV48" s="169"/>
    </row>
    <row r="49" spans="1:256" ht="13.8" thickBot="1" x14ac:dyDescent="0.3">
      <c r="A49" s="1278" t="s">
        <v>43</v>
      </c>
      <c r="B49" s="322" t="s">
        <v>44</v>
      </c>
      <c r="C49" s="322" t="s">
        <v>60</v>
      </c>
      <c r="D49" s="322" t="s">
        <v>3</v>
      </c>
      <c r="E49" s="323" t="s">
        <v>45</v>
      </c>
      <c r="F49" s="322" t="s">
        <v>46</v>
      </c>
      <c r="G49" s="322" t="s">
        <v>17</v>
      </c>
      <c r="H49" s="322" t="s">
        <v>28</v>
      </c>
      <c r="I49" s="322" t="s">
        <v>61</v>
      </c>
      <c r="J49" s="323" t="s">
        <v>34</v>
      </c>
      <c r="K49" s="321" t="s">
        <v>62</v>
      </c>
      <c r="L49" s="323" t="s">
        <v>63</v>
      </c>
      <c r="M49" s="1279" t="s">
        <v>36</v>
      </c>
      <c r="N49" s="169"/>
      <c r="O49" s="169"/>
      <c r="P49" s="169"/>
      <c r="Q49" s="169"/>
      <c r="R49" s="169"/>
      <c r="S49" s="169"/>
      <c r="T49" s="169"/>
      <c r="U49" s="169"/>
      <c r="V49" s="169"/>
      <c r="W49" s="169"/>
      <c r="X49" s="169"/>
      <c r="Y49" s="169"/>
      <c r="Z49" s="169"/>
      <c r="AA49" s="169"/>
      <c r="AB49" s="169"/>
      <c r="AC49" s="169"/>
      <c r="AD49" s="169"/>
      <c r="AE49" s="169"/>
      <c r="AF49" s="169"/>
      <c r="AG49" s="169"/>
      <c r="AH49" s="169"/>
      <c r="AI49" s="169"/>
      <c r="AJ49" s="169"/>
      <c r="AK49" s="169"/>
      <c r="AL49" s="169"/>
      <c r="AM49" s="169"/>
      <c r="AN49" s="169"/>
      <c r="AO49" s="169"/>
      <c r="AP49" s="169"/>
      <c r="AQ49" s="169"/>
      <c r="AR49" s="169"/>
      <c r="AS49" s="169"/>
      <c r="AT49" s="169"/>
      <c r="AU49" s="169"/>
      <c r="AV49" s="169"/>
      <c r="AW49" s="169"/>
      <c r="AX49" s="169"/>
      <c r="AY49" s="169"/>
      <c r="AZ49" s="169"/>
      <c r="BA49" s="169"/>
      <c r="BB49" s="169"/>
      <c r="BC49" s="169"/>
      <c r="BD49" s="169"/>
      <c r="BE49" s="169"/>
      <c r="BF49" s="169"/>
      <c r="BG49" s="169"/>
      <c r="BH49" s="169"/>
      <c r="BI49" s="169"/>
      <c r="BJ49" s="169"/>
      <c r="BK49" s="169"/>
      <c r="BL49" s="169"/>
      <c r="BM49" s="169"/>
      <c r="BN49" s="169"/>
      <c r="BO49" s="169"/>
      <c r="BP49" s="169"/>
      <c r="BQ49" s="169"/>
      <c r="BR49" s="169"/>
      <c r="BS49" s="169"/>
      <c r="BT49" s="169"/>
      <c r="BU49" s="169"/>
      <c r="BV49" s="169"/>
      <c r="BW49" s="169"/>
      <c r="BX49" s="169"/>
      <c r="BY49" s="169"/>
      <c r="BZ49" s="169"/>
      <c r="CA49" s="169"/>
      <c r="CB49" s="169"/>
      <c r="CC49" s="169"/>
      <c r="CD49" s="169"/>
      <c r="CE49" s="169"/>
      <c r="CF49" s="169"/>
      <c r="CG49" s="169"/>
      <c r="CH49" s="169"/>
      <c r="CI49" s="169"/>
      <c r="CJ49" s="169"/>
      <c r="CK49" s="169"/>
      <c r="CL49" s="169"/>
      <c r="CM49" s="169"/>
      <c r="CN49" s="169"/>
      <c r="CO49" s="169"/>
      <c r="CP49" s="169"/>
      <c r="CQ49" s="169"/>
      <c r="CR49" s="169"/>
      <c r="CS49" s="169"/>
      <c r="CT49" s="169"/>
      <c r="CU49" s="169"/>
      <c r="CV49" s="169"/>
      <c r="CW49" s="169"/>
      <c r="CX49" s="169"/>
      <c r="CY49" s="169"/>
      <c r="CZ49" s="169"/>
      <c r="DA49" s="169"/>
      <c r="DB49" s="169"/>
      <c r="DC49" s="169"/>
      <c r="DD49" s="169"/>
      <c r="DE49" s="169"/>
      <c r="DF49" s="169"/>
      <c r="DG49" s="169"/>
      <c r="DH49" s="169"/>
      <c r="DI49" s="169"/>
      <c r="DJ49" s="169"/>
      <c r="DK49" s="169"/>
      <c r="DL49" s="169"/>
      <c r="DM49" s="169"/>
      <c r="DN49" s="169"/>
      <c r="DO49" s="169"/>
      <c r="DP49" s="169"/>
      <c r="DQ49" s="169"/>
      <c r="DR49" s="169"/>
      <c r="DS49" s="169"/>
      <c r="DT49" s="169"/>
      <c r="DU49" s="169"/>
      <c r="DV49" s="169"/>
      <c r="DW49" s="169"/>
      <c r="DX49" s="169"/>
      <c r="DY49" s="169"/>
      <c r="DZ49" s="169"/>
      <c r="EA49" s="169"/>
      <c r="EB49" s="169"/>
      <c r="EC49" s="169"/>
      <c r="ED49" s="169"/>
      <c r="EE49" s="169"/>
      <c r="EF49" s="169"/>
      <c r="EG49" s="169"/>
      <c r="EH49" s="169"/>
      <c r="EI49" s="169"/>
      <c r="EJ49" s="169"/>
      <c r="EK49" s="169"/>
      <c r="EL49" s="169"/>
      <c r="EM49" s="169"/>
      <c r="EN49" s="169"/>
      <c r="EO49" s="169"/>
      <c r="EP49" s="169"/>
      <c r="EQ49" s="169"/>
      <c r="ER49" s="169"/>
      <c r="ES49" s="169"/>
      <c r="ET49" s="169"/>
      <c r="EU49" s="169"/>
      <c r="EV49" s="169"/>
      <c r="EW49" s="169"/>
      <c r="EX49" s="169"/>
      <c r="EY49" s="169"/>
      <c r="EZ49" s="169"/>
      <c r="FA49" s="169"/>
      <c r="FB49" s="169"/>
      <c r="FC49" s="169"/>
      <c r="FD49" s="169"/>
      <c r="FE49" s="169"/>
      <c r="FF49" s="169"/>
      <c r="FG49" s="169"/>
      <c r="FH49" s="169"/>
      <c r="FI49" s="169"/>
      <c r="FJ49" s="169"/>
      <c r="FK49" s="169"/>
      <c r="FL49" s="169"/>
      <c r="FM49" s="169"/>
      <c r="FN49" s="169"/>
      <c r="FO49" s="169"/>
      <c r="FP49" s="169"/>
      <c r="FQ49" s="169"/>
      <c r="FR49" s="169"/>
      <c r="FS49" s="169"/>
      <c r="FT49" s="169"/>
      <c r="FU49" s="169"/>
      <c r="FV49" s="169"/>
      <c r="FW49" s="169"/>
      <c r="FX49" s="169"/>
      <c r="FY49" s="169"/>
      <c r="FZ49" s="169"/>
      <c r="GA49" s="169"/>
      <c r="GB49" s="169"/>
      <c r="GC49" s="169"/>
      <c r="GD49" s="169"/>
      <c r="GE49" s="169"/>
      <c r="GF49" s="169"/>
      <c r="GG49" s="169"/>
      <c r="GH49" s="169"/>
      <c r="GI49" s="169"/>
      <c r="GJ49" s="169"/>
      <c r="GK49" s="169"/>
      <c r="GL49" s="169"/>
      <c r="GM49" s="169"/>
      <c r="GN49" s="169"/>
      <c r="GO49" s="169"/>
      <c r="GP49" s="169"/>
      <c r="GQ49" s="169"/>
      <c r="GR49" s="169"/>
      <c r="GS49" s="169"/>
      <c r="GT49" s="169"/>
      <c r="GU49" s="169"/>
      <c r="GV49" s="169"/>
      <c r="GW49" s="169"/>
      <c r="GX49" s="169"/>
      <c r="GY49" s="169"/>
      <c r="GZ49" s="169"/>
      <c r="HA49" s="169"/>
      <c r="HB49" s="169"/>
      <c r="HC49" s="169"/>
      <c r="HD49" s="169"/>
      <c r="HE49" s="169"/>
      <c r="HF49" s="169"/>
      <c r="HG49" s="169"/>
      <c r="HH49" s="169"/>
      <c r="HI49" s="169"/>
      <c r="HJ49" s="169"/>
      <c r="HK49" s="169"/>
      <c r="HL49" s="169"/>
      <c r="HM49" s="169"/>
      <c r="HN49" s="169"/>
      <c r="HO49" s="169"/>
      <c r="HP49" s="169"/>
      <c r="HQ49" s="169"/>
      <c r="HR49" s="169"/>
      <c r="HS49" s="169"/>
      <c r="HT49" s="169"/>
      <c r="HU49" s="169"/>
      <c r="HV49" s="169"/>
      <c r="HW49" s="169"/>
      <c r="HX49" s="169"/>
      <c r="HY49" s="169"/>
      <c r="HZ49" s="169"/>
      <c r="IA49" s="169"/>
      <c r="IB49" s="169"/>
      <c r="IC49" s="169"/>
      <c r="ID49" s="169"/>
      <c r="IE49" s="169"/>
      <c r="IF49" s="169"/>
      <c r="IG49" s="169"/>
      <c r="IH49" s="169"/>
      <c r="II49" s="169"/>
      <c r="IJ49" s="169"/>
      <c r="IK49" s="169"/>
      <c r="IL49" s="169"/>
      <c r="IM49" s="169"/>
      <c r="IN49" s="169"/>
      <c r="IO49" s="169"/>
      <c r="IP49" s="169"/>
      <c r="IQ49" s="169"/>
      <c r="IR49" s="169"/>
      <c r="IS49" s="169"/>
      <c r="IT49" s="169"/>
      <c r="IU49" s="169"/>
      <c r="IV49" s="169"/>
    </row>
    <row r="50" spans="1:256" ht="13.8" x14ac:dyDescent="0.25">
      <c r="A50" s="1459" t="s">
        <v>1432</v>
      </c>
      <c r="B50" s="1460"/>
      <c r="C50" s="1461"/>
      <c r="D50" s="1462"/>
      <c r="E50" s="1463"/>
      <c r="F50" s="605"/>
      <c r="G50" s="606"/>
      <c r="H50" s="493"/>
      <c r="I50" s="493"/>
      <c r="J50" s="493"/>
      <c r="K50" s="605"/>
      <c r="L50" s="605"/>
      <c r="M50" s="607"/>
      <c r="N50" s="169"/>
      <c r="O50" s="169"/>
      <c r="P50" s="169"/>
      <c r="Q50" s="169"/>
      <c r="R50" s="169"/>
      <c r="S50" s="169"/>
      <c r="T50" s="169"/>
      <c r="U50" s="169"/>
      <c r="V50" s="169"/>
      <c r="W50" s="169"/>
      <c r="X50" s="169"/>
      <c r="Y50" s="169"/>
      <c r="Z50" s="169"/>
      <c r="AA50" s="169"/>
      <c r="AB50" s="169"/>
      <c r="AC50" s="169"/>
      <c r="AD50" s="169"/>
      <c r="AE50" s="169"/>
      <c r="AF50" s="169"/>
      <c r="AG50" s="169"/>
      <c r="AH50" s="169"/>
      <c r="AI50" s="169"/>
      <c r="AJ50" s="169"/>
      <c r="AK50" s="169"/>
      <c r="AL50" s="169"/>
      <c r="AM50" s="169"/>
      <c r="AN50" s="169"/>
      <c r="AO50" s="169"/>
      <c r="AP50" s="169"/>
      <c r="AQ50" s="169"/>
      <c r="AR50" s="169"/>
      <c r="AS50" s="169"/>
      <c r="AT50" s="169"/>
      <c r="AU50" s="169"/>
      <c r="AV50" s="169"/>
      <c r="AW50" s="169"/>
      <c r="AX50" s="169"/>
      <c r="AY50" s="169"/>
      <c r="AZ50" s="169"/>
      <c r="BA50" s="169"/>
      <c r="BB50" s="169"/>
      <c r="BC50" s="169"/>
      <c r="BD50" s="169"/>
      <c r="BE50" s="169"/>
      <c r="BF50" s="169"/>
      <c r="BG50" s="169"/>
      <c r="BH50" s="169"/>
      <c r="BI50" s="169"/>
      <c r="BJ50" s="169"/>
      <c r="BK50" s="169"/>
      <c r="BL50" s="169"/>
      <c r="BM50" s="169"/>
      <c r="BN50" s="169"/>
      <c r="BO50" s="169"/>
      <c r="BP50" s="169"/>
      <c r="BQ50" s="169"/>
      <c r="BR50" s="169"/>
      <c r="BS50" s="169"/>
      <c r="BT50" s="169"/>
      <c r="BU50" s="169"/>
      <c r="BV50" s="169"/>
      <c r="BW50" s="169"/>
      <c r="BX50" s="169"/>
      <c r="BY50" s="169"/>
      <c r="BZ50" s="169"/>
      <c r="CA50" s="169"/>
      <c r="CB50" s="169"/>
      <c r="CC50" s="169"/>
      <c r="CD50" s="169"/>
      <c r="CE50" s="169"/>
      <c r="CF50" s="169"/>
      <c r="CG50" s="169"/>
      <c r="CH50" s="169"/>
      <c r="CI50" s="169"/>
      <c r="CJ50" s="169"/>
      <c r="CK50" s="169"/>
      <c r="CL50" s="169"/>
      <c r="CM50" s="169"/>
      <c r="CN50" s="169"/>
      <c r="CO50" s="169"/>
      <c r="CP50" s="169"/>
      <c r="CQ50" s="169"/>
      <c r="CR50" s="169"/>
      <c r="CS50" s="169"/>
      <c r="CT50" s="169"/>
      <c r="CU50" s="169"/>
      <c r="CV50" s="169"/>
      <c r="CW50" s="169"/>
      <c r="CX50" s="169"/>
      <c r="CY50" s="169"/>
      <c r="CZ50" s="169"/>
      <c r="DA50" s="169"/>
      <c r="DB50" s="169"/>
      <c r="DC50" s="169"/>
      <c r="DD50" s="169"/>
      <c r="DE50" s="169"/>
      <c r="DF50" s="169"/>
      <c r="DG50" s="169"/>
      <c r="DH50" s="169"/>
      <c r="DI50" s="169"/>
      <c r="DJ50" s="169"/>
      <c r="DK50" s="169"/>
      <c r="DL50" s="169"/>
      <c r="DM50" s="169"/>
      <c r="DN50" s="169"/>
      <c r="DO50" s="169"/>
      <c r="DP50" s="169"/>
      <c r="DQ50" s="169"/>
      <c r="DR50" s="169"/>
      <c r="DS50" s="169"/>
      <c r="DT50" s="169"/>
      <c r="DU50" s="169"/>
      <c r="DV50" s="169"/>
      <c r="DW50" s="169"/>
      <c r="DX50" s="169"/>
      <c r="DY50" s="169"/>
      <c r="DZ50" s="169"/>
      <c r="EA50" s="169"/>
      <c r="EB50" s="169"/>
      <c r="EC50" s="169"/>
      <c r="ED50" s="169"/>
      <c r="EE50" s="169"/>
      <c r="EF50" s="169"/>
      <c r="EG50" s="169"/>
      <c r="EH50" s="169"/>
      <c r="EI50" s="169"/>
      <c r="EJ50" s="169"/>
      <c r="EK50" s="169"/>
      <c r="EL50" s="169"/>
      <c r="EM50" s="169"/>
      <c r="EN50" s="169"/>
      <c r="EO50" s="169"/>
      <c r="EP50" s="169"/>
      <c r="EQ50" s="169"/>
      <c r="ER50" s="169"/>
      <c r="ES50" s="169"/>
      <c r="ET50" s="169"/>
      <c r="EU50" s="169"/>
      <c r="EV50" s="169"/>
      <c r="EW50" s="169"/>
      <c r="EX50" s="169"/>
      <c r="EY50" s="169"/>
      <c r="EZ50" s="169"/>
      <c r="FA50" s="169"/>
      <c r="FB50" s="169"/>
      <c r="FC50" s="169"/>
      <c r="FD50" s="169"/>
      <c r="FE50" s="169"/>
      <c r="FF50" s="169"/>
      <c r="FG50" s="169"/>
      <c r="FH50" s="169"/>
      <c r="FI50" s="169"/>
      <c r="FJ50" s="169"/>
      <c r="FK50" s="169"/>
      <c r="FL50" s="169"/>
      <c r="FM50" s="169"/>
      <c r="FN50" s="169"/>
      <c r="FO50" s="169"/>
      <c r="FP50" s="169"/>
      <c r="FQ50" s="169"/>
      <c r="FR50" s="169"/>
      <c r="FS50" s="169"/>
      <c r="FT50" s="169"/>
      <c r="FU50" s="169"/>
      <c r="FV50" s="169"/>
      <c r="FW50" s="169"/>
      <c r="FX50" s="169"/>
      <c r="FY50" s="169"/>
      <c r="FZ50" s="169"/>
      <c r="GA50" s="169"/>
      <c r="GB50" s="169"/>
      <c r="GC50" s="169"/>
      <c r="GD50" s="169"/>
      <c r="GE50" s="169"/>
      <c r="GF50" s="169"/>
      <c r="GG50" s="169"/>
      <c r="GH50" s="169"/>
      <c r="GI50" s="169"/>
      <c r="GJ50" s="169"/>
      <c r="GK50" s="169"/>
      <c r="GL50" s="169"/>
      <c r="GM50" s="169"/>
      <c r="GN50" s="169"/>
      <c r="GO50" s="169"/>
      <c r="GP50" s="169"/>
      <c r="GQ50" s="169"/>
      <c r="GR50" s="169"/>
      <c r="GS50" s="169"/>
      <c r="GT50" s="169"/>
      <c r="GU50" s="169"/>
      <c r="GV50" s="169"/>
      <c r="GW50" s="169"/>
      <c r="GX50" s="169"/>
      <c r="GY50" s="169"/>
      <c r="GZ50" s="169"/>
      <c r="HA50" s="169"/>
      <c r="HB50" s="169"/>
      <c r="HC50" s="169"/>
      <c r="HD50" s="169"/>
      <c r="HE50" s="169"/>
      <c r="HF50" s="169"/>
      <c r="HG50" s="169"/>
      <c r="HH50" s="169"/>
      <c r="HI50" s="169"/>
      <c r="HJ50" s="169"/>
      <c r="HK50" s="169"/>
      <c r="HL50" s="169"/>
      <c r="HM50" s="169"/>
      <c r="HN50" s="169"/>
      <c r="HO50" s="169"/>
      <c r="HP50" s="169"/>
      <c r="HQ50" s="169"/>
      <c r="HR50" s="169"/>
      <c r="HS50" s="169"/>
      <c r="HT50" s="169"/>
      <c r="HU50" s="169"/>
      <c r="HV50" s="169"/>
      <c r="HW50" s="169"/>
      <c r="HX50" s="169"/>
      <c r="HY50" s="169"/>
      <c r="HZ50" s="169"/>
      <c r="IA50" s="169"/>
      <c r="IB50" s="169"/>
      <c r="IC50" s="169"/>
      <c r="ID50" s="169"/>
      <c r="IE50" s="169"/>
      <c r="IF50" s="169"/>
      <c r="IG50" s="169"/>
      <c r="IH50" s="169"/>
      <c r="II50" s="169"/>
      <c r="IJ50" s="169"/>
      <c r="IK50" s="169"/>
      <c r="IL50" s="169"/>
      <c r="IM50" s="169"/>
      <c r="IN50" s="169"/>
      <c r="IO50" s="169"/>
      <c r="IP50" s="169"/>
      <c r="IQ50" s="169"/>
      <c r="IR50" s="169"/>
      <c r="IS50" s="169"/>
      <c r="IT50" s="169"/>
      <c r="IU50" s="169"/>
      <c r="IV50" s="169"/>
    </row>
    <row r="51" spans="1:256" ht="15" x14ac:dyDescent="0.25">
      <c r="A51" s="1307"/>
      <c r="B51" s="1308"/>
      <c r="C51" s="1260"/>
      <c r="D51" s="1261"/>
      <c r="E51" s="1261"/>
      <c r="F51" s="1262"/>
      <c r="G51" s="1263"/>
      <c r="H51" s="1262"/>
      <c r="I51" s="1262"/>
      <c r="J51" s="1264"/>
      <c r="K51" s="1262"/>
      <c r="L51" s="1262"/>
      <c r="M51" s="1265"/>
      <c r="N51" s="169"/>
      <c r="O51" s="169"/>
      <c r="P51" s="169"/>
      <c r="Q51" s="169"/>
      <c r="R51" s="169"/>
      <c r="S51" s="169"/>
      <c r="T51" s="169"/>
      <c r="U51" s="169"/>
      <c r="V51" s="169"/>
      <c r="W51" s="169"/>
      <c r="X51" s="169"/>
      <c r="Y51" s="169"/>
      <c r="Z51" s="169"/>
      <c r="AA51" s="169"/>
      <c r="AB51" s="169"/>
      <c r="AC51" s="169"/>
      <c r="AD51" s="169"/>
      <c r="AE51" s="169"/>
      <c r="AF51" s="169"/>
      <c r="AG51" s="169"/>
      <c r="AH51" s="169"/>
      <c r="AI51" s="169"/>
      <c r="AJ51" s="169"/>
      <c r="AK51" s="169"/>
      <c r="AL51" s="169"/>
      <c r="AM51" s="169"/>
      <c r="AN51" s="169"/>
      <c r="AO51" s="169"/>
      <c r="AP51" s="169"/>
      <c r="AQ51" s="169"/>
      <c r="AR51" s="169"/>
      <c r="AS51" s="169"/>
      <c r="AT51" s="169"/>
      <c r="AU51" s="169"/>
      <c r="AV51" s="169"/>
      <c r="AW51" s="169"/>
      <c r="AX51" s="169"/>
      <c r="AY51" s="169"/>
      <c r="AZ51" s="169"/>
      <c r="BA51" s="169"/>
      <c r="BB51" s="169"/>
      <c r="BC51" s="169"/>
      <c r="BD51" s="169"/>
      <c r="BE51" s="169"/>
      <c r="BF51" s="169"/>
      <c r="BG51" s="169"/>
      <c r="BH51" s="169"/>
      <c r="BI51" s="169"/>
      <c r="BJ51" s="169"/>
      <c r="BK51" s="169"/>
      <c r="BL51" s="169"/>
      <c r="BM51" s="169"/>
      <c r="BN51" s="169"/>
      <c r="BO51" s="169"/>
      <c r="BP51" s="169"/>
      <c r="BQ51" s="169"/>
      <c r="BR51" s="169"/>
      <c r="BS51" s="169"/>
      <c r="BT51" s="169"/>
      <c r="BU51" s="169"/>
      <c r="BV51" s="169"/>
      <c r="BW51" s="169"/>
      <c r="BX51" s="169"/>
      <c r="BY51" s="169"/>
      <c r="BZ51" s="169"/>
      <c r="CA51" s="169"/>
      <c r="CB51" s="169"/>
      <c r="CC51" s="169"/>
      <c r="CD51" s="169"/>
      <c r="CE51" s="169"/>
      <c r="CF51" s="169"/>
      <c r="CG51" s="169"/>
      <c r="CH51" s="169"/>
      <c r="CI51" s="169"/>
      <c r="CJ51" s="169"/>
      <c r="CK51" s="169"/>
      <c r="CL51" s="169"/>
      <c r="CM51" s="169"/>
      <c r="CN51" s="169"/>
      <c r="CO51" s="169"/>
      <c r="CP51" s="169"/>
      <c r="CQ51" s="169"/>
      <c r="CR51" s="169"/>
      <c r="CS51" s="169"/>
      <c r="CT51" s="169"/>
      <c r="CU51" s="169"/>
      <c r="CV51" s="169"/>
      <c r="CW51" s="169"/>
      <c r="CX51" s="169"/>
      <c r="CY51" s="169"/>
      <c r="CZ51" s="169"/>
      <c r="DA51" s="169"/>
      <c r="DB51" s="169"/>
      <c r="DC51" s="169"/>
      <c r="DD51" s="169"/>
      <c r="DE51" s="169"/>
      <c r="DF51" s="169"/>
      <c r="DG51" s="169"/>
      <c r="DH51" s="169"/>
      <c r="DI51" s="169"/>
      <c r="DJ51" s="169"/>
      <c r="DK51" s="169"/>
      <c r="DL51" s="169"/>
      <c r="DM51" s="169"/>
      <c r="DN51" s="169"/>
      <c r="DO51" s="169"/>
      <c r="DP51" s="169"/>
      <c r="DQ51" s="169"/>
      <c r="DR51" s="169"/>
      <c r="DS51" s="169"/>
      <c r="DT51" s="169"/>
      <c r="DU51" s="169"/>
      <c r="DV51" s="169"/>
      <c r="DW51" s="169"/>
      <c r="DX51" s="169"/>
      <c r="DY51" s="169"/>
      <c r="DZ51" s="169"/>
      <c r="EA51" s="169"/>
      <c r="EB51" s="169"/>
      <c r="EC51" s="169"/>
      <c r="ED51" s="169"/>
      <c r="EE51" s="169"/>
      <c r="EF51" s="169"/>
      <c r="EG51" s="169"/>
      <c r="EH51" s="169"/>
      <c r="EI51" s="169"/>
      <c r="EJ51" s="169"/>
      <c r="EK51" s="169"/>
      <c r="EL51" s="169"/>
      <c r="EM51" s="169"/>
      <c r="EN51" s="169"/>
      <c r="EO51" s="169"/>
      <c r="EP51" s="169"/>
      <c r="EQ51" s="169"/>
      <c r="ER51" s="169"/>
      <c r="ES51" s="169"/>
      <c r="ET51" s="169"/>
      <c r="EU51" s="169"/>
      <c r="EV51" s="169"/>
      <c r="EW51" s="169"/>
      <c r="EX51" s="169"/>
      <c r="EY51" s="169"/>
      <c r="EZ51" s="169"/>
      <c r="FA51" s="169"/>
      <c r="FB51" s="169"/>
      <c r="FC51" s="169"/>
      <c r="FD51" s="169"/>
      <c r="FE51" s="169"/>
      <c r="FF51" s="169"/>
      <c r="FG51" s="169"/>
      <c r="FH51" s="169"/>
      <c r="FI51" s="169"/>
      <c r="FJ51" s="169"/>
      <c r="FK51" s="169"/>
      <c r="FL51" s="169"/>
      <c r="FM51" s="169"/>
      <c r="FN51" s="169"/>
      <c r="FO51" s="169"/>
      <c r="FP51" s="169"/>
      <c r="FQ51" s="169"/>
      <c r="FR51" s="169"/>
      <c r="FS51" s="169"/>
      <c r="FT51" s="169"/>
      <c r="FU51" s="169"/>
      <c r="FV51" s="169"/>
      <c r="FW51" s="169"/>
      <c r="FX51" s="169"/>
      <c r="FY51" s="169"/>
      <c r="FZ51" s="169"/>
      <c r="GA51" s="169"/>
      <c r="GB51" s="169"/>
      <c r="GC51" s="169"/>
      <c r="GD51" s="169"/>
      <c r="GE51" s="169"/>
      <c r="GF51" s="169"/>
      <c r="GG51" s="169"/>
      <c r="GH51" s="169"/>
      <c r="GI51" s="169"/>
      <c r="GJ51" s="169"/>
      <c r="GK51" s="169"/>
      <c r="GL51" s="169"/>
      <c r="GM51" s="169"/>
      <c r="GN51" s="169"/>
      <c r="GO51" s="169"/>
      <c r="GP51" s="169"/>
      <c r="GQ51" s="169"/>
      <c r="GR51" s="169"/>
      <c r="GS51" s="169"/>
      <c r="GT51" s="169"/>
      <c r="GU51" s="169"/>
      <c r="GV51" s="169"/>
      <c r="GW51" s="169"/>
      <c r="GX51" s="169"/>
      <c r="GY51" s="169"/>
      <c r="GZ51" s="169"/>
      <c r="HA51" s="169"/>
      <c r="HB51" s="169"/>
      <c r="HC51" s="169"/>
      <c r="HD51" s="169"/>
      <c r="HE51" s="169"/>
      <c r="HF51" s="169"/>
      <c r="HG51" s="169"/>
      <c r="HH51" s="169"/>
      <c r="HI51" s="169"/>
      <c r="HJ51" s="169"/>
      <c r="HK51" s="169"/>
      <c r="HL51" s="169"/>
      <c r="HM51" s="169"/>
      <c r="HN51" s="169"/>
      <c r="HO51" s="169"/>
      <c r="HP51" s="169"/>
      <c r="HQ51" s="169"/>
      <c r="HR51" s="169"/>
      <c r="HS51" s="169"/>
      <c r="HT51" s="169"/>
      <c r="HU51" s="169"/>
      <c r="HV51" s="169"/>
      <c r="HW51" s="169"/>
      <c r="HX51" s="169"/>
      <c r="HY51" s="169"/>
      <c r="HZ51" s="169"/>
      <c r="IA51" s="169"/>
      <c r="IB51" s="169"/>
      <c r="IC51" s="169"/>
      <c r="ID51" s="169"/>
      <c r="IE51" s="169"/>
      <c r="IF51" s="169"/>
      <c r="IG51" s="169"/>
      <c r="IH51" s="169"/>
      <c r="II51" s="169"/>
      <c r="IJ51" s="169"/>
      <c r="IK51" s="169"/>
      <c r="IL51" s="169"/>
      <c r="IM51" s="169"/>
      <c r="IN51" s="169"/>
      <c r="IO51" s="169"/>
      <c r="IP51" s="169"/>
      <c r="IQ51" s="169"/>
      <c r="IR51" s="169"/>
      <c r="IS51" s="169"/>
      <c r="IT51" s="169"/>
      <c r="IU51" s="169"/>
      <c r="IV51" s="169"/>
    </row>
    <row r="52" spans="1:256" ht="15" x14ac:dyDescent="0.25">
      <c r="A52" s="1309">
        <v>2</v>
      </c>
      <c r="B52" s="1310">
        <v>44712</v>
      </c>
      <c r="C52" s="1266">
        <v>0</v>
      </c>
      <c r="D52" s="1267">
        <v>44708</v>
      </c>
      <c r="E52" s="1268">
        <v>68345.05</v>
      </c>
      <c r="F52" s="1269">
        <v>0.44900000000000001</v>
      </c>
      <c r="G52" s="1270">
        <v>0.64920999999999995</v>
      </c>
      <c r="H52" s="1271">
        <v>811.32</v>
      </c>
      <c r="I52" s="1271">
        <f>I42</f>
        <v>948.77</v>
      </c>
      <c r="J52" s="1271">
        <f t="shared" ref="J52:J58" si="3">J37</f>
        <v>946.24</v>
      </c>
      <c r="K52" s="1272">
        <f t="shared" ref="K52:K57" si="4">ROUND($E$53*$H$52/I52,2)</f>
        <v>58443.78</v>
      </c>
      <c r="L52" s="1272">
        <f t="shared" ref="L52:L57" si="5">ROUND($F$37*$G$37*C52,2)</f>
        <v>0</v>
      </c>
      <c r="M52" s="1273">
        <f t="shared" ref="M52:M57" si="6">ROUND(L52*(J52-I52)/$H$37,2)</f>
        <v>0</v>
      </c>
      <c r="N52" s="175"/>
      <c r="O52" s="175"/>
      <c r="P52" s="175"/>
      <c r="Q52" s="175"/>
      <c r="R52" s="175"/>
      <c r="S52" s="175"/>
      <c r="T52" s="175"/>
      <c r="U52" s="175"/>
      <c r="V52" s="175"/>
      <c r="W52" s="175"/>
      <c r="X52" s="175"/>
      <c r="Y52" s="175"/>
      <c r="Z52" s="175"/>
      <c r="AA52" s="175"/>
      <c r="AB52" s="175"/>
      <c r="AC52" s="175"/>
      <c r="AD52" s="175"/>
      <c r="AE52" s="175"/>
      <c r="AF52" s="169"/>
      <c r="AG52" s="169"/>
      <c r="AH52" s="169"/>
      <c r="AI52" s="169"/>
      <c r="AJ52" s="169"/>
      <c r="AK52" s="169"/>
      <c r="AL52" s="169"/>
      <c r="AM52" s="169"/>
      <c r="AN52" s="169"/>
      <c r="AO52" s="169"/>
      <c r="AP52" s="169"/>
      <c r="AQ52" s="169"/>
      <c r="AR52" s="169"/>
      <c r="AS52" s="169"/>
      <c r="AT52" s="169"/>
      <c r="AU52" s="169"/>
      <c r="AV52" s="169"/>
      <c r="AW52" s="169"/>
      <c r="AX52" s="169"/>
      <c r="AY52" s="169"/>
      <c r="AZ52" s="169"/>
      <c r="BA52" s="169"/>
      <c r="BB52" s="169"/>
      <c r="BC52" s="169"/>
      <c r="BD52" s="169"/>
      <c r="BE52" s="169"/>
      <c r="BF52" s="169"/>
      <c r="BG52" s="169"/>
      <c r="BH52" s="169"/>
      <c r="BI52" s="169"/>
      <c r="BJ52" s="169"/>
      <c r="BK52" s="169"/>
      <c r="BL52" s="169"/>
      <c r="BM52" s="169"/>
      <c r="BN52" s="169"/>
      <c r="BO52" s="169"/>
      <c r="BP52" s="169"/>
      <c r="BQ52" s="169"/>
      <c r="BR52" s="169"/>
      <c r="BS52" s="169"/>
      <c r="BT52" s="169"/>
      <c r="BU52" s="169"/>
      <c r="BV52" s="169"/>
      <c r="BW52" s="169"/>
      <c r="BX52" s="169"/>
      <c r="BY52" s="169"/>
      <c r="BZ52" s="169"/>
      <c r="CA52" s="169"/>
      <c r="CB52" s="169"/>
      <c r="CC52" s="169"/>
      <c r="CD52" s="169"/>
      <c r="CE52" s="169"/>
      <c r="CF52" s="169"/>
      <c r="CG52" s="169"/>
      <c r="CH52" s="169"/>
      <c r="CI52" s="169"/>
      <c r="CJ52" s="169"/>
      <c r="CK52" s="169"/>
      <c r="CL52" s="169"/>
      <c r="CM52" s="169"/>
      <c r="CN52" s="169"/>
      <c r="CO52" s="169"/>
      <c r="CP52" s="169"/>
      <c r="CQ52" s="169"/>
      <c r="CR52" s="169"/>
      <c r="CS52" s="169"/>
      <c r="CT52" s="169"/>
      <c r="CU52" s="169"/>
      <c r="CV52" s="169"/>
      <c r="CW52" s="169"/>
      <c r="CX52" s="169"/>
      <c r="CY52" s="169"/>
      <c r="CZ52" s="169"/>
      <c r="DA52" s="169"/>
      <c r="DB52" s="169"/>
      <c r="DC52" s="169"/>
      <c r="DD52" s="169"/>
      <c r="DE52" s="169"/>
      <c r="DF52" s="169"/>
      <c r="DG52" s="169"/>
      <c r="DH52" s="169"/>
      <c r="DI52" s="169"/>
      <c r="DJ52" s="169"/>
      <c r="DK52" s="169"/>
      <c r="DL52" s="169"/>
      <c r="DM52" s="169"/>
      <c r="DN52" s="169"/>
      <c r="DO52" s="169"/>
      <c r="DP52" s="169"/>
      <c r="DQ52" s="169"/>
      <c r="DR52" s="169"/>
      <c r="DS52" s="169"/>
      <c r="DT52" s="169"/>
      <c r="DU52" s="169"/>
      <c r="DV52" s="169"/>
      <c r="DW52" s="169"/>
      <c r="DX52" s="169"/>
      <c r="DY52" s="169"/>
      <c r="DZ52" s="169"/>
      <c r="EA52" s="169"/>
      <c r="EB52" s="169"/>
      <c r="EC52" s="169"/>
      <c r="ED52" s="169"/>
      <c r="EE52" s="169"/>
      <c r="EF52" s="169"/>
      <c r="EG52" s="169"/>
      <c r="EH52" s="169"/>
      <c r="EI52" s="169"/>
      <c r="EJ52" s="169"/>
      <c r="EK52" s="169"/>
      <c r="EL52" s="169"/>
      <c r="EM52" s="169"/>
      <c r="EN52" s="169"/>
      <c r="EO52" s="169"/>
      <c r="EP52" s="169"/>
      <c r="EQ52" s="169"/>
      <c r="ER52" s="169"/>
      <c r="ES52" s="169"/>
      <c r="ET52" s="169"/>
      <c r="EU52" s="169"/>
      <c r="EV52" s="169"/>
      <c r="EW52" s="169"/>
      <c r="EX52" s="169"/>
      <c r="EY52" s="169"/>
      <c r="EZ52" s="169"/>
      <c r="FA52" s="169"/>
      <c r="FB52" s="169"/>
      <c r="FC52" s="169"/>
      <c r="FD52" s="169"/>
      <c r="FE52" s="169"/>
      <c r="FF52" s="169"/>
      <c r="FG52" s="169"/>
      <c r="FH52" s="169"/>
      <c r="FI52" s="169"/>
      <c r="FJ52" s="169"/>
      <c r="FK52" s="169"/>
      <c r="FL52" s="169"/>
      <c r="FM52" s="169"/>
      <c r="FN52" s="169"/>
      <c r="FO52" s="169"/>
      <c r="FP52" s="169"/>
      <c r="FQ52" s="169"/>
      <c r="FR52" s="169"/>
      <c r="FS52" s="169"/>
      <c r="FT52" s="169"/>
      <c r="FU52" s="169"/>
      <c r="FV52" s="169"/>
      <c r="FW52" s="169"/>
      <c r="FX52" s="169"/>
      <c r="FY52" s="169"/>
      <c r="FZ52" s="169"/>
      <c r="GA52" s="169"/>
      <c r="GB52" s="169"/>
      <c r="GC52" s="169"/>
      <c r="GD52" s="169"/>
      <c r="GE52" s="169"/>
      <c r="GF52" s="169"/>
      <c r="GG52" s="169"/>
      <c r="GH52" s="169"/>
      <c r="GI52" s="169"/>
      <c r="GJ52" s="169"/>
      <c r="GK52" s="169"/>
      <c r="GL52" s="169"/>
      <c r="GM52" s="169"/>
      <c r="GN52" s="169"/>
      <c r="GO52" s="169"/>
      <c r="GP52" s="169"/>
      <c r="GQ52" s="169"/>
      <c r="GR52" s="169"/>
      <c r="GS52" s="169"/>
      <c r="GT52" s="169"/>
      <c r="GU52" s="169"/>
      <c r="GV52" s="169"/>
      <c r="GW52" s="169"/>
      <c r="GX52" s="169"/>
      <c r="GY52" s="169"/>
      <c r="GZ52" s="169"/>
      <c r="HA52" s="169"/>
      <c r="HB52" s="169"/>
      <c r="HC52" s="169"/>
      <c r="HD52" s="169"/>
      <c r="HE52" s="169"/>
      <c r="HF52" s="169"/>
      <c r="HG52" s="169"/>
      <c r="HH52" s="169"/>
      <c r="HI52" s="169"/>
      <c r="HJ52" s="169"/>
      <c r="HK52" s="169"/>
      <c r="HL52" s="169"/>
      <c r="HM52" s="169"/>
      <c r="HN52" s="169"/>
      <c r="HO52" s="169"/>
      <c r="HP52" s="169"/>
      <c r="HQ52" s="169"/>
      <c r="HR52" s="169"/>
      <c r="HS52" s="169"/>
      <c r="HT52" s="169"/>
      <c r="HU52" s="169"/>
      <c r="HV52" s="169"/>
      <c r="HW52" s="169"/>
      <c r="HX52" s="169"/>
      <c r="HY52" s="169"/>
      <c r="HZ52" s="169"/>
      <c r="IA52" s="169"/>
      <c r="IB52" s="169"/>
      <c r="IC52" s="169"/>
      <c r="ID52" s="169"/>
      <c r="IE52" s="169"/>
      <c r="IF52" s="169"/>
      <c r="IG52" s="169"/>
      <c r="IH52" s="169"/>
      <c r="II52" s="169"/>
      <c r="IJ52" s="169"/>
      <c r="IK52" s="169"/>
      <c r="IL52" s="169"/>
      <c r="IM52" s="169"/>
      <c r="IN52" s="169"/>
      <c r="IO52" s="169"/>
      <c r="IP52" s="169"/>
      <c r="IQ52" s="169"/>
      <c r="IR52" s="169"/>
      <c r="IS52" s="169"/>
      <c r="IT52" s="169"/>
      <c r="IU52" s="169"/>
      <c r="IV52" s="169"/>
    </row>
    <row r="53" spans="1:256" ht="15" x14ac:dyDescent="0.25">
      <c r="A53" s="1309">
        <v>3</v>
      </c>
      <c r="B53" s="1310">
        <v>44742</v>
      </c>
      <c r="C53" s="1266">
        <v>0</v>
      </c>
      <c r="D53" s="1267">
        <v>44708</v>
      </c>
      <c r="E53" s="1268">
        <v>68345.05</v>
      </c>
      <c r="F53" s="1269">
        <v>0.44900000000000001</v>
      </c>
      <c r="G53" s="1270">
        <v>0.64920999999999995</v>
      </c>
      <c r="H53" s="1271">
        <v>811.32</v>
      </c>
      <c r="I53" s="1271">
        <f>I52</f>
        <v>948.77</v>
      </c>
      <c r="J53" s="1271">
        <f t="shared" si="3"/>
        <v>985.34</v>
      </c>
      <c r="K53" s="1272">
        <f t="shared" si="4"/>
        <v>58443.78</v>
      </c>
      <c r="L53" s="1272">
        <f t="shared" si="5"/>
        <v>0</v>
      </c>
      <c r="M53" s="1273">
        <f t="shared" si="6"/>
        <v>0</v>
      </c>
      <c r="N53" s="175"/>
      <c r="O53" s="175"/>
      <c r="P53" s="175"/>
      <c r="Q53" s="175"/>
      <c r="R53" s="175"/>
      <c r="S53" s="175"/>
      <c r="T53" s="175"/>
      <c r="U53" s="175"/>
      <c r="V53" s="175"/>
      <c r="W53" s="175"/>
      <c r="X53" s="175"/>
      <c r="Y53" s="175"/>
      <c r="Z53" s="175"/>
      <c r="AA53" s="175"/>
      <c r="AB53" s="175"/>
      <c r="AC53" s="175"/>
      <c r="AD53" s="175"/>
      <c r="AE53" s="175"/>
      <c r="AF53" s="169"/>
      <c r="AG53" s="169"/>
      <c r="AH53" s="169"/>
      <c r="AI53" s="169"/>
      <c r="AJ53" s="169"/>
      <c r="AK53" s="169"/>
      <c r="AL53" s="169"/>
      <c r="AM53" s="169"/>
      <c r="AN53" s="169"/>
      <c r="AO53" s="169"/>
      <c r="AP53" s="169"/>
      <c r="AQ53" s="169"/>
      <c r="AR53" s="169"/>
      <c r="AS53" s="169"/>
      <c r="AT53" s="169"/>
      <c r="AU53" s="169"/>
      <c r="AV53" s="169"/>
      <c r="AW53" s="169"/>
      <c r="AX53" s="169"/>
      <c r="AY53" s="169"/>
      <c r="AZ53" s="169"/>
      <c r="BA53" s="169"/>
      <c r="BB53" s="169"/>
      <c r="BC53" s="169"/>
      <c r="BD53" s="169"/>
      <c r="BE53" s="169"/>
      <c r="BF53" s="169"/>
      <c r="BG53" s="169"/>
      <c r="BH53" s="169"/>
      <c r="BI53" s="169"/>
      <c r="BJ53" s="169"/>
      <c r="BK53" s="169"/>
      <c r="BL53" s="169"/>
      <c r="BM53" s="169"/>
      <c r="BN53" s="169"/>
      <c r="BO53" s="169"/>
      <c r="BP53" s="169"/>
      <c r="BQ53" s="169"/>
      <c r="BR53" s="169"/>
      <c r="BS53" s="169"/>
      <c r="BT53" s="169"/>
      <c r="BU53" s="169"/>
      <c r="BV53" s="169"/>
      <c r="BW53" s="169"/>
      <c r="BX53" s="169"/>
      <c r="BY53" s="169"/>
      <c r="BZ53" s="169"/>
      <c r="CA53" s="169"/>
      <c r="CB53" s="169"/>
      <c r="CC53" s="169"/>
      <c r="CD53" s="169"/>
      <c r="CE53" s="169"/>
      <c r="CF53" s="169"/>
      <c r="CG53" s="169"/>
      <c r="CH53" s="169"/>
      <c r="CI53" s="169"/>
      <c r="CJ53" s="169"/>
      <c r="CK53" s="169"/>
      <c r="CL53" s="169"/>
      <c r="CM53" s="169"/>
      <c r="CN53" s="169"/>
      <c r="CO53" s="169"/>
      <c r="CP53" s="169"/>
      <c r="CQ53" s="169"/>
      <c r="CR53" s="169"/>
      <c r="CS53" s="169"/>
      <c r="CT53" s="169"/>
      <c r="CU53" s="169"/>
      <c r="CV53" s="169"/>
      <c r="CW53" s="169"/>
      <c r="CX53" s="169"/>
      <c r="CY53" s="169"/>
      <c r="CZ53" s="169"/>
      <c r="DA53" s="169"/>
      <c r="DB53" s="169"/>
      <c r="DC53" s="169"/>
      <c r="DD53" s="169"/>
      <c r="DE53" s="169"/>
      <c r="DF53" s="169"/>
      <c r="DG53" s="169"/>
      <c r="DH53" s="169"/>
      <c r="DI53" s="169"/>
      <c r="DJ53" s="169"/>
      <c r="DK53" s="169"/>
      <c r="DL53" s="169"/>
      <c r="DM53" s="169"/>
      <c r="DN53" s="169"/>
      <c r="DO53" s="169"/>
      <c r="DP53" s="169"/>
      <c r="DQ53" s="169"/>
      <c r="DR53" s="169"/>
      <c r="DS53" s="169"/>
      <c r="DT53" s="169"/>
      <c r="DU53" s="169"/>
      <c r="DV53" s="169"/>
      <c r="DW53" s="169"/>
      <c r="DX53" s="169"/>
      <c r="DY53" s="169"/>
      <c r="DZ53" s="169"/>
      <c r="EA53" s="169"/>
      <c r="EB53" s="169"/>
      <c r="EC53" s="169"/>
      <c r="ED53" s="169"/>
      <c r="EE53" s="169"/>
      <c r="EF53" s="169"/>
      <c r="EG53" s="169"/>
      <c r="EH53" s="169"/>
      <c r="EI53" s="169"/>
      <c r="EJ53" s="169"/>
      <c r="EK53" s="169"/>
      <c r="EL53" s="169"/>
      <c r="EM53" s="169"/>
      <c r="EN53" s="169"/>
      <c r="EO53" s="169"/>
      <c r="EP53" s="169"/>
      <c r="EQ53" s="169"/>
      <c r="ER53" s="169"/>
      <c r="ES53" s="169"/>
      <c r="ET53" s="169"/>
      <c r="EU53" s="169"/>
      <c r="EV53" s="169"/>
      <c r="EW53" s="169"/>
      <c r="EX53" s="169"/>
      <c r="EY53" s="169"/>
      <c r="EZ53" s="169"/>
      <c r="FA53" s="169"/>
      <c r="FB53" s="169"/>
      <c r="FC53" s="169"/>
      <c r="FD53" s="169"/>
      <c r="FE53" s="169"/>
      <c r="FF53" s="169"/>
      <c r="FG53" s="169"/>
      <c r="FH53" s="169"/>
      <c r="FI53" s="169"/>
      <c r="FJ53" s="169"/>
      <c r="FK53" s="169"/>
      <c r="FL53" s="169"/>
      <c r="FM53" s="169"/>
      <c r="FN53" s="169"/>
      <c r="FO53" s="169"/>
      <c r="FP53" s="169"/>
      <c r="FQ53" s="169"/>
      <c r="FR53" s="169"/>
      <c r="FS53" s="169"/>
      <c r="FT53" s="169"/>
      <c r="FU53" s="169"/>
      <c r="FV53" s="169"/>
      <c r="FW53" s="169"/>
      <c r="FX53" s="169"/>
      <c r="FY53" s="169"/>
      <c r="FZ53" s="169"/>
      <c r="GA53" s="169"/>
      <c r="GB53" s="169"/>
      <c r="GC53" s="169"/>
      <c r="GD53" s="169"/>
      <c r="GE53" s="169"/>
      <c r="GF53" s="169"/>
      <c r="GG53" s="169"/>
      <c r="GH53" s="169"/>
      <c r="GI53" s="169"/>
      <c r="GJ53" s="169"/>
      <c r="GK53" s="169"/>
      <c r="GL53" s="169"/>
      <c r="GM53" s="169"/>
      <c r="GN53" s="169"/>
      <c r="GO53" s="169"/>
      <c r="GP53" s="169"/>
      <c r="GQ53" s="169"/>
      <c r="GR53" s="169"/>
      <c r="GS53" s="169"/>
      <c r="GT53" s="169"/>
      <c r="GU53" s="169"/>
      <c r="GV53" s="169"/>
      <c r="GW53" s="169"/>
      <c r="GX53" s="169"/>
      <c r="GY53" s="169"/>
      <c r="GZ53" s="169"/>
      <c r="HA53" s="169"/>
      <c r="HB53" s="169"/>
      <c r="HC53" s="169"/>
      <c r="HD53" s="169"/>
      <c r="HE53" s="169"/>
      <c r="HF53" s="169"/>
      <c r="HG53" s="169"/>
      <c r="HH53" s="169"/>
      <c r="HI53" s="169"/>
      <c r="HJ53" s="169"/>
      <c r="HK53" s="169"/>
      <c r="HL53" s="169"/>
      <c r="HM53" s="169"/>
      <c r="HN53" s="169"/>
      <c r="HO53" s="169"/>
      <c r="HP53" s="169"/>
      <c r="HQ53" s="169"/>
      <c r="HR53" s="169"/>
      <c r="HS53" s="169"/>
      <c r="HT53" s="169"/>
      <c r="HU53" s="169"/>
      <c r="HV53" s="169"/>
      <c r="HW53" s="169"/>
      <c r="HX53" s="169"/>
      <c r="HY53" s="169"/>
      <c r="HZ53" s="169"/>
      <c r="IA53" s="169"/>
      <c r="IB53" s="169"/>
      <c r="IC53" s="169"/>
      <c r="ID53" s="169"/>
      <c r="IE53" s="169"/>
      <c r="IF53" s="169"/>
      <c r="IG53" s="169"/>
      <c r="IH53" s="169"/>
      <c r="II53" s="169"/>
      <c r="IJ53" s="169"/>
      <c r="IK53" s="169"/>
      <c r="IL53" s="169"/>
      <c r="IM53" s="169"/>
      <c r="IN53" s="169"/>
      <c r="IO53" s="169"/>
      <c r="IP53" s="169"/>
      <c r="IQ53" s="169"/>
      <c r="IR53" s="169"/>
      <c r="IS53" s="169"/>
      <c r="IT53" s="169"/>
      <c r="IU53" s="169"/>
      <c r="IV53" s="169"/>
    </row>
    <row r="54" spans="1:256" ht="15" x14ac:dyDescent="0.25">
      <c r="A54" s="1309">
        <v>4</v>
      </c>
      <c r="B54" s="1310">
        <v>44773</v>
      </c>
      <c r="C54" s="1266">
        <v>0</v>
      </c>
      <c r="D54" s="1267">
        <v>44708</v>
      </c>
      <c r="E54" s="1268">
        <v>68345.05</v>
      </c>
      <c r="F54" s="1269">
        <v>0.44900000000000001</v>
      </c>
      <c r="G54" s="1270">
        <v>0.64920999999999995</v>
      </c>
      <c r="H54" s="1271">
        <v>811.32</v>
      </c>
      <c r="I54" s="1271">
        <f t="shared" ref="I54:I58" si="7">I53</f>
        <v>948.77</v>
      </c>
      <c r="J54" s="1271">
        <f t="shared" si="3"/>
        <v>898.31</v>
      </c>
      <c r="K54" s="1272">
        <f t="shared" si="4"/>
        <v>58443.78</v>
      </c>
      <c r="L54" s="1272">
        <f t="shared" si="5"/>
        <v>0</v>
      </c>
      <c r="M54" s="1273">
        <f t="shared" si="6"/>
        <v>0</v>
      </c>
      <c r="N54" s="175"/>
      <c r="O54" s="175"/>
      <c r="P54" s="175"/>
      <c r="Q54" s="175"/>
      <c r="R54" s="175"/>
      <c r="S54" s="175"/>
      <c r="T54" s="175"/>
      <c r="U54" s="175"/>
      <c r="V54" s="175"/>
      <c r="W54" s="175"/>
      <c r="X54" s="175"/>
      <c r="Y54" s="175"/>
      <c r="Z54" s="175"/>
      <c r="AA54" s="175"/>
      <c r="AB54" s="175"/>
      <c r="AC54" s="175"/>
      <c r="AD54" s="175"/>
      <c r="AE54" s="175"/>
      <c r="AF54" s="169"/>
      <c r="AG54" s="169"/>
      <c r="AH54" s="169"/>
      <c r="AI54" s="169"/>
      <c r="AJ54" s="169"/>
      <c r="AK54" s="169"/>
      <c r="AL54" s="169"/>
      <c r="AM54" s="169"/>
      <c r="AN54" s="169"/>
      <c r="AO54" s="169"/>
      <c r="AP54" s="169"/>
      <c r="AQ54" s="169"/>
      <c r="AR54" s="169"/>
      <c r="AS54" s="169"/>
      <c r="AT54" s="169"/>
      <c r="AU54" s="169"/>
      <c r="AV54" s="169"/>
      <c r="AW54" s="169"/>
      <c r="AX54" s="169"/>
      <c r="AY54" s="169"/>
      <c r="AZ54" s="169"/>
      <c r="BA54" s="169"/>
      <c r="BB54" s="169"/>
      <c r="BC54" s="169"/>
      <c r="BD54" s="169"/>
      <c r="BE54" s="169"/>
      <c r="BF54" s="169"/>
      <c r="BG54" s="169"/>
      <c r="BH54" s="169"/>
      <c r="BI54" s="169"/>
      <c r="BJ54" s="169"/>
      <c r="BK54" s="169"/>
      <c r="BL54" s="169"/>
      <c r="BM54" s="169"/>
      <c r="BN54" s="169"/>
      <c r="BO54" s="169"/>
      <c r="BP54" s="169"/>
      <c r="BQ54" s="169"/>
      <c r="BR54" s="169"/>
      <c r="BS54" s="169"/>
      <c r="BT54" s="169"/>
      <c r="BU54" s="169"/>
      <c r="BV54" s="169"/>
      <c r="BW54" s="169"/>
      <c r="BX54" s="169"/>
      <c r="BY54" s="169"/>
      <c r="BZ54" s="169"/>
      <c r="CA54" s="169"/>
      <c r="CB54" s="169"/>
      <c r="CC54" s="169"/>
      <c r="CD54" s="169"/>
      <c r="CE54" s="169"/>
      <c r="CF54" s="169"/>
      <c r="CG54" s="169"/>
      <c r="CH54" s="169"/>
      <c r="CI54" s="169"/>
      <c r="CJ54" s="169"/>
      <c r="CK54" s="169"/>
      <c r="CL54" s="169"/>
      <c r="CM54" s="169"/>
      <c r="CN54" s="169"/>
      <c r="CO54" s="169"/>
      <c r="CP54" s="169"/>
      <c r="CQ54" s="169"/>
      <c r="CR54" s="169"/>
      <c r="CS54" s="169"/>
      <c r="CT54" s="169"/>
      <c r="CU54" s="169"/>
      <c r="CV54" s="169"/>
      <c r="CW54" s="169"/>
      <c r="CX54" s="169"/>
      <c r="CY54" s="169"/>
      <c r="CZ54" s="169"/>
      <c r="DA54" s="169"/>
      <c r="DB54" s="169"/>
      <c r="DC54" s="169"/>
      <c r="DD54" s="169"/>
      <c r="DE54" s="169"/>
      <c r="DF54" s="169"/>
      <c r="DG54" s="169"/>
      <c r="DH54" s="169"/>
      <c r="DI54" s="169"/>
      <c r="DJ54" s="169"/>
      <c r="DK54" s="169"/>
      <c r="DL54" s="169"/>
      <c r="DM54" s="169"/>
      <c r="DN54" s="169"/>
      <c r="DO54" s="169"/>
      <c r="DP54" s="169"/>
      <c r="DQ54" s="169"/>
      <c r="DR54" s="169"/>
      <c r="DS54" s="169"/>
      <c r="DT54" s="169"/>
      <c r="DU54" s="169"/>
      <c r="DV54" s="169"/>
      <c r="DW54" s="169"/>
      <c r="DX54" s="169"/>
      <c r="DY54" s="169"/>
      <c r="DZ54" s="169"/>
      <c r="EA54" s="169"/>
      <c r="EB54" s="169"/>
      <c r="EC54" s="169"/>
      <c r="ED54" s="169"/>
      <c r="EE54" s="169"/>
      <c r="EF54" s="169"/>
      <c r="EG54" s="169"/>
      <c r="EH54" s="169"/>
      <c r="EI54" s="169"/>
      <c r="EJ54" s="169"/>
      <c r="EK54" s="169"/>
      <c r="EL54" s="169"/>
      <c r="EM54" s="169"/>
      <c r="EN54" s="169"/>
      <c r="EO54" s="169"/>
      <c r="EP54" s="169"/>
      <c r="EQ54" s="169"/>
      <c r="ER54" s="169"/>
      <c r="ES54" s="169"/>
      <c r="ET54" s="169"/>
      <c r="EU54" s="169"/>
      <c r="EV54" s="169"/>
      <c r="EW54" s="169"/>
      <c r="EX54" s="169"/>
      <c r="EY54" s="169"/>
      <c r="EZ54" s="169"/>
      <c r="FA54" s="169"/>
      <c r="FB54" s="169"/>
      <c r="FC54" s="169"/>
      <c r="FD54" s="169"/>
      <c r="FE54" s="169"/>
      <c r="FF54" s="169"/>
      <c r="FG54" s="169"/>
      <c r="FH54" s="169"/>
      <c r="FI54" s="169"/>
      <c r="FJ54" s="169"/>
      <c r="FK54" s="169"/>
      <c r="FL54" s="169"/>
      <c r="FM54" s="169"/>
      <c r="FN54" s="169"/>
      <c r="FO54" s="169"/>
      <c r="FP54" s="169"/>
      <c r="FQ54" s="169"/>
      <c r="FR54" s="169"/>
      <c r="FS54" s="169"/>
      <c r="FT54" s="169"/>
      <c r="FU54" s="169"/>
      <c r="FV54" s="169"/>
      <c r="FW54" s="169"/>
      <c r="FX54" s="169"/>
      <c r="FY54" s="169"/>
      <c r="FZ54" s="169"/>
      <c r="GA54" s="169"/>
      <c r="GB54" s="169"/>
      <c r="GC54" s="169"/>
      <c r="GD54" s="169"/>
      <c r="GE54" s="169"/>
      <c r="GF54" s="169"/>
      <c r="GG54" s="169"/>
      <c r="GH54" s="169"/>
      <c r="GI54" s="169"/>
      <c r="GJ54" s="169"/>
      <c r="GK54" s="169"/>
      <c r="GL54" s="169"/>
      <c r="GM54" s="169"/>
      <c r="GN54" s="169"/>
      <c r="GO54" s="169"/>
      <c r="GP54" s="169"/>
      <c r="GQ54" s="169"/>
      <c r="GR54" s="169"/>
      <c r="GS54" s="169"/>
      <c r="GT54" s="169"/>
      <c r="GU54" s="169"/>
      <c r="GV54" s="169"/>
      <c r="GW54" s="169"/>
      <c r="GX54" s="169"/>
      <c r="GY54" s="169"/>
      <c r="GZ54" s="169"/>
      <c r="HA54" s="169"/>
      <c r="HB54" s="169"/>
      <c r="HC54" s="169"/>
      <c r="HD54" s="169"/>
      <c r="HE54" s="169"/>
      <c r="HF54" s="169"/>
      <c r="HG54" s="169"/>
      <c r="HH54" s="169"/>
      <c r="HI54" s="169"/>
      <c r="HJ54" s="169"/>
      <c r="HK54" s="169"/>
      <c r="HL54" s="169"/>
      <c r="HM54" s="169"/>
      <c r="HN54" s="169"/>
      <c r="HO54" s="169"/>
      <c r="HP54" s="169"/>
      <c r="HQ54" s="169"/>
      <c r="HR54" s="169"/>
      <c r="HS54" s="169"/>
      <c r="HT54" s="169"/>
      <c r="HU54" s="169"/>
      <c r="HV54" s="169"/>
      <c r="HW54" s="169"/>
      <c r="HX54" s="169"/>
      <c r="HY54" s="169"/>
      <c r="HZ54" s="169"/>
      <c r="IA54" s="169"/>
      <c r="IB54" s="169"/>
      <c r="IC54" s="169"/>
      <c r="ID54" s="169"/>
      <c r="IE54" s="169"/>
      <c r="IF54" s="169"/>
      <c r="IG54" s="169"/>
      <c r="IH54" s="169"/>
      <c r="II54" s="169"/>
      <c r="IJ54" s="169"/>
      <c r="IK54" s="169"/>
      <c r="IL54" s="169"/>
      <c r="IM54" s="169"/>
      <c r="IN54" s="169"/>
      <c r="IO54" s="169"/>
      <c r="IP54" s="169"/>
      <c r="IQ54" s="169"/>
      <c r="IR54" s="169"/>
      <c r="IS54" s="169"/>
      <c r="IT54" s="169"/>
      <c r="IU54" s="169"/>
      <c r="IV54" s="169"/>
    </row>
    <row r="55" spans="1:256" ht="15" x14ac:dyDescent="0.25">
      <c r="A55" s="1309">
        <v>5</v>
      </c>
      <c r="B55" s="1310">
        <v>44804</v>
      </c>
      <c r="C55" s="1266">
        <v>0</v>
      </c>
      <c r="D55" s="1267">
        <v>44708</v>
      </c>
      <c r="E55" s="1268">
        <v>68345.05</v>
      </c>
      <c r="F55" s="1269">
        <v>0.44900000000000001</v>
      </c>
      <c r="G55" s="1270">
        <v>0.64920999999999995</v>
      </c>
      <c r="H55" s="1271">
        <v>811.32</v>
      </c>
      <c r="I55" s="1271">
        <f t="shared" si="7"/>
        <v>948.77</v>
      </c>
      <c r="J55" s="1271">
        <f t="shared" si="3"/>
        <v>894.62</v>
      </c>
      <c r="K55" s="1272">
        <f t="shared" si="4"/>
        <v>58443.78</v>
      </c>
      <c r="L55" s="1272">
        <f t="shared" si="5"/>
        <v>0</v>
      </c>
      <c r="M55" s="1273">
        <f t="shared" si="6"/>
        <v>0</v>
      </c>
      <c r="N55" s="175"/>
      <c r="O55" s="175"/>
      <c r="P55" s="175"/>
      <c r="Q55" s="175"/>
      <c r="R55" s="175"/>
      <c r="S55" s="175"/>
      <c r="T55" s="175"/>
      <c r="U55" s="175"/>
      <c r="V55" s="175"/>
      <c r="W55" s="175"/>
      <c r="X55" s="175"/>
      <c r="Y55" s="175"/>
      <c r="Z55" s="175"/>
      <c r="AA55" s="175"/>
      <c r="AB55" s="175"/>
      <c r="AC55" s="175"/>
      <c r="AD55" s="175"/>
      <c r="AE55" s="175"/>
      <c r="AF55" s="169"/>
      <c r="AG55" s="169"/>
      <c r="AH55" s="169"/>
      <c r="AI55" s="169"/>
      <c r="AJ55" s="169"/>
      <c r="AK55" s="169"/>
      <c r="AL55" s="169"/>
      <c r="AM55" s="169"/>
      <c r="AN55" s="169"/>
      <c r="AO55" s="169"/>
      <c r="AP55" s="169"/>
      <c r="AQ55" s="169"/>
      <c r="AR55" s="169"/>
      <c r="AS55" s="169"/>
      <c r="AT55" s="169"/>
      <c r="AU55" s="169"/>
      <c r="AV55" s="169"/>
      <c r="AW55" s="169"/>
      <c r="AX55" s="169"/>
      <c r="AY55" s="169"/>
      <c r="AZ55" s="169"/>
      <c r="BA55" s="169"/>
      <c r="BB55" s="169"/>
      <c r="BC55" s="169"/>
      <c r="BD55" s="169"/>
      <c r="BE55" s="169"/>
      <c r="BF55" s="169"/>
      <c r="BG55" s="169"/>
      <c r="BH55" s="169"/>
      <c r="BI55" s="169"/>
      <c r="BJ55" s="169"/>
      <c r="BK55" s="169"/>
      <c r="BL55" s="169"/>
      <c r="BM55" s="169"/>
      <c r="BN55" s="169"/>
      <c r="BO55" s="169"/>
      <c r="BP55" s="169"/>
      <c r="BQ55" s="169"/>
      <c r="BR55" s="169"/>
      <c r="BS55" s="169"/>
      <c r="BT55" s="169"/>
      <c r="BU55" s="169"/>
      <c r="BV55" s="169"/>
      <c r="BW55" s="169"/>
      <c r="BX55" s="169"/>
      <c r="BY55" s="169"/>
      <c r="BZ55" s="169"/>
      <c r="CA55" s="169"/>
      <c r="CB55" s="169"/>
      <c r="CC55" s="169"/>
      <c r="CD55" s="169"/>
      <c r="CE55" s="169"/>
      <c r="CF55" s="169"/>
      <c r="CG55" s="169"/>
      <c r="CH55" s="169"/>
      <c r="CI55" s="169"/>
      <c r="CJ55" s="169"/>
      <c r="CK55" s="169"/>
      <c r="CL55" s="169"/>
      <c r="CM55" s="169"/>
      <c r="CN55" s="169"/>
      <c r="CO55" s="169"/>
      <c r="CP55" s="169"/>
      <c r="CQ55" s="169"/>
      <c r="CR55" s="169"/>
      <c r="CS55" s="169"/>
      <c r="CT55" s="169"/>
      <c r="CU55" s="169"/>
      <c r="CV55" s="169"/>
      <c r="CW55" s="169"/>
      <c r="CX55" s="169"/>
      <c r="CY55" s="169"/>
      <c r="CZ55" s="169"/>
      <c r="DA55" s="169"/>
      <c r="DB55" s="169"/>
      <c r="DC55" s="169"/>
      <c r="DD55" s="169"/>
      <c r="DE55" s="169"/>
      <c r="DF55" s="169"/>
      <c r="DG55" s="169"/>
      <c r="DH55" s="169"/>
      <c r="DI55" s="169"/>
      <c r="DJ55" s="169"/>
      <c r="DK55" s="169"/>
      <c r="DL55" s="169"/>
      <c r="DM55" s="169"/>
      <c r="DN55" s="169"/>
      <c r="DO55" s="169"/>
      <c r="DP55" s="169"/>
      <c r="DQ55" s="169"/>
      <c r="DR55" s="169"/>
      <c r="DS55" s="169"/>
      <c r="DT55" s="169"/>
      <c r="DU55" s="169"/>
      <c r="DV55" s="169"/>
      <c r="DW55" s="169"/>
      <c r="DX55" s="169"/>
      <c r="DY55" s="169"/>
      <c r="DZ55" s="169"/>
      <c r="EA55" s="169"/>
      <c r="EB55" s="169"/>
      <c r="EC55" s="169"/>
      <c r="ED55" s="169"/>
      <c r="EE55" s="169"/>
      <c r="EF55" s="169"/>
      <c r="EG55" s="169"/>
      <c r="EH55" s="169"/>
      <c r="EI55" s="169"/>
      <c r="EJ55" s="169"/>
      <c r="EK55" s="169"/>
      <c r="EL55" s="169"/>
      <c r="EM55" s="169"/>
      <c r="EN55" s="169"/>
      <c r="EO55" s="169"/>
      <c r="EP55" s="169"/>
      <c r="EQ55" s="169"/>
      <c r="ER55" s="169"/>
      <c r="ES55" s="169"/>
      <c r="ET55" s="169"/>
      <c r="EU55" s="169"/>
      <c r="EV55" s="169"/>
      <c r="EW55" s="169"/>
      <c r="EX55" s="169"/>
      <c r="EY55" s="169"/>
      <c r="EZ55" s="169"/>
      <c r="FA55" s="169"/>
      <c r="FB55" s="169"/>
      <c r="FC55" s="169"/>
      <c r="FD55" s="169"/>
      <c r="FE55" s="169"/>
      <c r="FF55" s="169"/>
      <c r="FG55" s="169"/>
      <c r="FH55" s="169"/>
      <c r="FI55" s="169"/>
      <c r="FJ55" s="169"/>
      <c r="FK55" s="169"/>
      <c r="FL55" s="169"/>
      <c r="FM55" s="169"/>
      <c r="FN55" s="169"/>
      <c r="FO55" s="169"/>
      <c r="FP55" s="169"/>
      <c r="FQ55" s="169"/>
      <c r="FR55" s="169"/>
      <c r="FS55" s="169"/>
      <c r="FT55" s="169"/>
      <c r="FU55" s="169"/>
      <c r="FV55" s="169"/>
      <c r="FW55" s="169"/>
      <c r="FX55" s="169"/>
      <c r="FY55" s="169"/>
      <c r="FZ55" s="169"/>
      <c r="GA55" s="169"/>
      <c r="GB55" s="169"/>
      <c r="GC55" s="169"/>
      <c r="GD55" s="169"/>
      <c r="GE55" s="169"/>
      <c r="GF55" s="169"/>
      <c r="GG55" s="169"/>
      <c r="GH55" s="169"/>
      <c r="GI55" s="169"/>
      <c r="GJ55" s="169"/>
      <c r="GK55" s="169"/>
      <c r="GL55" s="169"/>
      <c r="GM55" s="169"/>
      <c r="GN55" s="169"/>
      <c r="GO55" s="169"/>
      <c r="GP55" s="169"/>
      <c r="GQ55" s="169"/>
      <c r="GR55" s="169"/>
      <c r="GS55" s="169"/>
      <c r="GT55" s="169"/>
      <c r="GU55" s="169"/>
      <c r="GV55" s="169"/>
      <c r="GW55" s="169"/>
      <c r="GX55" s="169"/>
      <c r="GY55" s="169"/>
      <c r="GZ55" s="169"/>
      <c r="HA55" s="169"/>
      <c r="HB55" s="169"/>
      <c r="HC55" s="169"/>
      <c r="HD55" s="169"/>
      <c r="HE55" s="169"/>
      <c r="HF55" s="169"/>
      <c r="HG55" s="169"/>
      <c r="HH55" s="169"/>
      <c r="HI55" s="169"/>
      <c r="HJ55" s="169"/>
      <c r="HK55" s="169"/>
      <c r="HL55" s="169"/>
      <c r="HM55" s="169"/>
      <c r="HN55" s="169"/>
      <c r="HO55" s="169"/>
      <c r="HP55" s="169"/>
      <c r="HQ55" s="169"/>
      <c r="HR55" s="169"/>
      <c r="HS55" s="169"/>
      <c r="HT55" s="169"/>
      <c r="HU55" s="169"/>
      <c r="HV55" s="169"/>
      <c r="HW55" s="169"/>
      <c r="HX55" s="169"/>
      <c r="HY55" s="169"/>
      <c r="HZ55" s="169"/>
      <c r="IA55" s="169"/>
      <c r="IB55" s="169"/>
      <c r="IC55" s="169"/>
      <c r="ID55" s="169"/>
      <c r="IE55" s="169"/>
      <c r="IF55" s="169"/>
      <c r="IG55" s="169"/>
      <c r="IH55" s="169"/>
      <c r="II55" s="169"/>
      <c r="IJ55" s="169"/>
      <c r="IK55" s="169"/>
      <c r="IL55" s="169"/>
      <c r="IM55" s="169"/>
      <c r="IN55" s="169"/>
      <c r="IO55" s="169"/>
      <c r="IP55" s="169"/>
      <c r="IQ55" s="169"/>
      <c r="IR55" s="169"/>
      <c r="IS55" s="169"/>
      <c r="IT55" s="169"/>
      <c r="IU55" s="169"/>
      <c r="IV55" s="169"/>
    </row>
    <row r="56" spans="1:256" ht="15" x14ac:dyDescent="0.25">
      <c r="A56" s="1309">
        <v>6</v>
      </c>
      <c r="B56" s="1310">
        <v>44834</v>
      </c>
      <c r="C56" s="1266">
        <v>0</v>
      </c>
      <c r="D56" s="1267">
        <v>44708</v>
      </c>
      <c r="E56" s="1268">
        <v>68345.05</v>
      </c>
      <c r="F56" s="1269">
        <v>0.44900000000000001</v>
      </c>
      <c r="G56" s="1270">
        <v>0.64920999999999995</v>
      </c>
      <c r="H56" s="1271">
        <v>811.32</v>
      </c>
      <c r="I56" s="1271">
        <f t="shared" si="7"/>
        <v>948.77</v>
      </c>
      <c r="J56" s="1271">
        <f t="shared" si="3"/>
        <v>913.2</v>
      </c>
      <c r="K56" s="1272">
        <f t="shared" si="4"/>
        <v>58443.78</v>
      </c>
      <c r="L56" s="1272">
        <f t="shared" si="5"/>
        <v>0</v>
      </c>
      <c r="M56" s="1273">
        <f t="shared" si="6"/>
        <v>0</v>
      </c>
      <c r="N56" s="175"/>
      <c r="O56" s="175"/>
      <c r="P56" s="175"/>
      <c r="Q56" s="175"/>
      <c r="R56" s="175"/>
      <c r="S56" s="175"/>
      <c r="T56" s="175"/>
      <c r="U56" s="175"/>
      <c r="V56" s="175"/>
      <c r="W56" s="175"/>
      <c r="X56" s="175"/>
      <c r="Y56" s="175"/>
      <c r="Z56" s="175"/>
      <c r="AA56" s="175"/>
      <c r="AB56" s="175"/>
      <c r="AC56" s="175"/>
      <c r="AD56" s="175"/>
      <c r="AE56" s="175"/>
      <c r="AF56" s="169"/>
      <c r="AG56" s="169"/>
      <c r="AH56" s="169"/>
      <c r="AI56" s="169"/>
      <c r="AJ56" s="169"/>
      <c r="AK56" s="169"/>
      <c r="AL56" s="169"/>
      <c r="AM56" s="169"/>
      <c r="AN56" s="169"/>
      <c r="AO56" s="169"/>
      <c r="AP56" s="169"/>
      <c r="AQ56" s="169"/>
      <c r="AR56" s="169"/>
      <c r="AS56" s="169"/>
      <c r="AT56" s="169"/>
      <c r="AU56" s="169"/>
      <c r="AV56" s="169"/>
      <c r="AW56" s="169"/>
      <c r="AX56" s="169"/>
      <c r="AY56" s="169"/>
      <c r="AZ56" s="169"/>
      <c r="BA56" s="169"/>
      <c r="BB56" s="169"/>
      <c r="BC56" s="169"/>
      <c r="BD56" s="169"/>
      <c r="BE56" s="169"/>
      <c r="BF56" s="169"/>
      <c r="BG56" s="169"/>
      <c r="BH56" s="169"/>
      <c r="BI56" s="169"/>
      <c r="BJ56" s="169"/>
      <c r="BK56" s="169"/>
      <c r="BL56" s="169"/>
      <c r="BM56" s="169"/>
      <c r="BN56" s="169"/>
      <c r="BO56" s="169"/>
      <c r="BP56" s="169"/>
      <c r="BQ56" s="169"/>
      <c r="BR56" s="169"/>
      <c r="BS56" s="169"/>
      <c r="BT56" s="169"/>
      <c r="BU56" s="169"/>
      <c r="BV56" s="169"/>
      <c r="BW56" s="169"/>
      <c r="BX56" s="169"/>
      <c r="BY56" s="169"/>
      <c r="BZ56" s="169"/>
      <c r="CA56" s="169"/>
      <c r="CB56" s="169"/>
      <c r="CC56" s="169"/>
      <c r="CD56" s="169"/>
      <c r="CE56" s="169"/>
      <c r="CF56" s="169"/>
      <c r="CG56" s="169"/>
      <c r="CH56" s="169"/>
      <c r="CI56" s="169"/>
      <c r="CJ56" s="169"/>
      <c r="CK56" s="169"/>
      <c r="CL56" s="169"/>
      <c r="CM56" s="169"/>
      <c r="CN56" s="169"/>
      <c r="CO56" s="169"/>
      <c r="CP56" s="169"/>
      <c r="CQ56" s="169"/>
      <c r="CR56" s="169"/>
      <c r="CS56" s="169"/>
      <c r="CT56" s="169"/>
      <c r="CU56" s="169"/>
      <c r="CV56" s="169"/>
      <c r="CW56" s="169"/>
      <c r="CX56" s="169"/>
      <c r="CY56" s="169"/>
      <c r="CZ56" s="169"/>
      <c r="DA56" s="169"/>
      <c r="DB56" s="169"/>
      <c r="DC56" s="169"/>
      <c r="DD56" s="169"/>
      <c r="DE56" s="169"/>
      <c r="DF56" s="169"/>
      <c r="DG56" s="169"/>
      <c r="DH56" s="169"/>
      <c r="DI56" s="169"/>
      <c r="DJ56" s="169"/>
      <c r="DK56" s="169"/>
      <c r="DL56" s="169"/>
      <c r="DM56" s="169"/>
      <c r="DN56" s="169"/>
      <c r="DO56" s="169"/>
      <c r="DP56" s="169"/>
      <c r="DQ56" s="169"/>
      <c r="DR56" s="169"/>
      <c r="DS56" s="169"/>
      <c r="DT56" s="169"/>
      <c r="DU56" s="169"/>
      <c r="DV56" s="169"/>
      <c r="DW56" s="169"/>
      <c r="DX56" s="169"/>
      <c r="DY56" s="169"/>
      <c r="DZ56" s="169"/>
      <c r="EA56" s="169"/>
      <c r="EB56" s="169"/>
      <c r="EC56" s="169"/>
      <c r="ED56" s="169"/>
      <c r="EE56" s="169"/>
      <c r="EF56" s="169"/>
      <c r="EG56" s="169"/>
      <c r="EH56" s="169"/>
      <c r="EI56" s="169"/>
      <c r="EJ56" s="169"/>
      <c r="EK56" s="169"/>
      <c r="EL56" s="169"/>
      <c r="EM56" s="169"/>
      <c r="EN56" s="169"/>
      <c r="EO56" s="169"/>
      <c r="EP56" s="169"/>
      <c r="EQ56" s="169"/>
      <c r="ER56" s="169"/>
      <c r="ES56" s="169"/>
      <c r="ET56" s="169"/>
      <c r="EU56" s="169"/>
      <c r="EV56" s="169"/>
      <c r="EW56" s="169"/>
      <c r="EX56" s="169"/>
      <c r="EY56" s="169"/>
      <c r="EZ56" s="169"/>
      <c r="FA56" s="169"/>
      <c r="FB56" s="169"/>
      <c r="FC56" s="169"/>
      <c r="FD56" s="169"/>
      <c r="FE56" s="169"/>
      <c r="FF56" s="169"/>
      <c r="FG56" s="169"/>
      <c r="FH56" s="169"/>
      <c r="FI56" s="169"/>
      <c r="FJ56" s="169"/>
      <c r="FK56" s="169"/>
      <c r="FL56" s="169"/>
      <c r="FM56" s="169"/>
      <c r="FN56" s="169"/>
      <c r="FO56" s="169"/>
      <c r="FP56" s="169"/>
      <c r="FQ56" s="169"/>
      <c r="FR56" s="169"/>
      <c r="FS56" s="169"/>
      <c r="FT56" s="169"/>
      <c r="FU56" s="169"/>
      <c r="FV56" s="169"/>
      <c r="FW56" s="169"/>
      <c r="FX56" s="169"/>
      <c r="FY56" s="169"/>
      <c r="FZ56" s="169"/>
      <c r="GA56" s="169"/>
      <c r="GB56" s="169"/>
      <c r="GC56" s="169"/>
      <c r="GD56" s="169"/>
      <c r="GE56" s="169"/>
      <c r="GF56" s="169"/>
      <c r="GG56" s="169"/>
      <c r="GH56" s="169"/>
      <c r="GI56" s="169"/>
      <c r="GJ56" s="169"/>
      <c r="GK56" s="169"/>
      <c r="GL56" s="169"/>
      <c r="GM56" s="169"/>
      <c r="GN56" s="169"/>
      <c r="GO56" s="169"/>
      <c r="GP56" s="169"/>
      <c r="GQ56" s="169"/>
      <c r="GR56" s="169"/>
      <c r="GS56" s="169"/>
      <c r="GT56" s="169"/>
      <c r="GU56" s="169"/>
      <c r="GV56" s="169"/>
      <c r="GW56" s="169"/>
      <c r="GX56" s="169"/>
      <c r="GY56" s="169"/>
      <c r="GZ56" s="169"/>
      <c r="HA56" s="169"/>
      <c r="HB56" s="169"/>
      <c r="HC56" s="169"/>
      <c r="HD56" s="169"/>
      <c r="HE56" s="169"/>
      <c r="HF56" s="169"/>
      <c r="HG56" s="169"/>
      <c r="HH56" s="169"/>
      <c r="HI56" s="169"/>
      <c r="HJ56" s="169"/>
      <c r="HK56" s="169"/>
      <c r="HL56" s="169"/>
      <c r="HM56" s="169"/>
      <c r="HN56" s="169"/>
      <c r="HO56" s="169"/>
      <c r="HP56" s="169"/>
      <c r="HQ56" s="169"/>
      <c r="HR56" s="169"/>
      <c r="HS56" s="169"/>
      <c r="HT56" s="169"/>
      <c r="HU56" s="169"/>
      <c r="HV56" s="169"/>
      <c r="HW56" s="169"/>
      <c r="HX56" s="169"/>
      <c r="HY56" s="169"/>
      <c r="HZ56" s="169"/>
      <c r="IA56" s="169"/>
      <c r="IB56" s="169"/>
      <c r="IC56" s="169"/>
      <c r="ID56" s="169"/>
      <c r="IE56" s="169"/>
      <c r="IF56" s="169"/>
      <c r="IG56" s="169"/>
      <c r="IH56" s="169"/>
      <c r="II56" s="169"/>
      <c r="IJ56" s="169"/>
      <c r="IK56" s="169"/>
      <c r="IL56" s="169"/>
      <c r="IM56" s="169"/>
      <c r="IN56" s="169"/>
      <c r="IO56" s="169"/>
      <c r="IP56" s="169"/>
      <c r="IQ56" s="169"/>
      <c r="IR56" s="169"/>
      <c r="IS56" s="169"/>
      <c r="IT56" s="169"/>
      <c r="IU56" s="169"/>
      <c r="IV56" s="169"/>
    </row>
    <row r="57" spans="1:256" ht="15" x14ac:dyDescent="0.25">
      <c r="A57" s="1309">
        <v>7</v>
      </c>
      <c r="B57" s="1310">
        <v>44865</v>
      </c>
      <c r="C57" s="1266">
        <v>0</v>
      </c>
      <c r="D57" s="1267">
        <v>44708</v>
      </c>
      <c r="E57" s="1268">
        <v>68345.05</v>
      </c>
      <c r="F57" s="1269">
        <v>0.44900000000000001</v>
      </c>
      <c r="G57" s="1270">
        <v>0.64920999999999995</v>
      </c>
      <c r="H57" s="1271">
        <v>811.32</v>
      </c>
      <c r="I57" s="1271">
        <f t="shared" si="7"/>
        <v>948.77</v>
      </c>
      <c r="J57" s="1271">
        <f t="shared" si="3"/>
        <v>890.03</v>
      </c>
      <c r="K57" s="1272">
        <f t="shared" si="4"/>
        <v>58443.78</v>
      </c>
      <c r="L57" s="1272">
        <f t="shared" si="5"/>
        <v>0</v>
      </c>
      <c r="M57" s="1273">
        <f t="shared" si="6"/>
        <v>0</v>
      </c>
      <c r="N57" s="175"/>
      <c r="O57" s="175"/>
      <c r="P57" s="175"/>
      <c r="Q57" s="175"/>
      <c r="R57" s="175"/>
      <c r="S57" s="175"/>
      <c r="T57" s="175"/>
      <c r="U57" s="175"/>
      <c r="V57" s="175"/>
      <c r="W57" s="175"/>
      <c r="X57" s="175"/>
      <c r="Y57" s="175"/>
      <c r="Z57" s="175"/>
      <c r="AA57" s="175"/>
      <c r="AB57" s="175"/>
      <c r="AC57" s="175"/>
      <c r="AD57" s="175"/>
      <c r="AE57" s="175"/>
      <c r="AF57" s="169"/>
      <c r="AG57" s="169"/>
      <c r="AH57" s="169"/>
      <c r="AI57" s="169"/>
      <c r="AJ57" s="169"/>
      <c r="AK57" s="169"/>
      <c r="AL57" s="169"/>
      <c r="AM57" s="169"/>
      <c r="AN57" s="169"/>
      <c r="AO57" s="169"/>
      <c r="AP57" s="169"/>
      <c r="AQ57" s="169"/>
      <c r="AR57" s="169"/>
      <c r="AS57" s="169"/>
      <c r="AT57" s="169"/>
      <c r="AU57" s="169"/>
      <c r="AV57" s="169"/>
      <c r="AW57" s="169"/>
      <c r="AX57" s="169"/>
      <c r="AY57" s="169"/>
      <c r="AZ57" s="169"/>
      <c r="BA57" s="169"/>
      <c r="BB57" s="169"/>
      <c r="BC57" s="169"/>
      <c r="BD57" s="169"/>
      <c r="BE57" s="169"/>
      <c r="BF57" s="169"/>
      <c r="BG57" s="169"/>
      <c r="BH57" s="169"/>
      <c r="BI57" s="169"/>
      <c r="BJ57" s="169"/>
      <c r="BK57" s="169"/>
      <c r="BL57" s="169"/>
      <c r="BM57" s="169"/>
      <c r="BN57" s="169"/>
      <c r="BO57" s="169"/>
      <c r="BP57" s="169"/>
      <c r="BQ57" s="169"/>
      <c r="BR57" s="169"/>
      <c r="BS57" s="169"/>
      <c r="BT57" s="169"/>
      <c r="BU57" s="169"/>
      <c r="BV57" s="169"/>
      <c r="BW57" s="169"/>
      <c r="BX57" s="169"/>
      <c r="BY57" s="169"/>
      <c r="BZ57" s="169"/>
      <c r="CA57" s="169"/>
      <c r="CB57" s="169"/>
      <c r="CC57" s="169"/>
      <c r="CD57" s="169"/>
      <c r="CE57" s="169"/>
      <c r="CF57" s="169"/>
      <c r="CG57" s="169"/>
      <c r="CH57" s="169"/>
      <c r="CI57" s="169"/>
      <c r="CJ57" s="169"/>
      <c r="CK57" s="169"/>
      <c r="CL57" s="169"/>
      <c r="CM57" s="169"/>
      <c r="CN57" s="169"/>
      <c r="CO57" s="169"/>
      <c r="CP57" s="169"/>
      <c r="CQ57" s="169"/>
      <c r="CR57" s="169"/>
      <c r="CS57" s="169"/>
      <c r="CT57" s="169"/>
      <c r="CU57" s="169"/>
      <c r="CV57" s="169"/>
      <c r="CW57" s="169"/>
      <c r="CX57" s="169"/>
      <c r="CY57" s="169"/>
      <c r="CZ57" s="169"/>
      <c r="DA57" s="169"/>
      <c r="DB57" s="169"/>
      <c r="DC57" s="169"/>
      <c r="DD57" s="169"/>
      <c r="DE57" s="169"/>
      <c r="DF57" s="169"/>
      <c r="DG57" s="169"/>
      <c r="DH57" s="169"/>
      <c r="DI57" s="169"/>
      <c r="DJ57" s="169"/>
      <c r="DK57" s="169"/>
      <c r="DL57" s="169"/>
      <c r="DM57" s="169"/>
      <c r="DN57" s="169"/>
      <c r="DO57" s="169"/>
      <c r="DP57" s="169"/>
      <c r="DQ57" s="169"/>
      <c r="DR57" s="169"/>
      <c r="DS57" s="169"/>
      <c r="DT57" s="169"/>
      <c r="DU57" s="169"/>
      <c r="DV57" s="169"/>
      <c r="DW57" s="169"/>
      <c r="DX57" s="169"/>
      <c r="DY57" s="169"/>
      <c r="DZ57" s="169"/>
      <c r="EA57" s="169"/>
      <c r="EB57" s="169"/>
      <c r="EC57" s="169"/>
      <c r="ED57" s="169"/>
      <c r="EE57" s="169"/>
      <c r="EF57" s="169"/>
      <c r="EG57" s="169"/>
      <c r="EH57" s="169"/>
      <c r="EI57" s="169"/>
      <c r="EJ57" s="169"/>
      <c r="EK57" s="169"/>
      <c r="EL57" s="169"/>
      <c r="EM57" s="169"/>
      <c r="EN57" s="169"/>
      <c r="EO57" s="169"/>
      <c r="EP57" s="169"/>
      <c r="EQ57" s="169"/>
      <c r="ER57" s="169"/>
      <c r="ES57" s="169"/>
      <c r="ET57" s="169"/>
      <c r="EU57" s="169"/>
      <c r="EV57" s="169"/>
      <c r="EW57" s="169"/>
      <c r="EX57" s="169"/>
      <c r="EY57" s="169"/>
      <c r="EZ57" s="169"/>
      <c r="FA57" s="169"/>
      <c r="FB57" s="169"/>
      <c r="FC57" s="169"/>
      <c r="FD57" s="169"/>
      <c r="FE57" s="169"/>
      <c r="FF57" s="169"/>
      <c r="FG57" s="169"/>
      <c r="FH57" s="169"/>
      <c r="FI57" s="169"/>
      <c r="FJ57" s="169"/>
      <c r="FK57" s="169"/>
      <c r="FL57" s="169"/>
      <c r="FM57" s="169"/>
      <c r="FN57" s="169"/>
      <c r="FO57" s="169"/>
      <c r="FP57" s="169"/>
      <c r="FQ57" s="169"/>
      <c r="FR57" s="169"/>
      <c r="FS57" s="169"/>
      <c r="FT57" s="169"/>
      <c r="FU57" s="169"/>
      <c r="FV57" s="169"/>
      <c r="FW57" s="169"/>
      <c r="FX57" s="169"/>
      <c r="FY57" s="169"/>
      <c r="FZ57" s="169"/>
      <c r="GA57" s="169"/>
      <c r="GB57" s="169"/>
      <c r="GC57" s="169"/>
      <c r="GD57" s="169"/>
      <c r="GE57" s="169"/>
      <c r="GF57" s="169"/>
      <c r="GG57" s="169"/>
      <c r="GH57" s="169"/>
      <c r="GI57" s="169"/>
      <c r="GJ57" s="169"/>
      <c r="GK57" s="169"/>
      <c r="GL57" s="169"/>
      <c r="GM57" s="169"/>
      <c r="GN57" s="169"/>
      <c r="GO57" s="169"/>
      <c r="GP57" s="169"/>
      <c r="GQ57" s="169"/>
      <c r="GR57" s="169"/>
      <c r="GS57" s="169"/>
      <c r="GT57" s="169"/>
      <c r="GU57" s="169"/>
      <c r="GV57" s="169"/>
      <c r="GW57" s="169"/>
      <c r="GX57" s="169"/>
      <c r="GY57" s="169"/>
      <c r="GZ57" s="169"/>
      <c r="HA57" s="169"/>
      <c r="HB57" s="169"/>
      <c r="HC57" s="169"/>
      <c r="HD57" s="169"/>
      <c r="HE57" s="169"/>
      <c r="HF57" s="169"/>
      <c r="HG57" s="169"/>
      <c r="HH57" s="169"/>
      <c r="HI57" s="169"/>
      <c r="HJ57" s="169"/>
      <c r="HK57" s="169"/>
      <c r="HL57" s="169"/>
      <c r="HM57" s="169"/>
      <c r="HN57" s="169"/>
      <c r="HO57" s="169"/>
      <c r="HP57" s="169"/>
      <c r="HQ57" s="169"/>
      <c r="HR57" s="169"/>
      <c r="HS57" s="169"/>
      <c r="HT57" s="169"/>
      <c r="HU57" s="169"/>
      <c r="HV57" s="169"/>
      <c r="HW57" s="169"/>
      <c r="HX57" s="169"/>
      <c r="HY57" s="169"/>
      <c r="HZ57" s="169"/>
      <c r="IA57" s="169"/>
      <c r="IB57" s="169"/>
      <c r="IC57" s="169"/>
      <c r="ID57" s="169"/>
      <c r="IE57" s="169"/>
      <c r="IF57" s="169"/>
      <c r="IG57" s="169"/>
      <c r="IH57" s="169"/>
      <c r="II57" s="169"/>
      <c r="IJ57" s="169"/>
      <c r="IK57" s="169"/>
      <c r="IL57" s="169"/>
      <c r="IM57" s="169"/>
      <c r="IN57" s="169"/>
      <c r="IO57" s="169"/>
      <c r="IP57" s="169"/>
      <c r="IQ57" s="169"/>
      <c r="IR57" s="169"/>
      <c r="IS57" s="169"/>
      <c r="IT57" s="169"/>
      <c r="IU57" s="169"/>
      <c r="IV57" s="169"/>
    </row>
    <row r="58" spans="1:256" ht="15" x14ac:dyDescent="0.25">
      <c r="A58" s="1309">
        <v>8</v>
      </c>
      <c r="B58" s="1310">
        <v>44895</v>
      </c>
      <c r="C58" s="1266">
        <v>0</v>
      </c>
      <c r="D58" s="1267">
        <v>44708</v>
      </c>
      <c r="E58" s="1268">
        <v>68345.05</v>
      </c>
      <c r="F58" s="1269">
        <v>0.44900000000000001</v>
      </c>
      <c r="G58" s="1270">
        <v>0.64920999999999995</v>
      </c>
      <c r="H58" s="1271">
        <v>811.32</v>
      </c>
      <c r="I58" s="1271">
        <f t="shared" si="7"/>
        <v>948.77</v>
      </c>
      <c r="J58" s="1271">
        <f t="shared" si="3"/>
        <v>890.03</v>
      </c>
      <c r="K58" s="1272">
        <f t="shared" ref="K58" si="8">ROUND($E$53*$H$52/I58,2)</f>
        <v>58443.78</v>
      </c>
      <c r="L58" s="1272">
        <f t="shared" ref="L58" si="9">ROUND($F$37*$G$37*C58,2)</f>
        <v>0</v>
      </c>
      <c r="M58" s="1273">
        <f t="shared" ref="M58" si="10">ROUND(L58*(J58-I58)/$H$37,2)</f>
        <v>0</v>
      </c>
      <c r="N58" s="175"/>
      <c r="O58" s="175"/>
      <c r="P58" s="175"/>
      <c r="Q58" s="175"/>
      <c r="R58" s="175"/>
      <c r="S58" s="175"/>
      <c r="T58" s="175"/>
      <c r="U58" s="175"/>
      <c r="V58" s="175"/>
      <c r="W58" s="175"/>
      <c r="X58" s="175"/>
      <c r="Y58" s="175"/>
      <c r="Z58" s="175"/>
      <c r="AA58" s="175"/>
      <c r="AB58" s="175"/>
      <c r="AC58" s="175"/>
      <c r="AD58" s="175"/>
      <c r="AE58" s="175"/>
      <c r="AF58" s="169"/>
      <c r="AG58" s="169"/>
      <c r="AH58" s="169"/>
      <c r="AI58" s="169"/>
      <c r="AJ58" s="169"/>
      <c r="AK58" s="169"/>
      <c r="AL58" s="169"/>
      <c r="AM58" s="169"/>
      <c r="AN58" s="169"/>
      <c r="AO58" s="169"/>
      <c r="AP58" s="169"/>
      <c r="AQ58" s="169"/>
      <c r="AR58" s="169"/>
      <c r="AS58" s="169"/>
      <c r="AT58" s="169"/>
      <c r="AU58" s="169"/>
      <c r="AV58" s="169"/>
      <c r="AW58" s="169"/>
      <c r="AX58" s="169"/>
      <c r="AY58" s="169"/>
      <c r="AZ58" s="169"/>
      <c r="BA58" s="169"/>
      <c r="BB58" s="169"/>
      <c r="BC58" s="169"/>
      <c r="BD58" s="169"/>
      <c r="BE58" s="169"/>
      <c r="BF58" s="169"/>
      <c r="BG58" s="169"/>
      <c r="BH58" s="169"/>
      <c r="BI58" s="169"/>
      <c r="BJ58" s="169"/>
      <c r="BK58" s="169"/>
      <c r="BL58" s="169"/>
      <c r="BM58" s="169"/>
      <c r="BN58" s="169"/>
      <c r="BO58" s="169"/>
      <c r="BP58" s="169"/>
      <c r="BQ58" s="169"/>
      <c r="BR58" s="169"/>
      <c r="BS58" s="169"/>
      <c r="BT58" s="169"/>
      <c r="BU58" s="169"/>
      <c r="BV58" s="169"/>
      <c r="BW58" s="169"/>
      <c r="BX58" s="169"/>
      <c r="BY58" s="169"/>
      <c r="BZ58" s="169"/>
      <c r="CA58" s="169"/>
      <c r="CB58" s="169"/>
      <c r="CC58" s="169"/>
      <c r="CD58" s="169"/>
      <c r="CE58" s="169"/>
      <c r="CF58" s="169"/>
      <c r="CG58" s="169"/>
      <c r="CH58" s="169"/>
      <c r="CI58" s="169"/>
      <c r="CJ58" s="169"/>
      <c r="CK58" s="169"/>
      <c r="CL58" s="169"/>
      <c r="CM58" s="169"/>
      <c r="CN58" s="169"/>
      <c r="CO58" s="169"/>
      <c r="CP58" s="169"/>
      <c r="CQ58" s="169"/>
      <c r="CR58" s="169"/>
      <c r="CS58" s="169"/>
      <c r="CT58" s="169"/>
      <c r="CU58" s="169"/>
      <c r="CV58" s="169"/>
      <c r="CW58" s="169"/>
      <c r="CX58" s="169"/>
      <c r="CY58" s="169"/>
      <c r="CZ58" s="169"/>
      <c r="DA58" s="169"/>
      <c r="DB58" s="169"/>
      <c r="DC58" s="169"/>
      <c r="DD58" s="169"/>
      <c r="DE58" s="169"/>
      <c r="DF58" s="169"/>
      <c r="DG58" s="169"/>
      <c r="DH58" s="169"/>
      <c r="DI58" s="169"/>
      <c r="DJ58" s="169"/>
      <c r="DK58" s="169"/>
      <c r="DL58" s="169"/>
      <c r="DM58" s="169"/>
      <c r="DN58" s="169"/>
      <c r="DO58" s="169"/>
      <c r="DP58" s="169"/>
      <c r="DQ58" s="169"/>
      <c r="DR58" s="169"/>
      <c r="DS58" s="169"/>
      <c r="DT58" s="169"/>
      <c r="DU58" s="169"/>
      <c r="DV58" s="169"/>
      <c r="DW58" s="169"/>
      <c r="DX58" s="169"/>
      <c r="DY58" s="169"/>
      <c r="DZ58" s="169"/>
      <c r="EA58" s="169"/>
      <c r="EB58" s="169"/>
      <c r="EC58" s="169"/>
      <c r="ED58" s="169"/>
      <c r="EE58" s="169"/>
      <c r="EF58" s="169"/>
      <c r="EG58" s="169"/>
      <c r="EH58" s="169"/>
      <c r="EI58" s="169"/>
      <c r="EJ58" s="169"/>
      <c r="EK58" s="169"/>
      <c r="EL58" s="169"/>
      <c r="EM58" s="169"/>
      <c r="EN58" s="169"/>
      <c r="EO58" s="169"/>
      <c r="EP58" s="169"/>
      <c r="EQ58" s="169"/>
      <c r="ER58" s="169"/>
      <c r="ES58" s="169"/>
      <c r="ET58" s="169"/>
      <c r="EU58" s="169"/>
      <c r="EV58" s="169"/>
      <c r="EW58" s="169"/>
      <c r="EX58" s="169"/>
      <c r="EY58" s="169"/>
      <c r="EZ58" s="169"/>
      <c r="FA58" s="169"/>
      <c r="FB58" s="169"/>
      <c r="FC58" s="169"/>
      <c r="FD58" s="169"/>
      <c r="FE58" s="169"/>
      <c r="FF58" s="169"/>
      <c r="FG58" s="169"/>
      <c r="FH58" s="169"/>
      <c r="FI58" s="169"/>
      <c r="FJ58" s="169"/>
      <c r="FK58" s="169"/>
      <c r="FL58" s="169"/>
      <c r="FM58" s="169"/>
      <c r="FN58" s="169"/>
      <c r="FO58" s="169"/>
      <c r="FP58" s="169"/>
      <c r="FQ58" s="169"/>
      <c r="FR58" s="169"/>
      <c r="FS58" s="169"/>
      <c r="FT58" s="169"/>
      <c r="FU58" s="169"/>
      <c r="FV58" s="169"/>
      <c r="FW58" s="169"/>
      <c r="FX58" s="169"/>
      <c r="FY58" s="169"/>
      <c r="FZ58" s="169"/>
      <c r="GA58" s="169"/>
      <c r="GB58" s="169"/>
      <c r="GC58" s="169"/>
      <c r="GD58" s="169"/>
      <c r="GE58" s="169"/>
      <c r="GF58" s="169"/>
      <c r="GG58" s="169"/>
      <c r="GH58" s="169"/>
      <c r="GI58" s="169"/>
      <c r="GJ58" s="169"/>
      <c r="GK58" s="169"/>
      <c r="GL58" s="169"/>
      <c r="GM58" s="169"/>
      <c r="GN58" s="169"/>
      <c r="GO58" s="169"/>
      <c r="GP58" s="169"/>
      <c r="GQ58" s="169"/>
      <c r="GR58" s="169"/>
      <c r="GS58" s="169"/>
      <c r="GT58" s="169"/>
      <c r="GU58" s="169"/>
      <c r="GV58" s="169"/>
      <c r="GW58" s="169"/>
      <c r="GX58" s="169"/>
      <c r="GY58" s="169"/>
      <c r="GZ58" s="169"/>
      <c r="HA58" s="169"/>
      <c r="HB58" s="169"/>
      <c r="HC58" s="169"/>
      <c r="HD58" s="169"/>
      <c r="HE58" s="169"/>
      <c r="HF58" s="169"/>
      <c r="HG58" s="169"/>
      <c r="HH58" s="169"/>
      <c r="HI58" s="169"/>
      <c r="HJ58" s="169"/>
      <c r="HK58" s="169"/>
      <c r="HL58" s="169"/>
      <c r="HM58" s="169"/>
      <c r="HN58" s="169"/>
      <c r="HO58" s="169"/>
      <c r="HP58" s="169"/>
      <c r="HQ58" s="169"/>
      <c r="HR58" s="169"/>
      <c r="HS58" s="169"/>
      <c r="HT58" s="169"/>
      <c r="HU58" s="169"/>
      <c r="HV58" s="169"/>
      <c r="HW58" s="169"/>
      <c r="HX58" s="169"/>
      <c r="HY58" s="169"/>
      <c r="HZ58" s="169"/>
      <c r="IA58" s="169"/>
      <c r="IB58" s="169"/>
      <c r="IC58" s="169"/>
      <c r="ID58" s="169"/>
      <c r="IE58" s="169"/>
      <c r="IF58" s="169"/>
      <c r="IG58" s="169"/>
      <c r="IH58" s="169"/>
      <c r="II58" s="169"/>
      <c r="IJ58" s="169"/>
      <c r="IK58" s="169"/>
      <c r="IL58" s="169"/>
      <c r="IM58" s="169"/>
      <c r="IN58" s="169"/>
      <c r="IO58" s="169"/>
      <c r="IP58" s="169"/>
      <c r="IQ58" s="169"/>
      <c r="IR58" s="169"/>
      <c r="IS58" s="169"/>
      <c r="IT58" s="169"/>
      <c r="IU58" s="169"/>
      <c r="IV58" s="169"/>
    </row>
    <row r="59" spans="1:256" ht="13.8" x14ac:dyDescent="0.25">
      <c r="A59" s="610"/>
      <c r="B59" s="611"/>
      <c r="C59" s="608"/>
      <c r="D59" s="612"/>
      <c r="E59" s="609"/>
      <c r="F59" s="1388"/>
      <c r="G59" s="1389"/>
      <c r="H59" s="609"/>
      <c r="I59" s="609"/>
      <c r="J59" s="609"/>
      <c r="K59" s="1393"/>
      <c r="L59" s="1391" t="s">
        <v>1191</v>
      </c>
      <c r="M59" s="1392">
        <f>SUM(M52:M57)</f>
        <v>0</v>
      </c>
      <c r="N59" s="169"/>
      <c r="O59" s="169"/>
      <c r="P59" s="169"/>
      <c r="Q59" s="169"/>
      <c r="R59" s="169"/>
      <c r="S59" s="169"/>
      <c r="T59" s="169"/>
      <c r="U59" s="169"/>
      <c r="V59" s="169"/>
      <c r="W59" s="169"/>
      <c r="X59" s="169"/>
      <c r="Y59" s="169"/>
      <c r="Z59" s="169"/>
      <c r="AA59" s="169"/>
      <c r="AB59" s="169"/>
      <c r="AC59" s="169"/>
      <c r="AD59" s="169"/>
      <c r="AE59" s="169"/>
      <c r="AF59" s="169"/>
      <c r="AG59" s="169"/>
      <c r="AH59" s="169"/>
      <c r="AI59" s="169"/>
      <c r="AJ59" s="169"/>
      <c r="AK59" s="169"/>
      <c r="AL59" s="169"/>
      <c r="AM59" s="169"/>
      <c r="AN59" s="169"/>
      <c r="AO59" s="169"/>
      <c r="AP59" s="169"/>
      <c r="AQ59" s="169"/>
      <c r="AR59" s="169"/>
      <c r="AS59" s="169"/>
      <c r="AT59" s="169"/>
      <c r="AU59" s="169"/>
      <c r="AV59" s="169"/>
      <c r="AW59" s="169"/>
      <c r="AX59" s="169"/>
      <c r="AY59" s="169"/>
      <c r="AZ59" s="169"/>
      <c r="BA59" s="169"/>
      <c r="BB59" s="169"/>
      <c r="BC59" s="169"/>
      <c r="BD59" s="169"/>
      <c r="BE59" s="169"/>
      <c r="BF59" s="169"/>
      <c r="BG59" s="169"/>
      <c r="BH59" s="169"/>
      <c r="BI59" s="169"/>
      <c r="BJ59" s="169"/>
      <c r="BK59" s="169"/>
      <c r="BL59" s="169"/>
      <c r="BM59" s="169"/>
      <c r="BN59" s="169"/>
      <c r="BO59" s="169"/>
      <c r="BP59" s="169"/>
      <c r="BQ59" s="169"/>
      <c r="BR59" s="169"/>
      <c r="BS59" s="169"/>
      <c r="BT59" s="169"/>
      <c r="BU59" s="169"/>
      <c r="BV59" s="169"/>
      <c r="BW59" s="169"/>
      <c r="BX59" s="169"/>
      <c r="BY59" s="169"/>
      <c r="BZ59" s="169"/>
      <c r="CA59" s="169"/>
      <c r="CB59" s="169"/>
      <c r="CC59" s="169"/>
      <c r="CD59" s="169"/>
      <c r="CE59" s="169"/>
      <c r="CF59" s="169"/>
      <c r="CG59" s="169"/>
      <c r="CH59" s="169"/>
      <c r="CI59" s="169"/>
      <c r="CJ59" s="169"/>
      <c r="CK59" s="169"/>
      <c r="CL59" s="169"/>
      <c r="CM59" s="169"/>
      <c r="CN59" s="169"/>
      <c r="CO59" s="169"/>
      <c r="CP59" s="169"/>
      <c r="CQ59" s="169"/>
      <c r="CR59" s="169"/>
      <c r="CS59" s="169"/>
      <c r="CT59" s="169"/>
      <c r="CU59" s="169"/>
      <c r="CV59" s="169"/>
      <c r="CW59" s="169"/>
      <c r="CX59" s="169"/>
      <c r="CY59" s="169"/>
      <c r="CZ59" s="169"/>
      <c r="DA59" s="169"/>
      <c r="DB59" s="169"/>
      <c r="DC59" s="169"/>
      <c r="DD59" s="169"/>
      <c r="DE59" s="169"/>
      <c r="DF59" s="169"/>
      <c r="DG59" s="169"/>
      <c r="DH59" s="169"/>
      <c r="DI59" s="169"/>
      <c r="DJ59" s="169"/>
      <c r="DK59" s="169"/>
      <c r="DL59" s="169"/>
      <c r="DM59" s="169"/>
      <c r="DN59" s="169"/>
      <c r="DO59" s="169"/>
      <c r="DP59" s="169"/>
      <c r="DQ59" s="169"/>
      <c r="DR59" s="169"/>
      <c r="DS59" s="169"/>
      <c r="DT59" s="169"/>
      <c r="DU59" s="169"/>
      <c r="DV59" s="169"/>
      <c r="DW59" s="169"/>
      <c r="DX59" s="169"/>
      <c r="DY59" s="169"/>
      <c r="DZ59" s="169"/>
      <c r="EA59" s="169"/>
      <c r="EB59" s="169"/>
      <c r="EC59" s="169"/>
      <c r="ED59" s="169"/>
      <c r="EE59" s="169"/>
      <c r="EF59" s="169"/>
      <c r="EG59" s="169"/>
      <c r="EH59" s="169"/>
      <c r="EI59" s="169"/>
      <c r="EJ59" s="169"/>
      <c r="EK59" s="169"/>
      <c r="EL59" s="169"/>
      <c r="EM59" s="169"/>
      <c r="EN59" s="169"/>
      <c r="EO59" s="169"/>
      <c r="EP59" s="169"/>
      <c r="EQ59" s="169"/>
      <c r="ER59" s="169"/>
      <c r="ES59" s="169"/>
      <c r="ET59" s="169"/>
      <c r="EU59" s="169"/>
      <c r="EV59" s="169"/>
      <c r="EW59" s="169"/>
      <c r="EX59" s="169"/>
      <c r="EY59" s="169"/>
      <c r="EZ59" s="169"/>
      <c r="FA59" s="169"/>
      <c r="FB59" s="169"/>
      <c r="FC59" s="169"/>
      <c r="FD59" s="169"/>
      <c r="FE59" s="169"/>
      <c r="FF59" s="169"/>
      <c r="FG59" s="169"/>
      <c r="FH59" s="169"/>
      <c r="FI59" s="169"/>
      <c r="FJ59" s="169"/>
      <c r="FK59" s="169"/>
      <c r="FL59" s="169"/>
      <c r="FM59" s="169"/>
      <c r="FN59" s="169"/>
      <c r="FO59" s="169"/>
      <c r="FP59" s="169"/>
      <c r="FQ59" s="169"/>
      <c r="FR59" s="169"/>
      <c r="FS59" s="169"/>
      <c r="FT59" s="169"/>
      <c r="FU59" s="169"/>
      <c r="FV59" s="169"/>
      <c r="FW59" s="169"/>
      <c r="FX59" s="169"/>
      <c r="FY59" s="169"/>
      <c r="FZ59" s="169"/>
      <c r="GA59" s="169"/>
      <c r="GB59" s="169"/>
      <c r="GC59" s="169"/>
      <c r="GD59" s="169"/>
      <c r="GE59" s="169"/>
      <c r="GF59" s="169"/>
      <c r="GG59" s="169"/>
      <c r="GH59" s="169"/>
      <c r="GI59" s="169"/>
      <c r="GJ59" s="169"/>
      <c r="GK59" s="169"/>
      <c r="GL59" s="169"/>
      <c r="GM59" s="169"/>
      <c r="GN59" s="169"/>
      <c r="GO59" s="169"/>
      <c r="GP59" s="169"/>
      <c r="GQ59" s="169"/>
      <c r="GR59" s="169"/>
      <c r="GS59" s="169"/>
      <c r="GT59" s="169"/>
      <c r="GU59" s="169"/>
      <c r="GV59" s="169"/>
      <c r="GW59" s="169"/>
      <c r="GX59" s="169"/>
      <c r="GY59" s="169"/>
      <c r="GZ59" s="169"/>
      <c r="HA59" s="169"/>
      <c r="HB59" s="169"/>
      <c r="HC59" s="169"/>
      <c r="HD59" s="169"/>
      <c r="HE59" s="169"/>
      <c r="HF59" s="169"/>
      <c r="HG59" s="169"/>
      <c r="HH59" s="169"/>
      <c r="HI59" s="169"/>
      <c r="HJ59" s="169"/>
      <c r="HK59" s="169"/>
      <c r="HL59" s="169"/>
      <c r="HM59" s="169"/>
      <c r="HN59" s="169"/>
      <c r="HO59" s="169"/>
      <c r="HP59" s="169"/>
      <c r="HQ59" s="169"/>
      <c r="HR59" s="169"/>
      <c r="HS59" s="169"/>
      <c r="HT59" s="169"/>
      <c r="HU59" s="169"/>
      <c r="HV59" s="169"/>
      <c r="HW59" s="169"/>
      <c r="HX59" s="169"/>
      <c r="HY59" s="169"/>
      <c r="HZ59" s="169"/>
      <c r="IA59" s="169"/>
      <c r="IB59" s="169"/>
      <c r="IC59" s="169"/>
      <c r="ID59" s="169"/>
      <c r="IE59" s="169"/>
      <c r="IF59" s="169"/>
      <c r="IG59" s="169"/>
      <c r="IH59" s="169"/>
      <c r="II59" s="169"/>
      <c r="IJ59" s="169"/>
      <c r="IK59" s="169"/>
      <c r="IL59" s="169"/>
      <c r="IM59" s="169"/>
      <c r="IN59" s="169"/>
      <c r="IO59" s="169"/>
      <c r="IP59" s="169"/>
      <c r="IQ59" s="169"/>
      <c r="IR59" s="169"/>
      <c r="IS59" s="169"/>
      <c r="IT59" s="169"/>
      <c r="IU59" s="169"/>
      <c r="IV59" s="169"/>
    </row>
    <row r="60" spans="1:256" ht="14.4" thickBot="1" x14ac:dyDescent="0.3">
      <c r="A60" s="1379"/>
      <c r="B60" s="1380"/>
      <c r="C60" s="1381"/>
      <c r="D60" s="1382"/>
      <c r="E60" s="1368"/>
      <c r="F60" s="1383"/>
      <c r="G60" s="1384"/>
      <c r="H60" s="1385"/>
      <c r="I60" s="1385"/>
      <c r="J60" s="1385"/>
      <c r="K60" s="1390"/>
      <c r="L60" s="1386"/>
      <c r="M60" s="1387"/>
      <c r="N60" s="169"/>
      <c r="O60" s="169"/>
      <c r="P60" s="169"/>
      <c r="Q60" s="169"/>
      <c r="R60" s="169"/>
      <c r="S60" s="169"/>
      <c r="T60" s="169"/>
      <c r="U60" s="169"/>
      <c r="V60" s="169"/>
      <c r="W60" s="169"/>
      <c r="X60" s="169"/>
      <c r="Y60" s="169"/>
      <c r="Z60" s="169"/>
      <c r="AA60" s="169"/>
      <c r="AB60" s="169"/>
      <c r="AC60" s="169"/>
      <c r="AD60" s="169"/>
      <c r="AE60" s="169"/>
      <c r="AF60" s="169"/>
      <c r="AG60" s="169"/>
      <c r="AH60" s="169"/>
      <c r="AI60" s="169"/>
      <c r="AJ60" s="169"/>
      <c r="AK60" s="169"/>
      <c r="AL60" s="169"/>
      <c r="AM60" s="169"/>
      <c r="AN60" s="169"/>
      <c r="AO60" s="169"/>
      <c r="AP60" s="169"/>
      <c r="AQ60" s="169"/>
      <c r="AR60" s="169"/>
      <c r="AS60" s="169"/>
      <c r="AT60" s="169"/>
      <c r="AU60" s="169"/>
      <c r="AV60" s="169"/>
      <c r="AW60" s="169"/>
      <c r="AX60" s="169"/>
      <c r="AY60" s="169"/>
      <c r="AZ60" s="169"/>
      <c r="BA60" s="169"/>
      <c r="BB60" s="169"/>
      <c r="BC60" s="169"/>
      <c r="BD60" s="169"/>
      <c r="BE60" s="169"/>
      <c r="BF60" s="169"/>
      <c r="BG60" s="169"/>
      <c r="BH60" s="169"/>
      <c r="BI60" s="169"/>
      <c r="BJ60" s="169"/>
      <c r="BK60" s="169"/>
      <c r="BL60" s="169"/>
      <c r="BM60" s="169"/>
      <c r="BN60" s="169"/>
      <c r="BO60" s="169"/>
      <c r="BP60" s="169"/>
      <c r="BQ60" s="169"/>
      <c r="BR60" s="169"/>
      <c r="BS60" s="169"/>
      <c r="BT60" s="169"/>
      <c r="BU60" s="169"/>
      <c r="BV60" s="169"/>
      <c r="BW60" s="169"/>
      <c r="BX60" s="169"/>
      <c r="BY60" s="169"/>
      <c r="BZ60" s="169"/>
      <c r="CA60" s="169"/>
      <c r="CB60" s="169"/>
      <c r="CC60" s="169"/>
      <c r="CD60" s="169"/>
      <c r="CE60" s="169"/>
      <c r="CF60" s="169"/>
      <c r="CG60" s="169"/>
      <c r="CH60" s="169"/>
      <c r="CI60" s="169"/>
      <c r="CJ60" s="169"/>
      <c r="CK60" s="169"/>
      <c r="CL60" s="169"/>
      <c r="CM60" s="169"/>
      <c r="CN60" s="169"/>
      <c r="CO60" s="169"/>
      <c r="CP60" s="169"/>
      <c r="CQ60" s="169"/>
      <c r="CR60" s="169"/>
      <c r="CS60" s="169"/>
      <c r="CT60" s="169"/>
      <c r="CU60" s="169"/>
      <c r="CV60" s="169"/>
      <c r="CW60" s="169"/>
      <c r="CX60" s="169"/>
      <c r="CY60" s="169"/>
      <c r="CZ60" s="169"/>
      <c r="DA60" s="169"/>
      <c r="DB60" s="169"/>
      <c r="DC60" s="169"/>
      <c r="DD60" s="169"/>
      <c r="DE60" s="169"/>
      <c r="DF60" s="169"/>
      <c r="DG60" s="169"/>
      <c r="DH60" s="169"/>
      <c r="DI60" s="169"/>
      <c r="DJ60" s="169"/>
      <c r="DK60" s="169"/>
      <c r="DL60" s="169"/>
      <c r="DM60" s="169"/>
      <c r="DN60" s="169"/>
      <c r="DO60" s="169"/>
      <c r="DP60" s="169"/>
      <c r="DQ60" s="169"/>
      <c r="DR60" s="169"/>
      <c r="DS60" s="169"/>
      <c r="DT60" s="169"/>
      <c r="DU60" s="169"/>
      <c r="DV60" s="169"/>
      <c r="DW60" s="169"/>
      <c r="DX60" s="169"/>
      <c r="DY60" s="169"/>
      <c r="DZ60" s="169"/>
      <c r="EA60" s="169"/>
      <c r="EB60" s="169"/>
      <c r="EC60" s="169"/>
      <c r="ED60" s="169"/>
      <c r="EE60" s="169"/>
      <c r="EF60" s="169"/>
      <c r="EG60" s="169"/>
      <c r="EH60" s="169"/>
      <c r="EI60" s="169"/>
      <c r="EJ60" s="169"/>
      <c r="EK60" s="169"/>
      <c r="EL60" s="169"/>
      <c r="EM60" s="169"/>
      <c r="EN60" s="169"/>
      <c r="EO60" s="169"/>
      <c r="EP60" s="169"/>
      <c r="EQ60" s="169"/>
      <c r="ER60" s="169"/>
      <c r="ES60" s="169"/>
      <c r="ET60" s="169"/>
      <c r="EU60" s="169"/>
      <c r="EV60" s="169"/>
      <c r="EW60" s="169"/>
      <c r="EX60" s="169"/>
      <c r="EY60" s="169"/>
      <c r="EZ60" s="169"/>
      <c r="FA60" s="169"/>
      <c r="FB60" s="169"/>
      <c r="FC60" s="169"/>
      <c r="FD60" s="169"/>
      <c r="FE60" s="169"/>
      <c r="FF60" s="169"/>
      <c r="FG60" s="169"/>
      <c r="FH60" s="169"/>
      <c r="FI60" s="169"/>
      <c r="FJ60" s="169"/>
      <c r="FK60" s="169"/>
      <c r="FL60" s="169"/>
      <c r="FM60" s="169"/>
      <c r="FN60" s="169"/>
      <c r="FO60" s="169"/>
      <c r="FP60" s="169"/>
      <c r="FQ60" s="169"/>
      <c r="FR60" s="169"/>
      <c r="FS60" s="169"/>
      <c r="FT60" s="169"/>
      <c r="FU60" s="169"/>
      <c r="FV60" s="169"/>
      <c r="FW60" s="169"/>
      <c r="FX60" s="169"/>
      <c r="FY60" s="169"/>
      <c r="FZ60" s="169"/>
      <c r="GA60" s="169"/>
      <c r="GB60" s="169"/>
      <c r="GC60" s="169"/>
      <c r="GD60" s="169"/>
      <c r="GE60" s="169"/>
      <c r="GF60" s="169"/>
      <c r="GG60" s="169"/>
      <c r="GH60" s="169"/>
      <c r="GI60" s="169"/>
      <c r="GJ60" s="169"/>
      <c r="GK60" s="169"/>
      <c r="GL60" s="169"/>
      <c r="GM60" s="169"/>
      <c r="GN60" s="169"/>
      <c r="GO60" s="169"/>
      <c r="GP60" s="169"/>
      <c r="GQ60" s="169"/>
      <c r="GR60" s="169"/>
      <c r="GS60" s="169"/>
      <c r="GT60" s="169"/>
      <c r="GU60" s="169"/>
      <c r="GV60" s="169"/>
      <c r="GW60" s="169"/>
      <c r="GX60" s="169"/>
      <c r="GY60" s="169"/>
      <c r="GZ60" s="169"/>
      <c r="HA60" s="169"/>
      <c r="HB60" s="169"/>
      <c r="HC60" s="169"/>
      <c r="HD60" s="169"/>
      <c r="HE60" s="169"/>
      <c r="HF60" s="169"/>
      <c r="HG60" s="169"/>
      <c r="HH60" s="169"/>
      <c r="HI60" s="169"/>
      <c r="HJ60" s="169"/>
      <c r="HK60" s="169"/>
      <c r="HL60" s="169"/>
      <c r="HM60" s="169"/>
      <c r="HN60" s="169"/>
      <c r="HO60" s="169"/>
      <c r="HP60" s="169"/>
      <c r="HQ60" s="169"/>
      <c r="HR60" s="169"/>
      <c r="HS60" s="169"/>
      <c r="HT60" s="169"/>
      <c r="HU60" s="169"/>
      <c r="HV60" s="169"/>
      <c r="HW60" s="169"/>
      <c r="HX60" s="169"/>
      <c r="HY60" s="169"/>
      <c r="HZ60" s="169"/>
      <c r="IA60" s="169"/>
      <c r="IB60" s="169"/>
      <c r="IC60" s="169"/>
      <c r="ID60" s="169"/>
      <c r="IE60" s="169"/>
      <c r="IF60" s="169"/>
      <c r="IG60" s="169"/>
      <c r="IH60" s="169"/>
      <c r="II60" s="169"/>
      <c r="IJ60" s="169"/>
      <c r="IK60" s="169"/>
      <c r="IL60" s="169"/>
      <c r="IM60" s="169"/>
      <c r="IN60" s="169"/>
      <c r="IO60" s="169"/>
      <c r="IP60" s="169"/>
      <c r="IQ60" s="169"/>
      <c r="IR60" s="169"/>
      <c r="IS60" s="169"/>
      <c r="IT60" s="169"/>
      <c r="IU60" s="169"/>
      <c r="IV60" s="169"/>
    </row>
    <row r="61" spans="1:256" x14ac:dyDescent="0.25">
      <c r="A61" s="2295" t="s">
        <v>21</v>
      </c>
      <c r="B61" s="2278"/>
      <c r="C61" s="2296"/>
      <c r="D61" s="2297" t="s">
        <v>52</v>
      </c>
      <c r="E61" s="2296"/>
      <c r="F61" s="2297" t="s">
        <v>53</v>
      </c>
      <c r="G61" s="2296"/>
      <c r="H61" s="2297" t="s">
        <v>54</v>
      </c>
      <c r="I61" s="2278"/>
      <c r="J61" s="2296"/>
      <c r="K61" s="1313" t="s">
        <v>40</v>
      </c>
      <c r="L61" s="331" t="s">
        <v>40</v>
      </c>
      <c r="M61" s="1276" t="s">
        <v>42</v>
      </c>
      <c r="N61" s="169"/>
      <c r="O61" s="169"/>
      <c r="P61" s="169"/>
      <c r="Q61" s="169"/>
      <c r="R61" s="169"/>
      <c r="S61" s="169"/>
      <c r="T61" s="169"/>
      <c r="U61" s="169"/>
      <c r="V61" s="169"/>
      <c r="W61" s="169"/>
      <c r="X61" s="169"/>
      <c r="Y61" s="169"/>
      <c r="Z61" s="169"/>
      <c r="AA61" s="169"/>
      <c r="AB61" s="169"/>
      <c r="AC61" s="169"/>
      <c r="AD61" s="169"/>
      <c r="AE61" s="169"/>
      <c r="AF61" s="169"/>
      <c r="AG61" s="169"/>
      <c r="AH61" s="169"/>
      <c r="AI61" s="169"/>
      <c r="AJ61" s="169"/>
      <c r="AK61" s="169"/>
      <c r="AL61" s="169"/>
      <c r="AM61" s="169"/>
      <c r="AN61" s="169"/>
      <c r="AO61" s="169"/>
      <c r="AP61" s="169"/>
      <c r="AQ61" s="169"/>
      <c r="AR61" s="169"/>
      <c r="AS61" s="169"/>
      <c r="AT61" s="169"/>
      <c r="AU61" s="169"/>
      <c r="AV61" s="169"/>
      <c r="AW61" s="169"/>
      <c r="AX61" s="169"/>
      <c r="AY61" s="169"/>
      <c r="AZ61" s="169"/>
      <c r="BA61" s="169"/>
      <c r="BB61" s="169"/>
      <c r="BC61" s="169"/>
      <c r="BD61" s="169"/>
      <c r="BE61" s="169"/>
      <c r="BF61" s="169"/>
      <c r="BG61" s="169"/>
      <c r="BH61" s="169"/>
      <c r="BI61" s="169"/>
      <c r="BJ61" s="169"/>
      <c r="BK61" s="169"/>
      <c r="BL61" s="169"/>
      <c r="BM61" s="169"/>
      <c r="BN61" s="169"/>
      <c r="BO61" s="169"/>
      <c r="BP61" s="169"/>
      <c r="BQ61" s="169"/>
      <c r="BR61" s="169"/>
      <c r="BS61" s="169"/>
      <c r="BT61" s="169"/>
      <c r="BU61" s="169"/>
      <c r="BV61" s="169"/>
      <c r="BW61" s="169"/>
      <c r="BX61" s="169"/>
      <c r="BY61" s="169"/>
      <c r="BZ61" s="169"/>
      <c r="CA61" s="169"/>
      <c r="CB61" s="169"/>
      <c r="CC61" s="169"/>
      <c r="CD61" s="169"/>
      <c r="CE61" s="169"/>
      <c r="CF61" s="169"/>
      <c r="CG61" s="169"/>
      <c r="CH61" s="169"/>
      <c r="CI61" s="169"/>
      <c r="CJ61" s="169"/>
      <c r="CK61" s="169"/>
      <c r="CL61" s="169"/>
      <c r="CM61" s="169"/>
      <c r="CN61" s="169"/>
      <c r="CO61" s="169"/>
      <c r="CP61" s="169"/>
      <c r="CQ61" s="169"/>
      <c r="CR61" s="169"/>
      <c r="CS61" s="169"/>
      <c r="CT61" s="169"/>
      <c r="CU61" s="169"/>
      <c r="CV61" s="169"/>
      <c r="CW61" s="169"/>
      <c r="CX61" s="169"/>
      <c r="CY61" s="169"/>
      <c r="CZ61" s="169"/>
      <c r="DA61" s="169"/>
      <c r="DB61" s="169"/>
      <c r="DC61" s="169"/>
      <c r="DD61" s="169"/>
      <c r="DE61" s="169"/>
      <c r="DF61" s="169"/>
      <c r="DG61" s="169"/>
      <c r="DH61" s="169"/>
      <c r="DI61" s="169"/>
      <c r="DJ61" s="169"/>
      <c r="DK61" s="169"/>
      <c r="DL61" s="169"/>
      <c r="DM61" s="169"/>
      <c r="DN61" s="169"/>
      <c r="DO61" s="169"/>
      <c r="DP61" s="169"/>
      <c r="DQ61" s="169"/>
      <c r="DR61" s="169"/>
      <c r="DS61" s="169"/>
      <c r="DT61" s="169"/>
      <c r="DU61" s="169"/>
      <c r="DV61" s="169"/>
      <c r="DW61" s="169"/>
      <c r="DX61" s="169"/>
      <c r="DY61" s="169"/>
      <c r="DZ61" s="169"/>
      <c r="EA61" s="169"/>
      <c r="EB61" s="169"/>
      <c r="EC61" s="169"/>
      <c r="ED61" s="169"/>
      <c r="EE61" s="169"/>
      <c r="EF61" s="169"/>
      <c r="EG61" s="169"/>
      <c r="EH61" s="169"/>
      <c r="EI61" s="169"/>
      <c r="EJ61" s="169"/>
      <c r="EK61" s="169"/>
      <c r="EL61" s="169"/>
      <c r="EM61" s="169"/>
      <c r="EN61" s="169"/>
      <c r="EO61" s="169"/>
      <c r="EP61" s="169"/>
      <c r="EQ61" s="169"/>
      <c r="ER61" s="169"/>
      <c r="ES61" s="169"/>
      <c r="ET61" s="169"/>
      <c r="EU61" s="169"/>
      <c r="EV61" s="169"/>
      <c r="EW61" s="169"/>
      <c r="EX61" s="169"/>
      <c r="EY61" s="169"/>
      <c r="EZ61" s="169"/>
      <c r="FA61" s="169"/>
      <c r="FB61" s="169"/>
      <c r="FC61" s="169"/>
      <c r="FD61" s="169"/>
      <c r="FE61" s="169"/>
      <c r="FF61" s="169"/>
      <c r="FG61" s="169"/>
      <c r="FH61" s="169"/>
      <c r="FI61" s="169"/>
      <c r="FJ61" s="169"/>
      <c r="FK61" s="169"/>
      <c r="FL61" s="169"/>
      <c r="FM61" s="169"/>
      <c r="FN61" s="169"/>
      <c r="FO61" s="169"/>
      <c r="FP61" s="169"/>
      <c r="FQ61" s="169"/>
      <c r="FR61" s="169"/>
      <c r="FS61" s="169"/>
      <c r="FT61" s="169"/>
      <c r="FU61" s="169"/>
      <c r="FV61" s="169"/>
      <c r="FW61" s="169"/>
      <c r="FX61" s="169"/>
      <c r="FY61" s="169"/>
      <c r="FZ61" s="169"/>
      <c r="GA61" s="169"/>
      <c r="GB61" s="169"/>
      <c r="GC61" s="169"/>
      <c r="GD61" s="169"/>
      <c r="GE61" s="169"/>
      <c r="GF61" s="169"/>
      <c r="GG61" s="169"/>
      <c r="GH61" s="169"/>
      <c r="GI61" s="169"/>
      <c r="GJ61" s="169"/>
      <c r="GK61" s="169"/>
      <c r="GL61" s="169"/>
      <c r="GM61" s="169"/>
      <c r="GN61" s="169"/>
      <c r="GO61" s="169"/>
      <c r="GP61" s="169"/>
      <c r="GQ61" s="169"/>
      <c r="GR61" s="169"/>
      <c r="GS61" s="169"/>
      <c r="GT61" s="169"/>
      <c r="GU61" s="169"/>
      <c r="GV61" s="169"/>
      <c r="GW61" s="169"/>
      <c r="GX61" s="169"/>
      <c r="GY61" s="169"/>
      <c r="GZ61" s="169"/>
      <c r="HA61" s="169"/>
      <c r="HB61" s="169"/>
      <c r="HC61" s="169"/>
      <c r="HD61" s="169"/>
      <c r="HE61" s="169"/>
      <c r="HF61" s="169"/>
      <c r="HG61" s="169"/>
      <c r="HH61" s="169"/>
      <c r="HI61" s="169"/>
      <c r="HJ61" s="169"/>
      <c r="HK61" s="169"/>
      <c r="HL61" s="169"/>
      <c r="HM61" s="169"/>
      <c r="HN61" s="169"/>
      <c r="HO61" s="169"/>
      <c r="HP61" s="169"/>
      <c r="HQ61" s="169"/>
      <c r="HR61" s="169"/>
      <c r="HS61" s="169"/>
      <c r="HT61" s="169"/>
      <c r="HU61" s="169"/>
      <c r="HV61" s="169"/>
      <c r="HW61" s="169"/>
      <c r="HX61" s="169"/>
      <c r="HY61" s="169"/>
      <c r="HZ61" s="169"/>
      <c r="IA61" s="169"/>
      <c r="IB61" s="169"/>
      <c r="IC61" s="169"/>
      <c r="ID61" s="169"/>
      <c r="IE61" s="169"/>
      <c r="IF61" s="169"/>
      <c r="IG61" s="169"/>
      <c r="IH61" s="169"/>
      <c r="II61" s="169"/>
      <c r="IJ61" s="169"/>
      <c r="IK61" s="169"/>
      <c r="IL61" s="169"/>
      <c r="IM61" s="169"/>
      <c r="IN61" s="169"/>
      <c r="IO61" s="169"/>
      <c r="IP61" s="169"/>
      <c r="IQ61" s="169"/>
      <c r="IR61" s="169"/>
      <c r="IS61" s="169"/>
      <c r="IT61" s="169"/>
      <c r="IU61" s="169"/>
      <c r="IV61" s="169"/>
    </row>
    <row r="62" spans="1:256" x14ac:dyDescent="0.25">
      <c r="A62" s="314"/>
      <c r="B62" s="317"/>
      <c r="C62" s="317" t="s">
        <v>55</v>
      </c>
      <c r="D62" s="317"/>
      <c r="E62" s="315" t="s">
        <v>55</v>
      </c>
      <c r="F62" s="317" t="s">
        <v>56</v>
      </c>
      <c r="G62" s="317" t="s">
        <v>57</v>
      </c>
      <c r="H62" s="1314"/>
      <c r="I62" s="1314"/>
      <c r="J62" s="1315"/>
      <c r="K62" s="316" t="s">
        <v>58</v>
      </c>
      <c r="L62" s="315" t="s">
        <v>59</v>
      </c>
      <c r="M62" s="1277"/>
      <c r="N62" s="169"/>
      <c r="O62" s="169"/>
      <c r="P62" s="169"/>
      <c r="Q62" s="169"/>
      <c r="R62" s="169"/>
      <c r="S62" s="169"/>
      <c r="T62" s="169"/>
      <c r="U62" s="169"/>
      <c r="V62" s="169"/>
      <c r="W62" s="169"/>
      <c r="X62" s="169"/>
      <c r="Y62" s="169"/>
      <c r="Z62" s="169"/>
      <c r="AA62" s="169"/>
      <c r="AB62" s="169"/>
      <c r="AC62" s="169"/>
      <c r="AD62" s="169"/>
      <c r="AE62" s="169"/>
      <c r="AF62" s="169"/>
      <c r="AG62" s="169"/>
      <c r="AH62" s="169"/>
      <c r="AI62" s="169"/>
      <c r="AJ62" s="169"/>
      <c r="AK62" s="169"/>
      <c r="AL62" s="169"/>
      <c r="AM62" s="169"/>
      <c r="AN62" s="169"/>
      <c r="AO62" s="169"/>
      <c r="AP62" s="169"/>
      <c r="AQ62" s="169"/>
      <c r="AR62" s="169"/>
      <c r="AS62" s="169"/>
      <c r="AT62" s="169"/>
      <c r="AU62" s="169"/>
      <c r="AV62" s="169"/>
      <c r="AW62" s="169"/>
      <c r="AX62" s="169"/>
      <c r="AY62" s="169"/>
      <c r="AZ62" s="169"/>
      <c r="BA62" s="169"/>
      <c r="BB62" s="169"/>
      <c r="BC62" s="169"/>
      <c r="BD62" s="169"/>
      <c r="BE62" s="169"/>
      <c r="BF62" s="169"/>
      <c r="BG62" s="169"/>
      <c r="BH62" s="169"/>
      <c r="BI62" s="169"/>
      <c r="BJ62" s="169"/>
      <c r="BK62" s="169"/>
      <c r="BL62" s="169"/>
      <c r="BM62" s="169"/>
      <c r="BN62" s="169"/>
      <c r="BO62" s="169"/>
      <c r="BP62" s="169"/>
      <c r="BQ62" s="169"/>
      <c r="BR62" s="169"/>
      <c r="BS62" s="169"/>
      <c r="BT62" s="169"/>
      <c r="BU62" s="169"/>
      <c r="BV62" s="169"/>
      <c r="BW62" s="169"/>
      <c r="BX62" s="169"/>
      <c r="BY62" s="169"/>
      <c r="BZ62" s="169"/>
      <c r="CA62" s="169"/>
      <c r="CB62" s="169"/>
      <c r="CC62" s="169"/>
      <c r="CD62" s="169"/>
      <c r="CE62" s="169"/>
      <c r="CF62" s="169"/>
      <c r="CG62" s="169"/>
      <c r="CH62" s="169"/>
      <c r="CI62" s="169"/>
      <c r="CJ62" s="169"/>
      <c r="CK62" s="169"/>
      <c r="CL62" s="169"/>
      <c r="CM62" s="169"/>
      <c r="CN62" s="169"/>
      <c r="CO62" s="169"/>
      <c r="CP62" s="169"/>
      <c r="CQ62" s="169"/>
      <c r="CR62" s="169"/>
      <c r="CS62" s="169"/>
      <c r="CT62" s="169"/>
      <c r="CU62" s="169"/>
      <c r="CV62" s="169"/>
      <c r="CW62" s="169"/>
      <c r="CX62" s="169"/>
      <c r="CY62" s="169"/>
      <c r="CZ62" s="169"/>
      <c r="DA62" s="169"/>
      <c r="DB62" s="169"/>
      <c r="DC62" s="169"/>
      <c r="DD62" s="169"/>
      <c r="DE62" s="169"/>
      <c r="DF62" s="169"/>
      <c r="DG62" s="169"/>
      <c r="DH62" s="169"/>
      <c r="DI62" s="169"/>
      <c r="DJ62" s="169"/>
      <c r="DK62" s="169"/>
      <c r="DL62" s="169"/>
      <c r="DM62" s="169"/>
      <c r="DN62" s="169"/>
      <c r="DO62" s="169"/>
      <c r="DP62" s="169"/>
      <c r="DQ62" s="169"/>
      <c r="DR62" s="169"/>
      <c r="DS62" s="169"/>
      <c r="DT62" s="169"/>
      <c r="DU62" s="169"/>
      <c r="DV62" s="169"/>
      <c r="DW62" s="169"/>
      <c r="DX62" s="169"/>
      <c r="DY62" s="169"/>
      <c r="DZ62" s="169"/>
      <c r="EA62" s="169"/>
      <c r="EB62" s="169"/>
      <c r="EC62" s="169"/>
      <c r="ED62" s="169"/>
      <c r="EE62" s="169"/>
      <c r="EF62" s="169"/>
      <c r="EG62" s="169"/>
      <c r="EH62" s="169"/>
      <c r="EI62" s="169"/>
      <c r="EJ62" s="169"/>
      <c r="EK62" s="169"/>
      <c r="EL62" s="169"/>
      <c r="EM62" s="169"/>
      <c r="EN62" s="169"/>
      <c r="EO62" s="169"/>
      <c r="EP62" s="169"/>
      <c r="EQ62" s="169"/>
      <c r="ER62" s="169"/>
      <c r="ES62" s="169"/>
      <c r="ET62" s="169"/>
      <c r="EU62" s="169"/>
      <c r="EV62" s="169"/>
      <c r="EW62" s="169"/>
      <c r="EX62" s="169"/>
      <c r="EY62" s="169"/>
      <c r="EZ62" s="169"/>
      <c r="FA62" s="169"/>
      <c r="FB62" s="169"/>
      <c r="FC62" s="169"/>
      <c r="FD62" s="169"/>
      <c r="FE62" s="169"/>
      <c r="FF62" s="169"/>
      <c r="FG62" s="169"/>
      <c r="FH62" s="169"/>
      <c r="FI62" s="169"/>
      <c r="FJ62" s="169"/>
      <c r="FK62" s="169"/>
      <c r="FL62" s="169"/>
      <c r="FM62" s="169"/>
      <c r="FN62" s="169"/>
      <c r="FO62" s="169"/>
      <c r="FP62" s="169"/>
      <c r="FQ62" s="169"/>
      <c r="FR62" s="169"/>
      <c r="FS62" s="169"/>
      <c r="FT62" s="169"/>
      <c r="FU62" s="169"/>
      <c r="FV62" s="169"/>
      <c r="FW62" s="169"/>
      <c r="FX62" s="169"/>
      <c r="FY62" s="169"/>
      <c r="FZ62" s="169"/>
      <c r="GA62" s="169"/>
      <c r="GB62" s="169"/>
      <c r="GC62" s="169"/>
      <c r="GD62" s="169"/>
      <c r="GE62" s="169"/>
      <c r="GF62" s="169"/>
      <c r="GG62" s="169"/>
      <c r="GH62" s="169"/>
      <c r="GI62" s="169"/>
      <c r="GJ62" s="169"/>
      <c r="GK62" s="169"/>
      <c r="GL62" s="169"/>
      <c r="GM62" s="169"/>
      <c r="GN62" s="169"/>
      <c r="GO62" s="169"/>
      <c r="GP62" s="169"/>
      <c r="GQ62" s="169"/>
      <c r="GR62" s="169"/>
      <c r="GS62" s="169"/>
      <c r="GT62" s="169"/>
      <c r="GU62" s="169"/>
      <c r="GV62" s="169"/>
      <c r="GW62" s="169"/>
      <c r="GX62" s="169"/>
      <c r="GY62" s="169"/>
      <c r="GZ62" s="169"/>
      <c r="HA62" s="169"/>
      <c r="HB62" s="169"/>
      <c r="HC62" s="169"/>
      <c r="HD62" s="169"/>
      <c r="HE62" s="169"/>
      <c r="HF62" s="169"/>
      <c r="HG62" s="169"/>
      <c r="HH62" s="169"/>
      <c r="HI62" s="169"/>
      <c r="HJ62" s="169"/>
      <c r="HK62" s="169"/>
      <c r="HL62" s="169"/>
      <c r="HM62" s="169"/>
      <c r="HN62" s="169"/>
      <c r="HO62" s="169"/>
      <c r="HP62" s="169"/>
      <c r="HQ62" s="169"/>
      <c r="HR62" s="169"/>
      <c r="HS62" s="169"/>
      <c r="HT62" s="169"/>
      <c r="HU62" s="169"/>
      <c r="HV62" s="169"/>
      <c r="HW62" s="169"/>
      <c r="HX62" s="169"/>
      <c r="HY62" s="169"/>
      <c r="HZ62" s="169"/>
      <c r="IA62" s="169"/>
      <c r="IB62" s="169"/>
      <c r="IC62" s="169"/>
      <c r="ID62" s="169"/>
      <c r="IE62" s="169"/>
      <c r="IF62" s="169"/>
      <c r="IG62" s="169"/>
      <c r="IH62" s="169"/>
      <c r="II62" s="169"/>
      <c r="IJ62" s="169"/>
      <c r="IK62" s="169"/>
      <c r="IL62" s="169"/>
      <c r="IM62" s="169"/>
      <c r="IN62" s="169"/>
      <c r="IO62" s="169"/>
      <c r="IP62" s="169"/>
      <c r="IQ62" s="169"/>
      <c r="IR62" s="169"/>
      <c r="IS62" s="169"/>
      <c r="IT62" s="169"/>
      <c r="IU62" s="169"/>
      <c r="IV62" s="169"/>
    </row>
    <row r="63" spans="1:256" ht="13.8" thickBot="1" x14ac:dyDescent="0.3">
      <c r="A63" s="1278" t="s">
        <v>43</v>
      </c>
      <c r="B63" s="322" t="s">
        <v>44</v>
      </c>
      <c r="C63" s="322" t="s">
        <v>60</v>
      </c>
      <c r="D63" s="322" t="s">
        <v>3</v>
      </c>
      <c r="E63" s="323" t="s">
        <v>45</v>
      </c>
      <c r="F63" s="322" t="s">
        <v>46</v>
      </c>
      <c r="G63" s="322" t="s">
        <v>17</v>
      </c>
      <c r="H63" s="322" t="s">
        <v>28</v>
      </c>
      <c r="I63" s="322" t="s">
        <v>61</v>
      </c>
      <c r="J63" s="323" t="s">
        <v>34</v>
      </c>
      <c r="K63" s="321" t="s">
        <v>62</v>
      </c>
      <c r="L63" s="323" t="s">
        <v>63</v>
      </c>
      <c r="M63" s="1279" t="s">
        <v>36</v>
      </c>
      <c r="N63" s="169"/>
      <c r="O63" s="169"/>
      <c r="P63" s="169"/>
      <c r="Q63" s="169"/>
      <c r="R63" s="169"/>
      <c r="S63" s="169"/>
      <c r="T63" s="169"/>
      <c r="U63" s="169"/>
      <c r="V63" s="169"/>
      <c r="W63" s="169"/>
      <c r="X63" s="169"/>
      <c r="Y63" s="169"/>
      <c r="Z63" s="169"/>
      <c r="AA63" s="169"/>
      <c r="AB63" s="169"/>
      <c r="AC63" s="169"/>
      <c r="AD63" s="169"/>
      <c r="AE63" s="169"/>
      <c r="AF63" s="169"/>
      <c r="AG63" s="169"/>
      <c r="AH63" s="169"/>
      <c r="AI63" s="169"/>
      <c r="AJ63" s="169"/>
      <c r="AK63" s="169"/>
      <c r="AL63" s="169"/>
      <c r="AM63" s="169"/>
      <c r="AN63" s="169"/>
      <c r="AO63" s="169"/>
      <c r="AP63" s="169"/>
      <c r="AQ63" s="169"/>
      <c r="AR63" s="169"/>
      <c r="AS63" s="169"/>
      <c r="AT63" s="169"/>
      <c r="AU63" s="169"/>
      <c r="AV63" s="169"/>
      <c r="AW63" s="169"/>
      <c r="AX63" s="169"/>
      <c r="AY63" s="169"/>
      <c r="AZ63" s="169"/>
      <c r="BA63" s="169"/>
      <c r="BB63" s="169"/>
      <c r="BC63" s="169"/>
      <c r="BD63" s="169"/>
      <c r="BE63" s="169"/>
      <c r="BF63" s="169"/>
      <c r="BG63" s="169"/>
      <c r="BH63" s="169"/>
      <c r="BI63" s="169"/>
      <c r="BJ63" s="169"/>
      <c r="BK63" s="169"/>
      <c r="BL63" s="169"/>
      <c r="BM63" s="169"/>
      <c r="BN63" s="169"/>
      <c r="BO63" s="169"/>
      <c r="BP63" s="169"/>
      <c r="BQ63" s="169"/>
      <c r="BR63" s="169"/>
      <c r="BS63" s="169"/>
      <c r="BT63" s="169"/>
      <c r="BU63" s="169"/>
      <c r="BV63" s="169"/>
      <c r="BW63" s="169"/>
      <c r="BX63" s="169"/>
      <c r="BY63" s="169"/>
      <c r="BZ63" s="169"/>
      <c r="CA63" s="169"/>
      <c r="CB63" s="169"/>
      <c r="CC63" s="169"/>
      <c r="CD63" s="169"/>
      <c r="CE63" s="169"/>
      <c r="CF63" s="169"/>
      <c r="CG63" s="169"/>
      <c r="CH63" s="169"/>
      <c r="CI63" s="169"/>
      <c r="CJ63" s="169"/>
      <c r="CK63" s="169"/>
      <c r="CL63" s="169"/>
      <c r="CM63" s="169"/>
      <c r="CN63" s="169"/>
      <c r="CO63" s="169"/>
      <c r="CP63" s="169"/>
      <c r="CQ63" s="169"/>
      <c r="CR63" s="169"/>
      <c r="CS63" s="169"/>
      <c r="CT63" s="169"/>
      <c r="CU63" s="169"/>
      <c r="CV63" s="169"/>
      <c r="CW63" s="169"/>
      <c r="CX63" s="169"/>
      <c r="CY63" s="169"/>
      <c r="CZ63" s="169"/>
      <c r="DA63" s="169"/>
      <c r="DB63" s="169"/>
      <c r="DC63" s="169"/>
      <c r="DD63" s="169"/>
      <c r="DE63" s="169"/>
      <c r="DF63" s="169"/>
      <c r="DG63" s="169"/>
      <c r="DH63" s="169"/>
      <c r="DI63" s="169"/>
      <c r="DJ63" s="169"/>
      <c r="DK63" s="169"/>
      <c r="DL63" s="169"/>
      <c r="DM63" s="169"/>
      <c r="DN63" s="169"/>
      <c r="DO63" s="169"/>
      <c r="DP63" s="169"/>
      <c r="DQ63" s="169"/>
      <c r="DR63" s="169"/>
      <c r="DS63" s="169"/>
      <c r="DT63" s="169"/>
      <c r="DU63" s="169"/>
      <c r="DV63" s="169"/>
      <c r="DW63" s="169"/>
      <c r="DX63" s="169"/>
      <c r="DY63" s="169"/>
      <c r="DZ63" s="169"/>
      <c r="EA63" s="169"/>
      <c r="EB63" s="169"/>
      <c r="EC63" s="169"/>
      <c r="ED63" s="169"/>
      <c r="EE63" s="169"/>
      <c r="EF63" s="169"/>
      <c r="EG63" s="169"/>
      <c r="EH63" s="169"/>
      <c r="EI63" s="169"/>
      <c r="EJ63" s="169"/>
      <c r="EK63" s="169"/>
      <c r="EL63" s="169"/>
      <c r="EM63" s="169"/>
      <c r="EN63" s="169"/>
      <c r="EO63" s="169"/>
      <c r="EP63" s="169"/>
      <c r="EQ63" s="169"/>
      <c r="ER63" s="169"/>
      <c r="ES63" s="169"/>
      <c r="ET63" s="169"/>
      <c r="EU63" s="169"/>
      <c r="EV63" s="169"/>
      <c r="EW63" s="169"/>
      <c r="EX63" s="169"/>
      <c r="EY63" s="169"/>
      <c r="EZ63" s="169"/>
      <c r="FA63" s="169"/>
      <c r="FB63" s="169"/>
      <c r="FC63" s="169"/>
      <c r="FD63" s="169"/>
      <c r="FE63" s="169"/>
      <c r="FF63" s="169"/>
      <c r="FG63" s="169"/>
      <c r="FH63" s="169"/>
      <c r="FI63" s="169"/>
      <c r="FJ63" s="169"/>
      <c r="FK63" s="169"/>
      <c r="FL63" s="169"/>
      <c r="FM63" s="169"/>
      <c r="FN63" s="169"/>
      <c r="FO63" s="169"/>
      <c r="FP63" s="169"/>
      <c r="FQ63" s="169"/>
      <c r="FR63" s="169"/>
      <c r="FS63" s="169"/>
      <c r="FT63" s="169"/>
      <c r="FU63" s="169"/>
      <c r="FV63" s="169"/>
      <c r="FW63" s="169"/>
      <c r="FX63" s="169"/>
      <c r="FY63" s="169"/>
      <c r="FZ63" s="169"/>
      <c r="GA63" s="169"/>
      <c r="GB63" s="169"/>
      <c r="GC63" s="169"/>
      <c r="GD63" s="169"/>
      <c r="GE63" s="169"/>
      <c r="GF63" s="169"/>
      <c r="GG63" s="169"/>
      <c r="GH63" s="169"/>
      <c r="GI63" s="169"/>
      <c r="GJ63" s="169"/>
      <c r="GK63" s="169"/>
      <c r="GL63" s="169"/>
      <c r="GM63" s="169"/>
      <c r="GN63" s="169"/>
      <c r="GO63" s="169"/>
      <c r="GP63" s="169"/>
      <c r="GQ63" s="169"/>
      <c r="GR63" s="169"/>
      <c r="GS63" s="169"/>
      <c r="GT63" s="169"/>
      <c r="GU63" s="169"/>
      <c r="GV63" s="169"/>
      <c r="GW63" s="169"/>
      <c r="GX63" s="169"/>
      <c r="GY63" s="169"/>
      <c r="GZ63" s="169"/>
      <c r="HA63" s="169"/>
      <c r="HB63" s="169"/>
      <c r="HC63" s="169"/>
      <c r="HD63" s="169"/>
      <c r="HE63" s="169"/>
      <c r="HF63" s="169"/>
      <c r="HG63" s="169"/>
      <c r="HH63" s="169"/>
      <c r="HI63" s="169"/>
      <c r="HJ63" s="169"/>
      <c r="HK63" s="169"/>
      <c r="HL63" s="169"/>
      <c r="HM63" s="169"/>
      <c r="HN63" s="169"/>
      <c r="HO63" s="169"/>
      <c r="HP63" s="169"/>
      <c r="HQ63" s="169"/>
      <c r="HR63" s="169"/>
      <c r="HS63" s="169"/>
      <c r="HT63" s="169"/>
      <c r="HU63" s="169"/>
      <c r="HV63" s="169"/>
      <c r="HW63" s="169"/>
      <c r="HX63" s="169"/>
      <c r="HY63" s="169"/>
      <c r="HZ63" s="169"/>
      <c r="IA63" s="169"/>
      <c r="IB63" s="169"/>
      <c r="IC63" s="169"/>
      <c r="ID63" s="169"/>
      <c r="IE63" s="169"/>
      <c r="IF63" s="169"/>
      <c r="IG63" s="169"/>
      <c r="IH63" s="169"/>
      <c r="II63" s="169"/>
      <c r="IJ63" s="169"/>
      <c r="IK63" s="169"/>
      <c r="IL63" s="169"/>
      <c r="IM63" s="169"/>
      <c r="IN63" s="169"/>
      <c r="IO63" s="169"/>
      <c r="IP63" s="169"/>
      <c r="IQ63" s="169"/>
      <c r="IR63" s="169"/>
      <c r="IS63" s="169"/>
      <c r="IT63" s="169"/>
      <c r="IU63" s="169"/>
      <c r="IV63" s="169"/>
    </row>
    <row r="64" spans="1:256" ht="13.8" x14ac:dyDescent="0.25">
      <c r="A64" s="1459" t="s">
        <v>1433</v>
      </c>
      <c r="B64" s="1460"/>
      <c r="C64" s="1461"/>
      <c r="D64" s="1462"/>
      <c r="E64" s="1463"/>
      <c r="F64" s="605"/>
      <c r="G64" s="606"/>
      <c r="H64" s="493"/>
      <c r="I64" s="493"/>
      <c r="J64" s="493"/>
      <c r="K64" s="605"/>
      <c r="L64" s="605"/>
      <c r="M64" s="607"/>
      <c r="N64" s="169"/>
      <c r="O64" s="169"/>
      <c r="P64" s="169"/>
      <c r="Q64" s="169"/>
      <c r="R64" s="169"/>
      <c r="S64" s="169"/>
      <c r="T64" s="169"/>
      <c r="U64" s="169"/>
      <c r="V64" s="169"/>
      <c r="W64" s="169"/>
      <c r="X64" s="169"/>
      <c r="Y64" s="169"/>
      <c r="Z64" s="169"/>
      <c r="AA64" s="169"/>
      <c r="AB64" s="169"/>
      <c r="AC64" s="169"/>
      <c r="AD64" s="169"/>
      <c r="AE64" s="169"/>
      <c r="AF64" s="169"/>
      <c r="AG64" s="169"/>
      <c r="AH64" s="169"/>
      <c r="AI64" s="169"/>
      <c r="AJ64" s="169"/>
      <c r="AK64" s="169"/>
      <c r="AL64" s="169"/>
      <c r="AM64" s="169"/>
      <c r="AN64" s="169"/>
      <c r="AO64" s="169"/>
      <c r="AP64" s="169"/>
      <c r="AQ64" s="169"/>
      <c r="AR64" s="169"/>
      <c r="AS64" s="169"/>
      <c r="AT64" s="169"/>
      <c r="AU64" s="169"/>
      <c r="AV64" s="169"/>
      <c r="AW64" s="169"/>
      <c r="AX64" s="169"/>
      <c r="AY64" s="169"/>
      <c r="AZ64" s="169"/>
      <c r="BA64" s="169"/>
      <c r="BB64" s="169"/>
      <c r="BC64" s="169"/>
      <c r="BD64" s="169"/>
      <c r="BE64" s="169"/>
      <c r="BF64" s="169"/>
      <c r="BG64" s="169"/>
      <c r="BH64" s="169"/>
      <c r="BI64" s="169"/>
      <c r="BJ64" s="169"/>
      <c r="BK64" s="169"/>
      <c r="BL64" s="169"/>
      <c r="BM64" s="169"/>
      <c r="BN64" s="169"/>
      <c r="BO64" s="169"/>
      <c r="BP64" s="169"/>
      <c r="BQ64" s="169"/>
      <c r="BR64" s="169"/>
      <c r="BS64" s="169"/>
      <c r="BT64" s="169"/>
      <c r="BU64" s="169"/>
      <c r="BV64" s="169"/>
      <c r="BW64" s="169"/>
      <c r="BX64" s="169"/>
      <c r="BY64" s="169"/>
      <c r="BZ64" s="169"/>
      <c r="CA64" s="169"/>
      <c r="CB64" s="169"/>
      <c r="CC64" s="169"/>
      <c r="CD64" s="169"/>
      <c r="CE64" s="169"/>
      <c r="CF64" s="169"/>
      <c r="CG64" s="169"/>
      <c r="CH64" s="169"/>
      <c r="CI64" s="169"/>
      <c r="CJ64" s="169"/>
      <c r="CK64" s="169"/>
      <c r="CL64" s="169"/>
      <c r="CM64" s="169"/>
      <c r="CN64" s="169"/>
      <c r="CO64" s="169"/>
      <c r="CP64" s="169"/>
      <c r="CQ64" s="169"/>
      <c r="CR64" s="169"/>
      <c r="CS64" s="169"/>
      <c r="CT64" s="169"/>
      <c r="CU64" s="169"/>
      <c r="CV64" s="169"/>
      <c r="CW64" s="169"/>
      <c r="CX64" s="169"/>
      <c r="CY64" s="169"/>
      <c r="CZ64" s="169"/>
      <c r="DA64" s="169"/>
      <c r="DB64" s="169"/>
      <c r="DC64" s="169"/>
      <c r="DD64" s="169"/>
      <c r="DE64" s="169"/>
      <c r="DF64" s="169"/>
      <c r="DG64" s="169"/>
      <c r="DH64" s="169"/>
      <c r="DI64" s="169"/>
      <c r="DJ64" s="169"/>
      <c r="DK64" s="169"/>
      <c r="DL64" s="169"/>
      <c r="DM64" s="169"/>
      <c r="DN64" s="169"/>
      <c r="DO64" s="169"/>
      <c r="DP64" s="169"/>
      <c r="DQ64" s="169"/>
      <c r="DR64" s="169"/>
      <c r="DS64" s="169"/>
      <c r="DT64" s="169"/>
      <c r="DU64" s="169"/>
      <c r="DV64" s="169"/>
      <c r="DW64" s="169"/>
      <c r="DX64" s="169"/>
      <c r="DY64" s="169"/>
      <c r="DZ64" s="169"/>
      <c r="EA64" s="169"/>
      <c r="EB64" s="169"/>
      <c r="EC64" s="169"/>
      <c r="ED64" s="169"/>
      <c r="EE64" s="169"/>
      <c r="EF64" s="169"/>
      <c r="EG64" s="169"/>
      <c r="EH64" s="169"/>
      <c r="EI64" s="169"/>
      <c r="EJ64" s="169"/>
      <c r="EK64" s="169"/>
      <c r="EL64" s="169"/>
      <c r="EM64" s="169"/>
      <c r="EN64" s="169"/>
      <c r="EO64" s="169"/>
      <c r="EP64" s="169"/>
      <c r="EQ64" s="169"/>
      <c r="ER64" s="169"/>
      <c r="ES64" s="169"/>
      <c r="ET64" s="169"/>
      <c r="EU64" s="169"/>
      <c r="EV64" s="169"/>
      <c r="EW64" s="169"/>
      <c r="EX64" s="169"/>
      <c r="EY64" s="169"/>
      <c r="EZ64" s="169"/>
      <c r="FA64" s="169"/>
      <c r="FB64" s="169"/>
      <c r="FC64" s="169"/>
      <c r="FD64" s="169"/>
      <c r="FE64" s="169"/>
      <c r="FF64" s="169"/>
      <c r="FG64" s="169"/>
      <c r="FH64" s="169"/>
      <c r="FI64" s="169"/>
      <c r="FJ64" s="169"/>
      <c r="FK64" s="169"/>
      <c r="FL64" s="169"/>
      <c r="FM64" s="169"/>
      <c r="FN64" s="169"/>
      <c r="FO64" s="169"/>
      <c r="FP64" s="169"/>
      <c r="FQ64" s="169"/>
      <c r="FR64" s="169"/>
      <c r="FS64" s="169"/>
      <c r="FT64" s="169"/>
      <c r="FU64" s="169"/>
      <c r="FV64" s="169"/>
      <c r="FW64" s="169"/>
      <c r="FX64" s="169"/>
      <c r="FY64" s="169"/>
      <c r="FZ64" s="169"/>
      <c r="GA64" s="169"/>
      <c r="GB64" s="169"/>
      <c r="GC64" s="169"/>
      <c r="GD64" s="169"/>
      <c r="GE64" s="169"/>
      <c r="GF64" s="169"/>
      <c r="GG64" s="169"/>
      <c r="GH64" s="169"/>
      <c r="GI64" s="169"/>
      <c r="GJ64" s="169"/>
      <c r="GK64" s="169"/>
      <c r="GL64" s="169"/>
      <c r="GM64" s="169"/>
      <c r="GN64" s="169"/>
      <c r="GO64" s="169"/>
      <c r="GP64" s="169"/>
      <c r="GQ64" s="169"/>
      <c r="GR64" s="169"/>
      <c r="GS64" s="169"/>
      <c r="GT64" s="169"/>
      <c r="GU64" s="169"/>
      <c r="GV64" s="169"/>
      <c r="GW64" s="169"/>
      <c r="GX64" s="169"/>
      <c r="GY64" s="169"/>
      <c r="GZ64" s="169"/>
      <c r="HA64" s="169"/>
      <c r="HB64" s="169"/>
      <c r="HC64" s="169"/>
      <c r="HD64" s="169"/>
      <c r="HE64" s="169"/>
      <c r="HF64" s="169"/>
      <c r="HG64" s="169"/>
      <c r="HH64" s="169"/>
      <c r="HI64" s="169"/>
      <c r="HJ64" s="169"/>
      <c r="HK64" s="169"/>
      <c r="HL64" s="169"/>
      <c r="HM64" s="169"/>
      <c r="HN64" s="169"/>
      <c r="HO64" s="169"/>
      <c r="HP64" s="169"/>
      <c r="HQ64" s="169"/>
      <c r="HR64" s="169"/>
      <c r="HS64" s="169"/>
      <c r="HT64" s="169"/>
      <c r="HU64" s="169"/>
      <c r="HV64" s="169"/>
      <c r="HW64" s="169"/>
      <c r="HX64" s="169"/>
      <c r="HY64" s="169"/>
      <c r="HZ64" s="169"/>
      <c r="IA64" s="169"/>
      <c r="IB64" s="169"/>
      <c r="IC64" s="169"/>
      <c r="ID64" s="169"/>
      <c r="IE64" s="169"/>
      <c r="IF64" s="169"/>
      <c r="IG64" s="169"/>
      <c r="IH64" s="169"/>
      <c r="II64" s="169"/>
      <c r="IJ64" s="169"/>
      <c r="IK64" s="169"/>
      <c r="IL64" s="169"/>
      <c r="IM64" s="169"/>
      <c r="IN64" s="169"/>
      <c r="IO64" s="169"/>
      <c r="IP64" s="169"/>
      <c r="IQ64" s="169"/>
      <c r="IR64" s="169"/>
      <c r="IS64" s="169"/>
      <c r="IT64" s="169"/>
      <c r="IU64" s="169"/>
      <c r="IV64" s="169"/>
    </row>
    <row r="65" spans="1:256" ht="15" x14ac:dyDescent="0.25">
      <c r="A65" s="1307"/>
      <c r="B65" s="1308"/>
      <c r="C65" s="1260"/>
      <c r="D65" s="1261"/>
      <c r="E65" s="1261"/>
      <c r="F65" s="1262"/>
      <c r="G65" s="1263"/>
      <c r="H65" s="1262"/>
      <c r="I65" s="1262"/>
      <c r="J65" s="1264"/>
      <c r="K65" s="1262"/>
      <c r="L65" s="1262"/>
      <c r="M65" s="1265"/>
      <c r="N65" s="169"/>
      <c r="O65" s="169"/>
      <c r="P65" s="169"/>
      <c r="Q65" s="169"/>
      <c r="R65" s="169"/>
      <c r="S65" s="169"/>
      <c r="T65" s="169"/>
      <c r="U65" s="169"/>
      <c r="V65" s="169"/>
      <c r="W65" s="169"/>
      <c r="X65" s="169"/>
      <c r="Y65" s="169"/>
      <c r="Z65" s="169"/>
      <c r="AA65" s="169"/>
      <c r="AB65" s="169"/>
      <c r="AC65" s="169"/>
      <c r="AD65" s="169"/>
      <c r="AE65" s="169"/>
      <c r="AF65" s="169"/>
      <c r="AG65" s="169"/>
      <c r="AH65" s="169"/>
      <c r="AI65" s="169"/>
      <c r="AJ65" s="169"/>
      <c r="AK65" s="169"/>
      <c r="AL65" s="169"/>
      <c r="AM65" s="169"/>
      <c r="AN65" s="169"/>
      <c r="AO65" s="169"/>
      <c r="AP65" s="169"/>
      <c r="AQ65" s="169"/>
      <c r="AR65" s="169"/>
      <c r="AS65" s="169"/>
      <c r="AT65" s="169"/>
      <c r="AU65" s="169"/>
      <c r="AV65" s="169"/>
      <c r="AW65" s="169"/>
      <c r="AX65" s="169"/>
      <c r="AY65" s="169"/>
      <c r="AZ65" s="169"/>
      <c r="BA65" s="169"/>
      <c r="BB65" s="169"/>
      <c r="BC65" s="169"/>
      <c r="BD65" s="169"/>
      <c r="BE65" s="169"/>
      <c r="BF65" s="169"/>
      <c r="BG65" s="169"/>
      <c r="BH65" s="169"/>
      <c r="BI65" s="169"/>
      <c r="BJ65" s="169"/>
      <c r="BK65" s="169"/>
      <c r="BL65" s="169"/>
      <c r="BM65" s="169"/>
      <c r="BN65" s="169"/>
      <c r="BO65" s="169"/>
      <c r="BP65" s="169"/>
      <c r="BQ65" s="169"/>
      <c r="BR65" s="169"/>
      <c r="BS65" s="169"/>
      <c r="BT65" s="169"/>
      <c r="BU65" s="169"/>
      <c r="BV65" s="169"/>
      <c r="BW65" s="169"/>
      <c r="BX65" s="169"/>
      <c r="BY65" s="169"/>
      <c r="BZ65" s="169"/>
      <c r="CA65" s="169"/>
      <c r="CB65" s="169"/>
      <c r="CC65" s="169"/>
      <c r="CD65" s="169"/>
      <c r="CE65" s="169"/>
      <c r="CF65" s="169"/>
      <c r="CG65" s="169"/>
      <c r="CH65" s="169"/>
      <c r="CI65" s="169"/>
      <c r="CJ65" s="169"/>
      <c r="CK65" s="169"/>
      <c r="CL65" s="169"/>
      <c r="CM65" s="169"/>
      <c r="CN65" s="169"/>
      <c r="CO65" s="169"/>
      <c r="CP65" s="169"/>
      <c r="CQ65" s="169"/>
      <c r="CR65" s="169"/>
      <c r="CS65" s="169"/>
      <c r="CT65" s="169"/>
      <c r="CU65" s="169"/>
      <c r="CV65" s="169"/>
      <c r="CW65" s="169"/>
      <c r="CX65" s="169"/>
      <c r="CY65" s="169"/>
      <c r="CZ65" s="169"/>
      <c r="DA65" s="169"/>
      <c r="DB65" s="169"/>
      <c r="DC65" s="169"/>
      <c r="DD65" s="169"/>
      <c r="DE65" s="169"/>
      <c r="DF65" s="169"/>
      <c r="DG65" s="169"/>
      <c r="DH65" s="169"/>
      <c r="DI65" s="169"/>
      <c r="DJ65" s="169"/>
      <c r="DK65" s="169"/>
      <c r="DL65" s="169"/>
      <c r="DM65" s="169"/>
      <c r="DN65" s="169"/>
      <c r="DO65" s="169"/>
      <c r="DP65" s="169"/>
      <c r="DQ65" s="169"/>
      <c r="DR65" s="169"/>
      <c r="DS65" s="169"/>
      <c r="DT65" s="169"/>
      <c r="DU65" s="169"/>
      <c r="DV65" s="169"/>
      <c r="DW65" s="169"/>
      <c r="DX65" s="169"/>
      <c r="DY65" s="169"/>
      <c r="DZ65" s="169"/>
      <c r="EA65" s="169"/>
      <c r="EB65" s="169"/>
      <c r="EC65" s="169"/>
      <c r="ED65" s="169"/>
      <c r="EE65" s="169"/>
      <c r="EF65" s="169"/>
      <c r="EG65" s="169"/>
      <c r="EH65" s="169"/>
      <c r="EI65" s="169"/>
      <c r="EJ65" s="169"/>
      <c r="EK65" s="169"/>
      <c r="EL65" s="169"/>
      <c r="EM65" s="169"/>
      <c r="EN65" s="169"/>
      <c r="EO65" s="169"/>
      <c r="EP65" s="169"/>
      <c r="EQ65" s="169"/>
      <c r="ER65" s="169"/>
      <c r="ES65" s="169"/>
      <c r="ET65" s="169"/>
      <c r="EU65" s="169"/>
      <c r="EV65" s="169"/>
      <c r="EW65" s="169"/>
      <c r="EX65" s="169"/>
      <c r="EY65" s="169"/>
      <c r="EZ65" s="169"/>
      <c r="FA65" s="169"/>
      <c r="FB65" s="169"/>
      <c r="FC65" s="169"/>
      <c r="FD65" s="169"/>
      <c r="FE65" s="169"/>
      <c r="FF65" s="169"/>
      <c r="FG65" s="169"/>
      <c r="FH65" s="169"/>
      <c r="FI65" s="169"/>
      <c r="FJ65" s="169"/>
      <c r="FK65" s="169"/>
      <c r="FL65" s="169"/>
      <c r="FM65" s="169"/>
      <c r="FN65" s="169"/>
      <c r="FO65" s="169"/>
      <c r="FP65" s="169"/>
      <c r="FQ65" s="169"/>
      <c r="FR65" s="169"/>
      <c r="FS65" s="169"/>
      <c r="FT65" s="169"/>
      <c r="FU65" s="169"/>
      <c r="FV65" s="169"/>
      <c r="FW65" s="169"/>
      <c r="FX65" s="169"/>
      <c r="FY65" s="169"/>
      <c r="FZ65" s="169"/>
      <c r="GA65" s="169"/>
      <c r="GB65" s="169"/>
      <c r="GC65" s="169"/>
      <c r="GD65" s="169"/>
      <c r="GE65" s="169"/>
      <c r="GF65" s="169"/>
      <c r="GG65" s="169"/>
      <c r="GH65" s="169"/>
      <c r="GI65" s="169"/>
      <c r="GJ65" s="169"/>
      <c r="GK65" s="169"/>
      <c r="GL65" s="169"/>
      <c r="GM65" s="169"/>
      <c r="GN65" s="169"/>
      <c r="GO65" s="169"/>
      <c r="GP65" s="169"/>
      <c r="GQ65" s="169"/>
      <c r="GR65" s="169"/>
      <c r="GS65" s="169"/>
      <c r="GT65" s="169"/>
      <c r="GU65" s="169"/>
      <c r="GV65" s="169"/>
      <c r="GW65" s="169"/>
      <c r="GX65" s="169"/>
      <c r="GY65" s="169"/>
      <c r="GZ65" s="169"/>
      <c r="HA65" s="169"/>
      <c r="HB65" s="169"/>
      <c r="HC65" s="169"/>
      <c r="HD65" s="169"/>
      <c r="HE65" s="169"/>
      <c r="HF65" s="169"/>
      <c r="HG65" s="169"/>
      <c r="HH65" s="169"/>
      <c r="HI65" s="169"/>
      <c r="HJ65" s="169"/>
      <c r="HK65" s="169"/>
      <c r="HL65" s="169"/>
      <c r="HM65" s="169"/>
      <c r="HN65" s="169"/>
      <c r="HO65" s="169"/>
      <c r="HP65" s="169"/>
      <c r="HQ65" s="169"/>
      <c r="HR65" s="169"/>
      <c r="HS65" s="169"/>
      <c r="HT65" s="169"/>
      <c r="HU65" s="169"/>
      <c r="HV65" s="169"/>
      <c r="HW65" s="169"/>
      <c r="HX65" s="169"/>
      <c r="HY65" s="169"/>
      <c r="HZ65" s="169"/>
      <c r="IA65" s="169"/>
      <c r="IB65" s="169"/>
      <c r="IC65" s="169"/>
      <c r="ID65" s="169"/>
      <c r="IE65" s="169"/>
      <c r="IF65" s="169"/>
      <c r="IG65" s="169"/>
      <c r="IH65" s="169"/>
      <c r="II65" s="169"/>
      <c r="IJ65" s="169"/>
      <c r="IK65" s="169"/>
      <c r="IL65" s="169"/>
      <c r="IM65" s="169"/>
      <c r="IN65" s="169"/>
      <c r="IO65" s="169"/>
      <c r="IP65" s="169"/>
      <c r="IQ65" s="169"/>
      <c r="IR65" s="169"/>
      <c r="IS65" s="169"/>
      <c r="IT65" s="169"/>
      <c r="IU65" s="169"/>
      <c r="IV65" s="169"/>
    </row>
    <row r="66" spans="1:256" ht="15" x14ac:dyDescent="0.25">
      <c r="A66" s="1309">
        <v>2</v>
      </c>
      <c r="B66" s="1310">
        <v>44712</v>
      </c>
      <c r="C66" s="1266">
        <v>0</v>
      </c>
      <c r="D66" s="1267">
        <v>44708</v>
      </c>
      <c r="E66" s="1268">
        <v>21696.84</v>
      </c>
      <c r="F66" s="1269">
        <v>0.44900000000000001</v>
      </c>
      <c r="G66" s="1270">
        <v>0.64920999999999995</v>
      </c>
      <c r="H66" s="1271">
        <v>811.32</v>
      </c>
      <c r="I66" s="1271">
        <f>I57</f>
        <v>948.77</v>
      </c>
      <c r="J66" s="1271">
        <f t="shared" ref="J66:J72" si="11">J52</f>
        <v>946.24</v>
      </c>
      <c r="K66" s="1272">
        <f>ROUND($E$66*$H$66/I66,2)</f>
        <v>18553.580000000002</v>
      </c>
      <c r="L66" s="1272">
        <f t="shared" ref="L66:L71" si="12">ROUND($F$37*$G$37*C66,2)</f>
        <v>0</v>
      </c>
      <c r="M66" s="1273">
        <f t="shared" ref="M66:M71" si="13">ROUND(L66*(J66-I66)/$H$37,2)</f>
        <v>0</v>
      </c>
      <c r="N66" s="175"/>
      <c r="O66" s="175"/>
      <c r="P66" s="175"/>
      <c r="Q66" s="175"/>
      <c r="R66" s="175"/>
      <c r="S66" s="175"/>
      <c r="T66" s="175"/>
      <c r="U66" s="175"/>
      <c r="V66" s="175"/>
      <c r="W66" s="175"/>
      <c r="X66" s="175"/>
      <c r="Y66" s="175"/>
      <c r="Z66" s="175"/>
      <c r="AA66" s="175"/>
      <c r="AB66" s="175"/>
      <c r="AC66" s="175"/>
      <c r="AD66" s="175"/>
      <c r="AE66" s="175"/>
      <c r="AF66" s="169"/>
      <c r="AG66" s="169"/>
      <c r="AH66" s="169"/>
      <c r="AI66" s="169"/>
      <c r="AJ66" s="169"/>
      <c r="AK66" s="169"/>
      <c r="AL66" s="169"/>
      <c r="AM66" s="169"/>
      <c r="AN66" s="169"/>
      <c r="AO66" s="169"/>
      <c r="AP66" s="169"/>
      <c r="AQ66" s="169"/>
      <c r="AR66" s="169"/>
      <c r="AS66" s="169"/>
      <c r="AT66" s="169"/>
      <c r="AU66" s="169"/>
      <c r="AV66" s="169"/>
      <c r="AW66" s="169"/>
      <c r="AX66" s="169"/>
      <c r="AY66" s="169"/>
      <c r="AZ66" s="169"/>
      <c r="BA66" s="169"/>
      <c r="BB66" s="169"/>
      <c r="BC66" s="169"/>
      <c r="BD66" s="169"/>
      <c r="BE66" s="169"/>
      <c r="BF66" s="169"/>
      <c r="BG66" s="169"/>
      <c r="BH66" s="169"/>
      <c r="BI66" s="169"/>
      <c r="BJ66" s="169"/>
      <c r="BK66" s="169"/>
      <c r="BL66" s="169"/>
      <c r="BM66" s="169"/>
      <c r="BN66" s="169"/>
      <c r="BO66" s="169"/>
      <c r="BP66" s="169"/>
      <c r="BQ66" s="169"/>
      <c r="BR66" s="169"/>
      <c r="BS66" s="169"/>
      <c r="BT66" s="169"/>
      <c r="BU66" s="169"/>
      <c r="BV66" s="169"/>
      <c r="BW66" s="169"/>
      <c r="BX66" s="169"/>
      <c r="BY66" s="169"/>
      <c r="BZ66" s="169"/>
      <c r="CA66" s="169"/>
      <c r="CB66" s="169"/>
      <c r="CC66" s="169"/>
      <c r="CD66" s="169"/>
      <c r="CE66" s="169"/>
      <c r="CF66" s="169"/>
      <c r="CG66" s="169"/>
      <c r="CH66" s="169"/>
      <c r="CI66" s="169"/>
      <c r="CJ66" s="169"/>
      <c r="CK66" s="169"/>
      <c r="CL66" s="169"/>
      <c r="CM66" s="169"/>
      <c r="CN66" s="169"/>
      <c r="CO66" s="169"/>
      <c r="CP66" s="169"/>
      <c r="CQ66" s="169"/>
      <c r="CR66" s="169"/>
      <c r="CS66" s="169"/>
      <c r="CT66" s="169"/>
      <c r="CU66" s="169"/>
      <c r="CV66" s="169"/>
      <c r="CW66" s="169"/>
      <c r="CX66" s="169"/>
      <c r="CY66" s="169"/>
      <c r="CZ66" s="169"/>
      <c r="DA66" s="169"/>
      <c r="DB66" s="169"/>
      <c r="DC66" s="169"/>
      <c r="DD66" s="169"/>
      <c r="DE66" s="169"/>
      <c r="DF66" s="169"/>
      <c r="DG66" s="169"/>
      <c r="DH66" s="169"/>
      <c r="DI66" s="169"/>
      <c r="DJ66" s="169"/>
      <c r="DK66" s="169"/>
      <c r="DL66" s="169"/>
      <c r="DM66" s="169"/>
      <c r="DN66" s="169"/>
      <c r="DO66" s="169"/>
      <c r="DP66" s="169"/>
      <c r="DQ66" s="169"/>
      <c r="DR66" s="169"/>
      <c r="DS66" s="169"/>
      <c r="DT66" s="169"/>
      <c r="DU66" s="169"/>
      <c r="DV66" s="169"/>
      <c r="DW66" s="169"/>
      <c r="DX66" s="169"/>
      <c r="DY66" s="169"/>
      <c r="DZ66" s="169"/>
      <c r="EA66" s="169"/>
      <c r="EB66" s="169"/>
      <c r="EC66" s="169"/>
      <c r="ED66" s="169"/>
      <c r="EE66" s="169"/>
      <c r="EF66" s="169"/>
      <c r="EG66" s="169"/>
      <c r="EH66" s="169"/>
      <c r="EI66" s="169"/>
      <c r="EJ66" s="169"/>
      <c r="EK66" s="169"/>
      <c r="EL66" s="169"/>
      <c r="EM66" s="169"/>
      <c r="EN66" s="169"/>
      <c r="EO66" s="169"/>
      <c r="EP66" s="169"/>
      <c r="EQ66" s="169"/>
      <c r="ER66" s="169"/>
      <c r="ES66" s="169"/>
      <c r="ET66" s="169"/>
      <c r="EU66" s="169"/>
      <c r="EV66" s="169"/>
      <c r="EW66" s="169"/>
      <c r="EX66" s="169"/>
      <c r="EY66" s="169"/>
      <c r="EZ66" s="169"/>
      <c r="FA66" s="169"/>
      <c r="FB66" s="169"/>
      <c r="FC66" s="169"/>
      <c r="FD66" s="169"/>
      <c r="FE66" s="169"/>
      <c r="FF66" s="169"/>
      <c r="FG66" s="169"/>
      <c r="FH66" s="169"/>
      <c r="FI66" s="169"/>
      <c r="FJ66" s="169"/>
      <c r="FK66" s="169"/>
      <c r="FL66" s="169"/>
      <c r="FM66" s="169"/>
      <c r="FN66" s="169"/>
      <c r="FO66" s="169"/>
      <c r="FP66" s="169"/>
      <c r="FQ66" s="169"/>
      <c r="FR66" s="169"/>
      <c r="FS66" s="169"/>
      <c r="FT66" s="169"/>
      <c r="FU66" s="169"/>
      <c r="FV66" s="169"/>
      <c r="FW66" s="169"/>
      <c r="FX66" s="169"/>
      <c r="FY66" s="169"/>
      <c r="FZ66" s="169"/>
      <c r="GA66" s="169"/>
      <c r="GB66" s="169"/>
      <c r="GC66" s="169"/>
      <c r="GD66" s="169"/>
      <c r="GE66" s="169"/>
      <c r="GF66" s="169"/>
      <c r="GG66" s="169"/>
      <c r="GH66" s="169"/>
      <c r="GI66" s="169"/>
      <c r="GJ66" s="169"/>
      <c r="GK66" s="169"/>
      <c r="GL66" s="169"/>
      <c r="GM66" s="169"/>
      <c r="GN66" s="169"/>
      <c r="GO66" s="169"/>
      <c r="GP66" s="169"/>
      <c r="GQ66" s="169"/>
      <c r="GR66" s="169"/>
      <c r="GS66" s="169"/>
      <c r="GT66" s="169"/>
      <c r="GU66" s="169"/>
      <c r="GV66" s="169"/>
      <c r="GW66" s="169"/>
      <c r="GX66" s="169"/>
      <c r="GY66" s="169"/>
      <c r="GZ66" s="169"/>
      <c r="HA66" s="169"/>
      <c r="HB66" s="169"/>
      <c r="HC66" s="169"/>
      <c r="HD66" s="169"/>
      <c r="HE66" s="169"/>
      <c r="HF66" s="169"/>
      <c r="HG66" s="169"/>
      <c r="HH66" s="169"/>
      <c r="HI66" s="169"/>
      <c r="HJ66" s="169"/>
      <c r="HK66" s="169"/>
      <c r="HL66" s="169"/>
      <c r="HM66" s="169"/>
      <c r="HN66" s="169"/>
      <c r="HO66" s="169"/>
      <c r="HP66" s="169"/>
      <c r="HQ66" s="169"/>
      <c r="HR66" s="169"/>
      <c r="HS66" s="169"/>
      <c r="HT66" s="169"/>
      <c r="HU66" s="169"/>
      <c r="HV66" s="169"/>
      <c r="HW66" s="169"/>
      <c r="HX66" s="169"/>
      <c r="HY66" s="169"/>
      <c r="HZ66" s="169"/>
      <c r="IA66" s="169"/>
      <c r="IB66" s="169"/>
      <c r="IC66" s="169"/>
      <c r="ID66" s="169"/>
      <c r="IE66" s="169"/>
      <c r="IF66" s="169"/>
      <c r="IG66" s="169"/>
      <c r="IH66" s="169"/>
      <c r="II66" s="169"/>
      <c r="IJ66" s="169"/>
      <c r="IK66" s="169"/>
      <c r="IL66" s="169"/>
      <c r="IM66" s="169"/>
      <c r="IN66" s="169"/>
      <c r="IO66" s="169"/>
      <c r="IP66" s="169"/>
      <c r="IQ66" s="169"/>
      <c r="IR66" s="169"/>
      <c r="IS66" s="169"/>
      <c r="IT66" s="169"/>
      <c r="IU66" s="169"/>
      <c r="IV66" s="169"/>
    </row>
    <row r="67" spans="1:256" ht="15" x14ac:dyDescent="0.25">
      <c r="A67" s="1309">
        <v>3</v>
      </c>
      <c r="B67" s="1310">
        <v>44742</v>
      </c>
      <c r="C67" s="1266">
        <v>0</v>
      </c>
      <c r="D67" s="1267">
        <v>44708</v>
      </c>
      <c r="E67" s="1268">
        <v>21696.84</v>
      </c>
      <c r="F67" s="1269">
        <v>0.44900000000000001</v>
      </c>
      <c r="G67" s="1270">
        <v>0.64920999999999995</v>
      </c>
      <c r="H67" s="1271">
        <v>811.32</v>
      </c>
      <c r="I67" s="1271">
        <f>I66</f>
        <v>948.77</v>
      </c>
      <c r="J67" s="1271">
        <f t="shared" si="11"/>
        <v>985.34</v>
      </c>
      <c r="K67" s="1272">
        <f t="shared" ref="K67:K68" si="14">ROUND($E$66*$H$66/I67,2)</f>
        <v>18553.580000000002</v>
      </c>
      <c r="L67" s="1272">
        <f t="shared" si="12"/>
        <v>0</v>
      </c>
      <c r="M67" s="1273">
        <f t="shared" si="13"/>
        <v>0</v>
      </c>
      <c r="N67" s="175"/>
      <c r="O67" s="175"/>
      <c r="P67" s="175"/>
      <c r="Q67" s="175"/>
      <c r="R67" s="175"/>
      <c r="S67" s="175"/>
      <c r="T67" s="175"/>
      <c r="U67" s="175"/>
      <c r="V67" s="175"/>
      <c r="W67" s="175"/>
      <c r="X67" s="175"/>
      <c r="Y67" s="175"/>
      <c r="Z67" s="175"/>
      <c r="AA67" s="175"/>
      <c r="AB67" s="175"/>
      <c r="AC67" s="175"/>
      <c r="AD67" s="175"/>
      <c r="AE67" s="175"/>
      <c r="AF67" s="169"/>
      <c r="AG67" s="169"/>
      <c r="AH67" s="169"/>
      <c r="AI67" s="169"/>
      <c r="AJ67" s="169"/>
      <c r="AK67" s="169"/>
      <c r="AL67" s="169"/>
      <c r="AM67" s="169"/>
      <c r="AN67" s="169"/>
      <c r="AO67" s="169"/>
      <c r="AP67" s="169"/>
      <c r="AQ67" s="169"/>
      <c r="AR67" s="169"/>
      <c r="AS67" s="169"/>
      <c r="AT67" s="169"/>
      <c r="AU67" s="169"/>
      <c r="AV67" s="169"/>
      <c r="AW67" s="169"/>
      <c r="AX67" s="169"/>
      <c r="AY67" s="169"/>
      <c r="AZ67" s="169"/>
      <c r="BA67" s="169"/>
      <c r="BB67" s="169"/>
      <c r="BC67" s="169"/>
      <c r="BD67" s="169"/>
      <c r="BE67" s="169"/>
      <c r="BF67" s="169"/>
      <c r="BG67" s="169"/>
      <c r="BH67" s="169"/>
      <c r="BI67" s="169"/>
      <c r="BJ67" s="169"/>
      <c r="BK67" s="169"/>
      <c r="BL67" s="169"/>
      <c r="BM67" s="169"/>
      <c r="BN67" s="169"/>
      <c r="BO67" s="169"/>
      <c r="BP67" s="169"/>
      <c r="BQ67" s="169"/>
      <c r="BR67" s="169"/>
      <c r="BS67" s="169"/>
      <c r="BT67" s="169"/>
      <c r="BU67" s="169"/>
      <c r="BV67" s="169"/>
      <c r="BW67" s="169"/>
      <c r="BX67" s="169"/>
      <c r="BY67" s="169"/>
      <c r="BZ67" s="169"/>
      <c r="CA67" s="169"/>
      <c r="CB67" s="169"/>
      <c r="CC67" s="169"/>
      <c r="CD67" s="169"/>
      <c r="CE67" s="169"/>
      <c r="CF67" s="169"/>
      <c r="CG67" s="169"/>
      <c r="CH67" s="169"/>
      <c r="CI67" s="169"/>
      <c r="CJ67" s="169"/>
      <c r="CK67" s="169"/>
      <c r="CL67" s="169"/>
      <c r="CM67" s="169"/>
      <c r="CN67" s="169"/>
      <c r="CO67" s="169"/>
      <c r="CP67" s="169"/>
      <c r="CQ67" s="169"/>
      <c r="CR67" s="169"/>
      <c r="CS67" s="169"/>
      <c r="CT67" s="169"/>
      <c r="CU67" s="169"/>
      <c r="CV67" s="169"/>
      <c r="CW67" s="169"/>
      <c r="CX67" s="169"/>
      <c r="CY67" s="169"/>
      <c r="CZ67" s="169"/>
      <c r="DA67" s="169"/>
      <c r="DB67" s="169"/>
      <c r="DC67" s="169"/>
      <c r="DD67" s="169"/>
      <c r="DE67" s="169"/>
      <c r="DF67" s="169"/>
      <c r="DG67" s="169"/>
      <c r="DH67" s="169"/>
      <c r="DI67" s="169"/>
      <c r="DJ67" s="169"/>
      <c r="DK67" s="169"/>
      <c r="DL67" s="169"/>
      <c r="DM67" s="169"/>
      <c r="DN67" s="169"/>
      <c r="DO67" s="169"/>
      <c r="DP67" s="169"/>
      <c r="DQ67" s="169"/>
      <c r="DR67" s="169"/>
      <c r="DS67" s="169"/>
      <c r="DT67" s="169"/>
      <c r="DU67" s="169"/>
      <c r="DV67" s="169"/>
      <c r="DW67" s="169"/>
      <c r="DX67" s="169"/>
      <c r="DY67" s="169"/>
      <c r="DZ67" s="169"/>
      <c r="EA67" s="169"/>
      <c r="EB67" s="169"/>
      <c r="EC67" s="169"/>
      <c r="ED67" s="169"/>
      <c r="EE67" s="169"/>
      <c r="EF67" s="169"/>
      <c r="EG67" s="169"/>
      <c r="EH67" s="169"/>
      <c r="EI67" s="169"/>
      <c r="EJ67" s="169"/>
      <c r="EK67" s="169"/>
      <c r="EL67" s="169"/>
      <c r="EM67" s="169"/>
      <c r="EN67" s="169"/>
      <c r="EO67" s="169"/>
      <c r="EP67" s="169"/>
      <c r="EQ67" s="169"/>
      <c r="ER67" s="169"/>
      <c r="ES67" s="169"/>
      <c r="ET67" s="169"/>
      <c r="EU67" s="169"/>
      <c r="EV67" s="169"/>
      <c r="EW67" s="169"/>
      <c r="EX67" s="169"/>
      <c r="EY67" s="169"/>
      <c r="EZ67" s="169"/>
      <c r="FA67" s="169"/>
      <c r="FB67" s="169"/>
      <c r="FC67" s="169"/>
      <c r="FD67" s="169"/>
      <c r="FE67" s="169"/>
      <c r="FF67" s="169"/>
      <c r="FG67" s="169"/>
      <c r="FH67" s="169"/>
      <c r="FI67" s="169"/>
      <c r="FJ67" s="169"/>
      <c r="FK67" s="169"/>
      <c r="FL67" s="169"/>
      <c r="FM67" s="169"/>
      <c r="FN67" s="169"/>
      <c r="FO67" s="169"/>
      <c r="FP67" s="169"/>
      <c r="FQ67" s="169"/>
      <c r="FR67" s="169"/>
      <c r="FS67" s="169"/>
      <c r="FT67" s="169"/>
      <c r="FU67" s="169"/>
      <c r="FV67" s="169"/>
      <c r="FW67" s="169"/>
      <c r="FX67" s="169"/>
      <c r="FY67" s="169"/>
      <c r="FZ67" s="169"/>
      <c r="GA67" s="169"/>
      <c r="GB67" s="169"/>
      <c r="GC67" s="169"/>
      <c r="GD67" s="169"/>
      <c r="GE67" s="169"/>
      <c r="GF67" s="169"/>
      <c r="GG67" s="169"/>
      <c r="GH67" s="169"/>
      <c r="GI67" s="169"/>
      <c r="GJ67" s="169"/>
      <c r="GK67" s="169"/>
      <c r="GL67" s="169"/>
      <c r="GM67" s="169"/>
      <c r="GN67" s="169"/>
      <c r="GO67" s="169"/>
      <c r="GP67" s="169"/>
      <c r="GQ67" s="169"/>
      <c r="GR67" s="169"/>
      <c r="GS67" s="169"/>
      <c r="GT67" s="169"/>
      <c r="GU67" s="169"/>
      <c r="GV67" s="169"/>
      <c r="GW67" s="169"/>
      <c r="GX67" s="169"/>
      <c r="GY67" s="169"/>
      <c r="GZ67" s="169"/>
      <c r="HA67" s="169"/>
      <c r="HB67" s="169"/>
      <c r="HC67" s="169"/>
      <c r="HD67" s="169"/>
      <c r="HE67" s="169"/>
      <c r="HF67" s="169"/>
      <c r="HG67" s="169"/>
      <c r="HH67" s="169"/>
      <c r="HI67" s="169"/>
      <c r="HJ67" s="169"/>
      <c r="HK67" s="169"/>
      <c r="HL67" s="169"/>
      <c r="HM67" s="169"/>
      <c r="HN67" s="169"/>
      <c r="HO67" s="169"/>
      <c r="HP67" s="169"/>
      <c r="HQ67" s="169"/>
      <c r="HR67" s="169"/>
      <c r="HS67" s="169"/>
      <c r="HT67" s="169"/>
      <c r="HU67" s="169"/>
      <c r="HV67" s="169"/>
      <c r="HW67" s="169"/>
      <c r="HX67" s="169"/>
      <c r="HY67" s="169"/>
      <c r="HZ67" s="169"/>
      <c r="IA67" s="169"/>
      <c r="IB67" s="169"/>
      <c r="IC67" s="169"/>
      <c r="ID67" s="169"/>
      <c r="IE67" s="169"/>
      <c r="IF67" s="169"/>
      <c r="IG67" s="169"/>
      <c r="IH67" s="169"/>
      <c r="II67" s="169"/>
      <c r="IJ67" s="169"/>
      <c r="IK67" s="169"/>
      <c r="IL67" s="169"/>
      <c r="IM67" s="169"/>
      <c r="IN67" s="169"/>
      <c r="IO67" s="169"/>
      <c r="IP67" s="169"/>
      <c r="IQ67" s="169"/>
      <c r="IR67" s="169"/>
      <c r="IS67" s="169"/>
      <c r="IT67" s="169"/>
      <c r="IU67" s="169"/>
      <c r="IV67" s="169"/>
    </row>
    <row r="68" spans="1:256" ht="15" x14ac:dyDescent="0.25">
      <c r="A68" s="1309">
        <v>4</v>
      </c>
      <c r="B68" s="1310">
        <v>44773</v>
      </c>
      <c r="C68" s="1266">
        <v>0</v>
      </c>
      <c r="D68" s="1267">
        <v>44708</v>
      </c>
      <c r="E68" s="1268">
        <v>21696.84</v>
      </c>
      <c r="F68" s="1269">
        <v>0.44900000000000001</v>
      </c>
      <c r="G68" s="1270">
        <v>0.64920999999999995</v>
      </c>
      <c r="H68" s="1271">
        <v>811.32</v>
      </c>
      <c r="I68" s="1271">
        <f t="shared" ref="I68:I72" si="15">I67</f>
        <v>948.77</v>
      </c>
      <c r="J68" s="1271">
        <f t="shared" si="11"/>
        <v>898.31</v>
      </c>
      <c r="K68" s="1272">
        <f t="shared" si="14"/>
        <v>18553.580000000002</v>
      </c>
      <c r="L68" s="1272">
        <f t="shared" si="12"/>
        <v>0</v>
      </c>
      <c r="M68" s="1273">
        <f t="shared" si="13"/>
        <v>0</v>
      </c>
      <c r="N68" s="175"/>
      <c r="O68" s="175"/>
      <c r="P68" s="175"/>
      <c r="Q68" s="175"/>
      <c r="R68" s="175"/>
      <c r="S68" s="175"/>
      <c r="T68" s="175"/>
      <c r="U68" s="175"/>
      <c r="V68" s="175"/>
      <c r="W68" s="175"/>
      <c r="X68" s="175"/>
      <c r="Y68" s="175"/>
      <c r="Z68" s="175"/>
      <c r="AA68" s="175"/>
      <c r="AB68" s="175"/>
      <c r="AC68" s="175"/>
      <c r="AD68" s="175"/>
      <c r="AE68" s="175"/>
      <c r="AF68" s="169"/>
      <c r="AG68" s="169"/>
      <c r="AH68" s="169"/>
      <c r="AI68" s="169"/>
      <c r="AJ68" s="169"/>
      <c r="AK68" s="169"/>
      <c r="AL68" s="169"/>
      <c r="AM68" s="169"/>
      <c r="AN68" s="169"/>
      <c r="AO68" s="169"/>
      <c r="AP68" s="169"/>
      <c r="AQ68" s="169"/>
      <c r="AR68" s="169"/>
      <c r="AS68" s="169"/>
      <c r="AT68" s="169"/>
      <c r="AU68" s="169"/>
      <c r="AV68" s="169"/>
      <c r="AW68" s="169"/>
      <c r="AX68" s="169"/>
      <c r="AY68" s="169"/>
      <c r="AZ68" s="169"/>
      <c r="BA68" s="169"/>
      <c r="BB68" s="169"/>
      <c r="BC68" s="169"/>
      <c r="BD68" s="169"/>
      <c r="BE68" s="169"/>
      <c r="BF68" s="169"/>
      <c r="BG68" s="169"/>
      <c r="BH68" s="169"/>
      <c r="BI68" s="169"/>
      <c r="BJ68" s="169"/>
      <c r="BK68" s="169"/>
      <c r="BL68" s="169"/>
      <c r="BM68" s="169"/>
      <c r="BN68" s="169"/>
      <c r="BO68" s="169"/>
      <c r="BP68" s="169"/>
      <c r="BQ68" s="169"/>
      <c r="BR68" s="169"/>
      <c r="BS68" s="169"/>
      <c r="BT68" s="169"/>
      <c r="BU68" s="169"/>
      <c r="BV68" s="169"/>
      <c r="BW68" s="169"/>
      <c r="BX68" s="169"/>
      <c r="BY68" s="169"/>
      <c r="BZ68" s="169"/>
      <c r="CA68" s="169"/>
      <c r="CB68" s="169"/>
      <c r="CC68" s="169"/>
      <c r="CD68" s="169"/>
      <c r="CE68" s="169"/>
      <c r="CF68" s="169"/>
      <c r="CG68" s="169"/>
      <c r="CH68" s="169"/>
      <c r="CI68" s="169"/>
      <c r="CJ68" s="169"/>
      <c r="CK68" s="169"/>
      <c r="CL68" s="169"/>
      <c r="CM68" s="169"/>
      <c r="CN68" s="169"/>
      <c r="CO68" s="169"/>
      <c r="CP68" s="169"/>
      <c r="CQ68" s="169"/>
      <c r="CR68" s="169"/>
      <c r="CS68" s="169"/>
      <c r="CT68" s="169"/>
      <c r="CU68" s="169"/>
      <c r="CV68" s="169"/>
      <c r="CW68" s="169"/>
      <c r="CX68" s="169"/>
      <c r="CY68" s="169"/>
      <c r="CZ68" s="169"/>
      <c r="DA68" s="169"/>
      <c r="DB68" s="169"/>
      <c r="DC68" s="169"/>
      <c r="DD68" s="169"/>
      <c r="DE68" s="169"/>
      <c r="DF68" s="169"/>
      <c r="DG68" s="169"/>
      <c r="DH68" s="169"/>
      <c r="DI68" s="169"/>
      <c r="DJ68" s="169"/>
      <c r="DK68" s="169"/>
      <c r="DL68" s="169"/>
      <c r="DM68" s="169"/>
      <c r="DN68" s="169"/>
      <c r="DO68" s="169"/>
      <c r="DP68" s="169"/>
      <c r="DQ68" s="169"/>
      <c r="DR68" s="169"/>
      <c r="DS68" s="169"/>
      <c r="DT68" s="169"/>
      <c r="DU68" s="169"/>
      <c r="DV68" s="169"/>
      <c r="DW68" s="169"/>
      <c r="DX68" s="169"/>
      <c r="DY68" s="169"/>
      <c r="DZ68" s="169"/>
      <c r="EA68" s="169"/>
      <c r="EB68" s="169"/>
      <c r="EC68" s="169"/>
      <c r="ED68" s="169"/>
      <c r="EE68" s="169"/>
      <c r="EF68" s="169"/>
      <c r="EG68" s="169"/>
      <c r="EH68" s="169"/>
      <c r="EI68" s="169"/>
      <c r="EJ68" s="169"/>
      <c r="EK68" s="169"/>
      <c r="EL68" s="169"/>
      <c r="EM68" s="169"/>
      <c r="EN68" s="169"/>
      <c r="EO68" s="169"/>
      <c r="EP68" s="169"/>
      <c r="EQ68" s="169"/>
      <c r="ER68" s="169"/>
      <c r="ES68" s="169"/>
      <c r="ET68" s="169"/>
      <c r="EU68" s="169"/>
      <c r="EV68" s="169"/>
      <c r="EW68" s="169"/>
      <c r="EX68" s="169"/>
      <c r="EY68" s="169"/>
      <c r="EZ68" s="169"/>
      <c r="FA68" s="169"/>
      <c r="FB68" s="169"/>
      <c r="FC68" s="169"/>
      <c r="FD68" s="169"/>
      <c r="FE68" s="169"/>
      <c r="FF68" s="169"/>
      <c r="FG68" s="169"/>
      <c r="FH68" s="169"/>
      <c r="FI68" s="169"/>
      <c r="FJ68" s="169"/>
      <c r="FK68" s="169"/>
      <c r="FL68" s="169"/>
      <c r="FM68" s="169"/>
      <c r="FN68" s="169"/>
      <c r="FO68" s="169"/>
      <c r="FP68" s="169"/>
      <c r="FQ68" s="169"/>
      <c r="FR68" s="169"/>
      <c r="FS68" s="169"/>
      <c r="FT68" s="169"/>
      <c r="FU68" s="169"/>
      <c r="FV68" s="169"/>
      <c r="FW68" s="169"/>
      <c r="FX68" s="169"/>
      <c r="FY68" s="169"/>
      <c r="FZ68" s="169"/>
      <c r="GA68" s="169"/>
      <c r="GB68" s="169"/>
      <c r="GC68" s="169"/>
      <c r="GD68" s="169"/>
      <c r="GE68" s="169"/>
      <c r="GF68" s="169"/>
      <c r="GG68" s="169"/>
      <c r="GH68" s="169"/>
      <c r="GI68" s="169"/>
      <c r="GJ68" s="169"/>
      <c r="GK68" s="169"/>
      <c r="GL68" s="169"/>
      <c r="GM68" s="169"/>
      <c r="GN68" s="169"/>
      <c r="GO68" s="169"/>
      <c r="GP68" s="169"/>
      <c r="GQ68" s="169"/>
      <c r="GR68" s="169"/>
      <c r="GS68" s="169"/>
      <c r="GT68" s="169"/>
      <c r="GU68" s="169"/>
      <c r="GV68" s="169"/>
      <c r="GW68" s="169"/>
      <c r="GX68" s="169"/>
      <c r="GY68" s="169"/>
      <c r="GZ68" s="169"/>
      <c r="HA68" s="169"/>
      <c r="HB68" s="169"/>
      <c r="HC68" s="169"/>
      <c r="HD68" s="169"/>
      <c r="HE68" s="169"/>
      <c r="HF68" s="169"/>
      <c r="HG68" s="169"/>
      <c r="HH68" s="169"/>
      <c r="HI68" s="169"/>
      <c r="HJ68" s="169"/>
      <c r="HK68" s="169"/>
      <c r="HL68" s="169"/>
      <c r="HM68" s="169"/>
      <c r="HN68" s="169"/>
      <c r="HO68" s="169"/>
      <c r="HP68" s="169"/>
      <c r="HQ68" s="169"/>
      <c r="HR68" s="169"/>
      <c r="HS68" s="169"/>
      <c r="HT68" s="169"/>
      <c r="HU68" s="169"/>
      <c r="HV68" s="169"/>
      <c r="HW68" s="169"/>
      <c r="HX68" s="169"/>
      <c r="HY68" s="169"/>
      <c r="HZ68" s="169"/>
      <c r="IA68" s="169"/>
      <c r="IB68" s="169"/>
      <c r="IC68" s="169"/>
      <c r="ID68" s="169"/>
      <c r="IE68" s="169"/>
      <c r="IF68" s="169"/>
      <c r="IG68" s="169"/>
      <c r="IH68" s="169"/>
      <c r="II68" s="169"/>
      <c r="IJ68" s="169"/>
      <c r="IK68" s="169"/>
      <c r="IL68" s="169"/>
      <c r="IM68" s="169"/>
      <c r="IN68" s="169"/>
      <c r="IO68" s="169"/>
      <c r="IP68" s="169"/>
      <c r="IQ68" s="169"/>
      <c r="IR68" s="169"/>
      <c r="IS68" s="169"/>
      <c r="IT68" s="169"/>
      <c r="IU68" s="169"/>
      <c r="IV68" s="169"/>
    </row>
    <row r="69" spans="1:256" ht="15" x14ac:dyDescent="0.25">
      <c r="A69" s="1309">
        <v>5</v>
      </c>
      <c r="B69" s="1310">
        <v>44804</v>
      </c>
      <c r="C69" s="1266">
        <v>0</v>
      </c>
      <c r="D69" s="1267">
        <v>44708</v>
      </c>
      <c r="E69" s="1268">
        <v>21696.84</v>
      </c>
      <c r="F69" s="1269">
        <v>0.44900000000000001</v>
      </c>
      <c r="G69" s="1270">
        <v>0.64920999999999995</v>
      </c>
      <c r="H69" s="1271">
        <v>811.32</v>
      </c>
      <c r="I69" s="1271">
        <f t="shared" si="15"/>
        <v>948.77</v>
      </c>
      <c r="J69" s="1271">
        <f t="shared" si="11"/>
        <v>894.62</v>
      </c>
      <c r="K69" s="1272">
        <f t="shared" ref="K69" si="16">ROUND($E$66*$H$66/I69,2)</f>
        <v>18553.580000000002</v>
      </c>
      <c r="L69" s="1272">
        <f t="shared" si="12"/>
        <v>0</v>
      </c>
      <c r="M69" s="1273">
        <f t="shared" si="13"/>
        <v>0</v>
      </c>
      <c r="N69" s="175"/>
      <c r="O69" s="175"/>
      <c r="P69" s="175"/>
      <c r="Q69" s="175"/>
      <c r="R69" s="175"/>
      <c r="S69" s="175"/>
      <c r="T69" s="175"/>
      <c r="U69" s="175"/>
      <c r="V69" s="175"/>
      <c r="W69" s="175"/>
      <c r="X69" s="175"/>
      <c r="Y69" s="175"/>
      <c r="Z69" s="175"/>
      <c r="AA69" s="175"/>
      <c r="AB69" s="175"/>
      <c r="AC69" s="175"/>
      <c r="AD69" s="175"/>
      <c r="AE69" s="175"/>
      <c r="AF69" s="169"/>
      <c r="AG69" s="169"/>
      <c r="AH69" s="169"/>
      <c r="AI69" s="169"/>
      <c r="AJ69" s="169"/>
      <c r="AK69" s="169"/>
      <c r="AL69" s="169"/>
      <c r="AM69" s="169"/>
      <c r="AN69" s="169"/>
      <c r="AO69" s="169"/>
      <c r="AP69" s="169"/>
      <c r="AQ69" s="169"/>
      <c r="AR69" s="169"/>
      <c r="AS69" s="169"/>
      <c r="AT69" s="169"/>
      <c r="AU69" s="169"/>
      <c r="AV69" s="169"/>
      <c r="AW69" s="169"/>
      <c r="AX69" s="169"/>
      <c r="AY69" s="169"/>
      <c r="AZ69" s="169"/>
      <c r="BA69" s="169"/>
      <c r="BB69" s="169"/>
      <c r="BC69" s="169"/>
      <c r="BD69" s="169"/>
      <c r="BE69" s="169"/>
      <c r="BF69" s="169"/>
      <c r="BG69" s="169"/>
      <c r="BH69" s="169"/>
      <c r="BI69" s="169"/>
      <c r="BJ69" s="169"/>
      <c r="BK69" s="169"/>
      <c r="BL69" s="169"/>
      <c r="BM69" s="169"/>
      <c r="BN69" s="169"/>
      <c r="BO69" s="169"/>
      <c r="BP69" s="169"/>
      <c r="BQ69" s="169"/>
      <c r="BR69" s="169"/>
      <c r="BS69" s="169"/>
      <c r="BT69" s="169"/>
      <c r="BU69" s="169"/>
      <c r="BV69" s="169"/>
      <c r="BW69" s="169"/>
      <c r="BX69" s="169"/>
      <c r="BY69" s="169"/>
      <c r="BZ69" s="169"/>
      <c r="CA69" s="169"/>
      <c r="CB69" s="169"/>
      <c r="CC69" s="169"/>
      <c r="CD69" s="169"/>
      <c r="CE69" s="169"/>
      <c r="CF69" s="169"/>
      <c r="CG69" s="169"/>
      <c r="CH69" s="169"/>
      <c r="CI69" s="169"/>
      <c r="CJ69" s="169"/>
      <c r="CK69" s="169"/>
      <c r="CL69" s="169"/>
      <c r="CM69" s="169"/>
      <c r="CN69" s="169"/>
      <c r="CO69" s="169"/>
      <c r="CP69" s="169"/>
      <c r="CQ69" s="169"/>
      <c r="CR69" s="169"/>
      <c r="CS69" s="169"/>
      <c r="CT69" s="169"/>
      <c r="CU69" s="169"/>
      <c r="CV69" s="169"/>
      <c r="CW69" s="169"/>
      <c r="CX69" s="169"/>
      <c r="CY69" s="169"/>
      <c r="CZ69" s="169"/>
      <c r="DA69" s="169"/>
      <c r="DB69" s="169"/>
      <c r="DC69" s="169"/>
      <c r="DD69" s="169"/>
      <c r="DE69" s="169"/>
      <c r="DF69" s="169"/>
      <c r="DG69" s="169"/>
      <c r="DH69" s="169"/>
      <c r="DI69" s="169"/>
      <c r="DJ69" s="169"/>
      <c r="DK69" s="169"/>
      <c r="DL69" s="169"/>
      <c r="DM69" s="169"/>
      <c r="DN69" s="169"/>
      <c r="DO69" s="169"/>
      <c r="DP69" s="169"/>
      <c r="DQ69" s="169"/>
      <c r="DR69" s="169"/>
      <c r="DS69" s="169"/>
      <c r="DT69" s="169"/>
      <c r="DU69" s="169"/>
      <c r="DV69" s="169"/>
      <c r="DW69" s="169"/>
      <c r="DX69" s="169"/>
      <c r="DY69" s="169"/>
      <c r="DZ69" s="169"/>
      <c r="EA69" s="169"/>
      <c r="EB69" s="169"/>
      <c r="EC69" s="169"/>
      <c r="ED69" s="169"/>
      <c r="EE69" s="169"/>
      <c r="EF69" s="169"/>
      <c r="EG69" s="169"/>
      <c r="EH69" s="169"/>
      <c r="EI69" s="169"/>
      <c r="EJ69" s="169"/>
      <c r="EK69" s="169"/>
      <c r="EL69" s="169"/>
      <c r="EM69" s="169"/>
      <c r="EN69" s="169"/>
      <c r="EO69" s="169"/>
      <c r="EP69" s="169"/>
      <c r="EQ69" s="169"/>
      <c r="ER69" s="169"/>
      <c r="ES69" s="169"/>
      <c r="ET69" s="169"/>
      <c r="EU69" s="169"/>
      <c r="EV69" s="169"/>
      <c r="EW69" s="169"/>
      <c r="EX69" s="169"/>
      <c r="EY69" s="169"/>
      <c r="EZ69" s="169"/>
      <c r="FA69" s="169"/>
      <c r="FB69" s="169"/>
      <c r="FC69" s="169"/>
      <c r="FD69" s="169"/>
      <c r="FE69" s="169"/>
      <c r="FF69" s="169"/>
      <c r="FG69" s="169"/>
      <c r="FH69" s="169"/>
      <c r="FI69" s="169"/>
      <c r="FJ69" s="169"/>
      <c r="FK69" s="169"/>
      <c r="FL69" s="169"/>
      <c r="FM69" s="169"/>
      <c r="FN69" s="169"/>
      <c r="FO69" s="169"/>
      <c r="FP69" s="169"/>
      <c r="FQ69" s="169"/>
      <c r="FR69" s="169"/>
      <c r="FS69" s="169"/>
      <c r="FT69" s="169"/>
      <c r="FU69" s="169"/>
      <c r="FV69" s="169"/>
      <c r="FW69" s="169"/>
      <c r="FX69" s="169"/>
      <c r="FY69" s="169"/>
      <c r="FZ69" s="169"/>
      <c r="GA69" s="169"/>
      <c r="GB69" s="169"/>
      <c r="GC69" s="169"/>
      <c r="GD69" s="169"/>
      <c r="GE69" s="169"/>
      <c r="GF69" s="169"/>
      <c r="GG69" s="169"/>
      <c r="GH69" s="169"/>
      <c r="GI69" s="169"/>
      <c r="GJ69" s="169"/>
      <c r="GK69" s="169"/>
      <c r="GL69" s="169"/>
      <c r="GM69" s="169"/>
      <c r="GN69" s="169"/>
      <c r="GO69" s="169"/>
      <c r="GP69" s="169"/>
      <c r="GQ69" s="169"/>
      <c r="GR69" s="169"/>
      <c r="GS69" s="169"/>
      <c r="GT69" s="169"/>
      <c r="GU69" s="169"/>
      <c r="GV69" s="169"/>
      <c r="GW69" s="169"/>
      <c r="GX69" s="169"/>
      <c r="GY69" s="169"/>
      <c r="GZ69" s="169"/>
      <c r="HA69" s="169"/>
      <c r="HB69" s="169"/>
      <c r="HC69" s="169"/>
      <c r="HD69" s="169"/>
      <c r="HE69" s="169"/>
      <c r="HF69" s="169"/>
      <c r="HG69" s="169"/>
      <c r="HH69" s="169"/>
      <c r="HI69" s="169"/>
      <c r="HJ69" s="169"/>
      <c r="HK69" s="169"/>
      <c r="HL69" s="169"/>
      <c r="HM69" s="169"/>
      <c r="HN69" s="169"/>
      <c r="HO69" s="169"/>
      <c r="HP69" s="169"/>
      <c r="HQ69" s="169"/>
      <c r="HR69" s="169"/>
      <c r="HS69" s="169"/>
      <c r="HT69" s="169"/>
      <c r="HU69" s="169"/>
      <c r="HV69" s="169"/>
      <c r="HW69" s="169"/>
      <c r="HX69" s="169"/>
      <c r="HY69" s="169"/>
      <c r="HZ69" s="169"/>
      <c r="IA69" s="169"/>
      <c r="IB69" s="169"/>
      <c r="IC69" s="169"/>
      <c r="ID69" s="169"/>
      <c r="IE69" s="169"/>
      <c r="IF69" s="169"/>
      <c r="IG69" s="169"/>
      <c r="IH69" s="169"/>
      <c r="II69" s="169"/>
      <c r="IJ69" s="169"/>
      <c r="IK69" s="169"/>
      <c r="IL69" s="169"/>
      <c r="IM69" s="169"/>
      <c r="IN69" s="169"/>
      <c r="IO69" s="169"/>
      <c r="IP69" s="169"/>
      <c r="IQ69" s="169"/>
      <c r="IR69" s="169"/>
      <c r="IS69" s="169"/>
      <c r="IT69" s="169"/>
      <c r="IU69" s="169"/>
      <c r="IV69" s="169"/>
    </row>
    <row r="70" spans="1:256" ht="15" x14ac:dyDescent="0.25">
      <c r="A70" s="1309">
        <v>6</v>
      </c>
      <c r="B70" s="1310">
        <v>44834</v>
      </c>
      <c r="C70" s="1266">
        <v>0</v>
      </c>
      <c r="D70" s="1267">
        <v>44708</v>
      </c>
      <c r="E70" s="1268">
        <v>21696.84</v>
      </c>
      <c r="F70" s="1269">
        <v>0.44900000000000001</v>
      </c>
      <c r="G70" s="1270">
        <v>0.64920999999999995</v>
      </c>
      <c r="H70" s="1271">
        <v>811.32</v>
      </c>
      <c r="I70" s="1271">
        <f t="shared" si="15"/>
        <v>948.77</v>
      </c>
      <c r="J70" s="1271">
        <f t="shared" si="11"/>
        <v>913.2</v>
      </c>
      <c r="K70" s="1272">
        <f t="shared" ref="K70" si="17">ROUND($E$66*$H$66/I70,2)</f>
        <v>18553.580000000002</v>
      </c>
      <c r="L70" s="1272">
        <f t="shared" si="12"/>
        <v>0</v>
      </c>
      <c r="M70" s="1273">
        <f t="shared" si="13"/>
        <v>0</v>
      </c>
      <c r="N70" s="175"/>
      <c r="O70" s="175"/>
      <c r="P70" s="175"/>
      <c r="Q70" s="175"/>
      <c r="R70" s="175"/>
      <c r="S70" s="175"/>
      <c r="T70" s="175"/>
      <c r="U70" s="175"/>
      <c r="V70" s="175"/>
      <c r="W70" s="175"/>
      <c r="X70" s="175"/>
      <c r="Y70" s="175"/>
      <c r="Z70" s="175"/>
      <c r="AA70" s="175"/>
      <c r="AB70" s="175"/>
      <c r="AC70" s="175"/>
      <c r="AD70" s="175"/>
      <c r="AE70" s="175"/>
      <c r="AF70" s="169"/>
      <c r="AG70" s="169"/>
      <c r="AH70" s="169"/>
      <c r="AI70" s="169"/>
      <c r="AJ70" s="169"/>
      <c r="AK70" s="169"/>
      <c r="AL70" s="169"/>
      <c r="AM70" s="169"/>
      <c r="AN70" s="169"/>
      <c r="AO70" s="169"/>
      <c r="AP70" s="169"/>
      <c r="AQ70" s="169"/>
      <c r="AR70" s="169"/>
      <c r="AS70" s="169"/>
      <c r="AT70" s="169"/>
      <c r="AU70" s="169"/>
      <c r="AV70" s="169"/>
      <c r="AW70" s="169"/>
      <c r="AX70" s="169"/>
      <c r="AY70" s="169"/>
      <c r="AZ70" s="169"/>
      <c r="BA70" s="169"/>
      <c r="BB70" s="169"/>
      <c r="BC70" s="169"/>
      <c r="BD70" s="169"/>
      <c r="BE70" s="169"/>
      <c r="BF70" s="169"/>
      <c r="BG70" s="169"/>
      <c r="BH70" s="169"/>
      <c r="BI70" s="169"/>
      <c r="BJ70" s="169"/>
      <c r="BK70" s="169"/>
      <c r="BL70" s="169"/>
      <c r="BM70" s="169"/>
      <c r="BN70" s="169"/>
      <c r="BO70" s="169"/>
      <c r="BP70" s="169"/>
      <c r="BQ70" s="169"/>
      <c r="BR70" s="169"/>
      <c r="BS70" s="169"/>
      <c r="BT70" s="169"/>
      <c r="BU70" s="169"/>
      <c r="BV70" s="169"/>
      <c r="BW70" s="169"/>
      <c r="BX70" s="169"/>
      <c r="BY70" s="169"/>
      <c r="BZ70" s="169"/>
      <c r="CA70" s="169"/>
      <c r="CB70" s="169"/>
      <c r="CC70" s="169"/>
      <c r="CD70" s="169"/>
      <c r="CE70" s="169"/>
      <c r="CF70" s="169"/>
      <c r="CG70" s="169"/>
      <c r="CH70" s="169"/>
      <c r="CI70" s="169"/>
      <c r="CJ70" s="169"/>
      <c r="CK70" s="169"/>
      <c r="CL70" s="169"/>
      <c r="CM70" s="169"/>
      <c r="CN70" s="169"/>
      <c r="CO70" s="169"/>
      <c r="CP70" s="169"/>
      <c r="CQ70" s="169"/>
      <c r="CR70" s="169"/>
      <c r="CS70" s="169"/>
      <c r="CT70" s="169"/>
      <c r="CU70" s="169"/>
      <c r="CV70" s="169"/>
      <c r="CW70" s="169"/>
      <c r="CX70" s="169"/>
      <c r="CY70" s="169"/>
      <c r="CZ70" s="169"/>
      <c r="DA70" s="169"/>
      <c r="DB70" s="169"/>
      <c r="DC70" s="169"/>
      <c r="DD70" s="169"/>
      <c r="DE70" s="169"/>
      <c r="DF70" s="169"/>
      <c r="DG70" s="169"/>
      <c r="DH70" s="169"/>
      <c r="DI70" s="169"/>
      <c r="DJ70" s="169"/>
      <c r="DK70" s="169"/>
      <c r="DL70" s="169"/>
      <c r="DM70" s="169"/>
      <c r="DN70" s="169"/>
      <c r="DO70" s="169"/>
      <c r="DP70" s="169"/>
      <c r="DQ70" s="169"/>
      <c r="DR70" s="169"/>
      <c r="DS70" s="169"/>
      <c r="DT70" s="169"/>
      <c r="DU70" s="169"/>
      <c r="DV70" s="169"/>
      <c r="DW70" s="169"/>
      <c r="DX70" s="169"/>
      <c r="DY70" s="169"/>
      <c r="DZ70" s="169"/>
      <c r="EA70" s="169"/>
      <c r="EB70" s="169"/>
      <c r="EC70" s="169"/>
      <c r="ED70" s="169"/>
      <c r="EE70" s="169"/>
      <c r="EF70" s="169"/>
      <c r="EG70" s="169"/>
      <c r="EH70" s="169"/>
      <c r="EI70" s="169"/>
      <c r="EJ70" s="169"/>
      <c r="EK70" s="169"/>
      <c r="EL70" s="169"/>
      <c r="EM70" s="169"/>
      <c r="EN70" s="169"/>
      <c r="EO70" s="169"/>
      <c r="EP70" s="169"/>
      <c r="EQ70" s="169"/>
      <c r="ER70" s="169"/>
      <c r="ES70" s="169"/>
      <c r="ET70" s="169"/>
      <c r="EU70" s="169"/>
      <c r="EV70" s="169"/>
      <c r="EW70" s="169"/>
      <c r="EX70" s="169"/>
      <c r="EY70" s="169"/>
      <c r="EZ70" s="169"/>
      <c r="FA70" s="169"/>
      <c r="FB70" s="169"/>
      <c r="FC70" s="169"/>
      <c r="FD70" s="169"/>
      <c r="FE70" s="169"/>
      <c r="FF70" s="169"/>
      <c r="FG70" s="169"/>
      <c r="FH70" s="169"/>
      <c r="FI70" s="169"/>
      <c r="FJ70" s="169"/>
      <c r="FK70" s="169"/>
      <c r="FL70" s="169"/>
      <c r="FM70" s="169"/>
      <c r="FN70" s="169"/>
      <c r="FO70" s="169"/>
      <c r="FP70" s="169"/>
      <c r="FQ70" s="169"/>
      <c r="FR70" s="169"/>
      <c r="FS70" s="169"/>
      <c r="FT70" s="169"/>
      <c r="FU70" s="169"/>
      <c r="FV70" s="169"/>
      <c r="FW70" s="169"/>
      <c r="FX70" s="169"/>
      <c r="FY70" s="169"/>
      <c r="FZ70" s="169"/>
      <c r="GA70" s="169"/>
      <c r="GB70" s="169"/>
      <c r="GC70" s="169"/>
      <c r="GD70" s="169"/>
      <c r="GE70" s="169"/>
      <c r="GF70" s="169"/>
      <c r="GG70" s="169"/>
      <c r="GH70" s="169"/>
      <c r="GI70" s="169"/>
      <c r="GJ70" s="169"/>
      <c r="GK70" s="169"/>
      <c r="GL70" s="169"/>
      <c r="GM70" s="169"/>
      <c r="GN70" s="169"/>
      <c r="GO70" s="169"/>
      <c r="GP70" s="169"/>
      <c r="GQ70" s="169"/>
      <c r="GR70" s="169"/>
      <c r="GS70" s="169"/>
      <c r="GT70" s="169"/>
      <c r="GU70" s="169"/>
      <c r="GV70" s="169"/>
      <c r="GW70" s="169"/>
      <c r="GX70" s="169"/>
      <c r="GY70" s="169"/>
      <c r="GZ70" s="169"/>
      <c r="HA70" s="169"/>
      <c r="HB70" s="169"/>
      <c r="HC70" s="169"/>
      <c r="HD70" s="169"/>
      <c r="HE70" s="169"/>
      <c r="HF70" s="169"/>
      <c r="HG70" s="169"/>
      <c r="HH70" s="169"/>
      <c r="HI70" s="169"/>
      <c r="HJ70" s="169"/>
      <c r="HK70" s="169"/>
      <c r="HL70" s="169"/>
      <c r="HM70" s="169"/>
      <c r="HN70" s="169"/>
      <c r="HO70" s="169"/>
      <c r="HP70" s="169"/>
      <c r="HQ70" s="169"/>
      <c r="HR70" s="169"/>
      <c r="HS70" s="169"/>
      <c r="HT70" s="169"/>
      <c r="HU70" s="169"/>
      <c r="HV70" s="169"/>
      <c r="HW70" s="169"/>
      <c r="HX70" s="169"/>
      <c r="HY70" s="169"/>
      <c r="HZ70" s="169"/>
      <c r="IA70" s="169"/>
      <c r="IB70" s="169"/>
      <c r="IC70" s="169"/>
      <c r="ID70" s="169"/>
      <c r="IE70" s="169"/>
      <c r="IF70" s="169"/>
      <c r="IG70" s="169"/>
      <c r="IH70" s="169"/>
      <c r="II70" s="169"/>
      <c r="IJ70" s="169"/>
      <c r="IK70" s="169"/>
      <c r="IL70" s="169"/>
      <c r="IM70" s="169"/>
      <c r="IN70" s="169"/>
      <c r="IO70" s="169"/>
      <c r="IP70" s="169"/>
      <c r="IQ70" s="169"/>
      <c r="IR70" s="169"/>
      <c r="IS70" s="169"/>
      <c r="IT70" s="169"/>
      <c r="IU70" s="169"/>
      <c r="IV70" s="169"/>
    </row>
    <row r="71" spans="1:256" ht="15" x14ac:dyDescent="0.25">
      <c r="A71" s="1309">
        <v>7</v>
      </c>
      <c r="B71" s="1310">
        <v>44865</v>
      </c>
      <c r="C71" s="1266">
        <v>0</v>
      </c>
      <c r="D71" s="1267">
        <v>44708</v>
      </c>
      <c r="E71" s="1268">
        <v>21696.84</v>
      </c>
      <c r="F71" s="1269">
        <v>0.44900000000000001</v>
      </c>
      <c r="G71" s="1270">
        <v>0.64920999999999995</v>
      </c>
      <c r="H71" s="1271">
        <v>811.32</v>
      </c>
      <c r="I71" s="1271">
        <f t="shared" si="15"/>
        <v>948.77</v>
      </c>
      <c r="J71" s="1271">
        <f t="shared" si="11"/>
        <v>890.03</v>
      </c>
      <c r="K71" s="1272">
        <f t="shared" ref="K71" si="18">ROUND($E$66*$H$66/I71,2)</f>
        <v>18553.580000000002</v>
      </c>
      <c r="L71" s="1272">
        <f t="shared" si="12"/>
        <v>0</v>
      </c>
      <c r="M71" s="1273">
        <f t="shared" si="13"/>
        <v>0</v>
      </c>
      <c r="N71" s="175"/>
      <c r="O71" s="175"/>
      <c r="P71" s="175"/>
      <c r="Q71" s="175"/>
      <c r="R71" s="175"/>
      <c r="S71" s="175"/>
      <c r="T71" s="175"/>
      <c r="U71" s="175"/>
      <c r="V71" s="175"/>
      <c r="W71" s="175"/>
      <c r="X71" s="175"/>
      <c r="Y71" s="175"/>
      <c r="Z71" s="175"/>
      <c r="AA71" s="175"/>
      <c r="AB71" s="175"/>
      <c r="AC71" s="175"/>
      <c r="AD71" s="175"/>
      <c r="AE71" s="175"/>
      <c r="AF71" s="169"/>
      <c r="AG71" s="169"/>
      <c r="AH71" s="169"/>
      <c r="AI71" s="169"/>
      <c r="AJ71" s="169"/>
      <c r="AK71" s="169"/>
      <c r="AL71" s="169"/>
      <c r="AM71" s="169"/>
      <c r="AN71" s="169"/>
      <c r="AO71" s="169"/>
      <c r="AP71" s="169"/>
      <c r="AQ71" s="169"/>
      <c r="AR71" s="169"/>
      <c r="AS71" s="169"/>
      <c r="AT71" s="169"/>
      <c r="AU71" s="169"/>
      <c r="AV71" s="169"/>
      <c r="AW71" s="169"/>
      <c r="AX71" s="169"/>
      <c r="AY71" s="169"/>
      <c r="AZ71" s="169"/>
      <c r="BA71" s="169"/>
      <c r="BB71" s="169"/>
      <c r="BC71" s="169"/>
      <c r="BD71" s="169"/>
      <c r="BE71" s="169"/>
      <c r="BF71" s="169"/>
      <c r="BG71" s="169"/>
      <c r="BH71" s="169"/>
      <c r="BI71" s="169"/>
      <c r="BJ71" s="169"/>
      <c r="BK71" s="169"/>
      <c r="BL71" s="169"/>
      <c r="BM71" s="169"/>
      <c r="BN71" s="169"/>
      <c r="BO71" s="169"/>
      <c r="BP71" s="169"/>
      <c r="BQ71" s="169"/>
      <c r="BR71" s="169"/>
      <c r="BS71" s="169"/>
      <c r="BT71" s="169"/>
      <c r="BU71" s="169"/>
      <c r="BV71" s="169"/>
      <c r="BW71" s="169"/>
      <c r="BX71" s="169"/>
      <c r="BY71" s="169"/>
      <c r="BZ71" s="169"/>
      <c r="CA71" s="169"/>
      <c r="CB71" s="169"/>
      <c r="CC71" s="169"/>
      <c r="CD71" s="169"/>
      <c r="CE71" s="169"/>
      <c r="CF71" s="169"/>
      <c r="CG71" s="169"/>
      <c r="CH71" s="169"/>
      <c r="CI71" s="169"/>
      <c r="CJ71" s="169"/>
      <c r="CK71" s="169"/>
      <c r="CL71" s="169"/>
      <c r="CM71" s="169"/>
      <c r="CN71" s="169"/>
      <c r="CO71" s="169"/>
      <c r="CP71" s="169"/>
      <c r="CQ71" s="169"/>
      <c r="CR71" s="169"/>
      <c r="CS71" s="169"/>
      <c r="CT71" s="169"/>
      <c r="CU71" s="169"/>
      <c r="CV71" s="169"/>
      <c r="CW71" s="169"/>
      <c r="CX71" s="169"/>
      <c r="CY71" s="169"/>
      <c r="CZ71" s="169"/>
      <c r="DA71" s="169"/>
      <c r="DB71" s="169"/>
      <c r="DC71" s="169"/>
      <c r="DD71" s="169"/>
      <c r="DE71" s="169"/>
      <c r="DF71" s="169"/>
      <c r="DG71" s="169"/>
      <c r="DH71" s="169"/>
      <c r="DI71" s="169"/>
      <c r="DJ71" s="169"/>
      <c r="DK71" s="169"/>
      <c r="DL71" s="169"/>
      <c r="DM71" s="169"/>
      <c r="DN71" s="169"/>
      <c r="DO71" s="169"/>
      <c r="DP71" s="169"/>
      <c r="DQ71" s="169"/>
      <c r="DR71" s="169"/>
      <c r="DS71" s="169"/>
      <c r="DT71" s="169"/>
      <c r="DU71" s="169"/>
      <c r="DV71" s="169"/>
      <c r="DW71" s="169"/>
      <c r="DX71" s="169"/>
      <c r="DY71" s="169"/>
      <c r="DZ71" s="169"/>
      <c r="EA71" s="169"/>
      <c r="EB71" s="169"/>
      <c r="EC71" s="169"/>
      <c r="ED71" s="169"/>
      <c r="EE71" s="169"/>
      <c r="EF71" s="169"/>
      <c r="EG71" s="169"/>
      <c r="EH71" s="169"/>
      <c r="EI71" s="169"/>
      <c r="EJ71" s="169"/>
      <c r="EK71" s="169"/>
      <c r="EL71" s="169"/>
      <c r="EM71" s="169"/>
      <c r="EN71" s="169"/>
      <c r="EO71" s="169"/>
      <c r="EP71" s="169"/>
      <c r="EQ71" s="169"/>
      <c r="ER71" s="169"/>
      <c r="ES71" s="169"/>
      <c r="ET71" s="169"/>
      <c r="EU71" s="169"/>
      <c r="EV71" s="169"/>
      <c r="EW71" s="169"/>
      <c r="EX71" s="169"/>
      <c r="EY71" s="169"/>
      <c r="EZ71" s="169"/>
      <c r="FA71" s="169"/>
      <c r="FB71" s="169"/>
      <c r="FC71" s="169"/>
      <c r="FD71" s="169"/>
      <c r="FE71" s="169"/>
      <c r="FF71" s="169"/>
      <c r="FG71" s="169"/>
      <c r="FH71" s="169"/>
      <c r="FI71" s="169"/>
      <c r="FJ71" s="169"/>
      <c r="FK71" s="169"/>
      <c r="FL71" s="169"/>
      <c r="FM71" s="169"/>
      <c r="FN71" s="169"/>
      <c r="FO71" s="169"/>
      <c r="FP71" s="169"/>
      <c r="FQ71" s="169"/>
      <c r="FR71" s="169"/>
      <c r="FS71" s="169"/>
      <c r="FT71" s="169"/>
      <c r="FU71" s="169"/>
      <c r="FV71" s="169"/>
      <c r="FW71" s="169"/>
      <c r="FX71" s="169"/>
      <c r="FY71" s="169"/>
      <c r="FZ71" s="169"/>
      <c r="GA71" s="169"/>
      <c r="GB71" s="169"/>
      <c r="GC71" s="169"/>
      <c r="GD71" s="169"/>
      <c r="GE71" s="169"/>
      <c r="GF71" s="169"/>
      <c r="GG71" s="169"/>
      <c r="GH71" s="169"/>
      <c r="GI71" s="169"/>
      <c r="GJ71" s="169"/>
      <c r="GK71" s="169"/>
      <c r="GL71" s="169"/>
      <c r="GM71" s="169"/>
      <c r="GN71" s="169"/>
      <c r="GO71" s="169"/>
      <c r="GP71" s="169"/>
      <c r="GQ71" s="169"/>
      <c r="GR71" s="169"/>
      <c r="GS71" s="169"/>
      <c r="GT71" s="169"/>
      <c r="GU71" s="169"/>
      <c r="GV71" s="169"/>
      <c r="GW71" s="169"/>
      <c r="GX71" s="169"/>
      <c r="GY71" s="169"/>
      <c r="GZ71" s="169"/>
      <c r="HA71" s="169"/>
      <c r="HB71" s="169"/>
      <c r="HC71" s="169"/>
      <c r="HD71" s="169"/>
      <c r="HE71" s="169"/>
      <c r="HF71" s="169"/>
      <c r="HG71" s="169"/>
      <c r="HH71" s="169"/>
      <c r="HI71" s="169"/>
      <c r="HJ71" s="169"/>
      <c r="HK71" s="169"/>
      <c r="HL71" s="169"/>
      <c r="HM71" s="169"/>
      <c r="HN71" s="169"/>
      <c r="HO71" s="169"/>
      <c r="HP71" s="169"/>
      <c r="HQ71" s="169"/>
      <c r="HR71" s="169"/>
      <c r="HS71" s="169"/>
      <c r="HT71" s="169"/>
      <c r="HU71" s="169"/>
      <c r="HV71" s="169"/>
      <c r="HW71" s="169"/>
      <c r="HX71" s="169"/>
      <c r="HY71" s="169"/>
      <c r="HZ71" s="169"/>
      <c r="IA71" s="169"/>
      <c r="IB71" s="169"/>
      <c r="IC71" s="169"/>
      <c r="ID71" s="169"/>
      <c r="IE71" s="169"/>
      <c r="IF71" s="169"/>
      <c r="IG71" s="169"/>
      <c r="IH71" s="169"/>
      <c r="II71" s="169"/>
      <c r="IJ71" s="169"/>
      <c r="IK71" s="169"/>
      <c r="IL71" s="169"/>
      <c r="IM71" s="169"/>
      <c r="IN71" s="169"/>
      <c r="IO71" s="169"/>
      <c r="IP71" s="169"/>
      <c r="IQ71" s="169"/>
      <c r="IR71" s="169"/>
      <c r="IS71" s="169"/>
      <c r="IT71" s="169"/>
      <c r="IU71" s="169"/>
      <c r="IV71" s="169"/>
    </row>
    <row r="72" spans="1:256" ht="15" x14ac:dyDescent="0.25">
      <c r="A72" s="1309">
        <v>8</v>
      </c>
      <c r="B72" s="1310">
        <v>44895</v>
      </c>
      <c r="C72" s="1266">
        <v>0</v>
      </c>
      <c r="D72" s="1267">
        <v>44708</v>
      </c>
      <c r="E72" s="1268">
        <v>21696.84</v>
      </c>
      <c r="F72" s="1269">
        <v>0.44900000000000001</v>
      </c>
      <c r="G72" s="1270">
        <v>0.64920999999999995</v>
      </c>
      <c r="H72" s="1271">
        <v>811.32</v>
      </c>
      <c r="I72" s="1271">
        <f t="shared" si="15"/>
        <v>948.77</v>
      </c>
      <c r="J72" s="1271">
        <f t="shared" si="11"/>
        <v>890.03</v>
      </c>
      <c r="K72" s="1272">
        <f t="shared" ref="K72" si="19">ROUND($E$66*$H$66/I72,2)</f>
        <v>18553.580000000002</v>
      </c>
      <c r="L72" s="1272">
        <f t="shared" ref="L72" si="20">ROUND($F$37*$G$37*C72,2)</f>
        <v>0</v>
      </c>
      <c r="M72" s="1273">
        <f t="shared" ref="M72" si="21">ROUND(L72*(J72-I72)/$H$37,2)</f>
        <v>0</v>
      </c>
      <c r="N72" s="175"/>
      <c r="O72" s="175"/>
      <c r="P72" s="175"/>
      <c r="Q72" s="175"/>
      <c r="R72" s="175"/>
      <c r="S72" s="175"/>
      <c r="T72" s="175"/>
      <c r="U72" s="175"/>
      <c r="V72" s="175"/>
      <c r="W72" s="175"/>
      <c r="X72" s="175"/>
      <c r="Y72" s="175"/>
      <c r="Z72" s="175"/>
      <c r="AA72" s="175"/>
      <c r="AB72" s="175"/>
      <c r="AC72" s="175"/>
      <c r="AD72" s="175"/>
      <c r="AE72" s="175"/>
      <c r="AF72" s="169"/>
      <c r="AG72" s="169"/>
      <c r="AH72" s="169"/>
      <c r="AI72" s="169"/>
      <c r="AJ72" s="169"/>
      <c r="AK72" s="169"/>
      <c r="AL72" s="169"/>
      <c r="AM72" s="169"/>
      <c r="AN72" s="169"/>
      <c r="AO72" s="169"/>
      <c r="AP72" s="169"/>
      <c r="AQ72" s="169"/>
      <c r="AR72" s="169"/>
      <c r="AS72" s="169"/>
      <c r="AT72" s="169"/>
      <c r="AU72" s="169"/>
      <c r="AV72" s="169"/>
      <c r="AW72" s="169"/>
      <c r="AX72" s="169"/>
      <c r="AY72" s="169"/>
      <c r="AZ72" s="169"/>
      <c r="BA72" s="169"/>
      <c r="BB72" s="169"/>
      <c r="BC72" s="169"/>
      <c r="BD72" s="169"/>
      <c r="BE72" s="169"/>
      <c r="BF72" s="169"/>
      <c r="BG72" s="169"/>
      <c r="BH72" s="169"/>
      <c r="BI72" s="169"/>
      <c r="BJ72" s="169"/>
      <c r="BK72" s="169"/>
      <c r="BL72" s="169"/>
      <c r="BM72" s="169"/>
      <c r="BN72" s="169"/>
      <c r="BO72" s="169"/>
      <c r="BP72" s="169"/>
      <c r="BQ72" s="169"/>
      <c r="BR72" s="169"/>
      <c r="BS72" s="169"/>
      <c r="BT72" s="169"/>
      <c r="BU72" s="169"/>
      <c r="BV72" s="169"/>
      <c r="BW72" s="169"/>
      <c r="BX72" s="169"/>
      <c r="BY72" s="169"/>
      <c r="BZ72" s="169"/>
      <c r="CA72" s="169"/>
      <c r="CB72" s="169"/>
      <c r="CC72" s="169"/>
      <c r="CD72" s="169"/>
      <c r="CE72" s="169"/>
      <c r="CF72" s="169"/>
      <c r="CG72" s="169"/>
      <c r="CH72" s="169"/>
      <c r="CI72" s="169"/>
      <c r="CJ72" s="169"/>
      <c r="CK72" s="169"/>
      <c r="CL72" s="169"/>
      <c r="CM72" s="169"/>
      <c r="CN72" s="169"/>
      <c r="CO72" s="169"/>
      <c r="CP72" s="169"/>
      <c r="CQ72" s="169"/>
      <c r="CR72" s="169"/>
      <c r="CS72" s="169"/>
      <c r="CT72" s="169"/>
      <c r="CU72" s="169"/>
      <c r="CV72" s="169"/>
      <c r="CW72" s="169"/>
      <c r="CX72" s="169"/>
      <c r="CY72" s="169"/>
      <c r="CZ72" s="169"/>
      <c r="DA72" s="169"/>
      <c r="DB72" s="169"/>
      <c r="DC72" s="169"/>
      <c r="DD72" s="169"/>
      <c r="DE72" s="169"/>
      <c r="DF72" s="169"/>
      <c r="DG72" s="169"/>
      <c r="DH72" s="169"/>
      <c r="DI72" s="169"/>
      <c r="DJ72" s="169"/>
      <c r="DK72" s="169"/>
      <c r="DL72" s="169"/>
      <c r="DM72" s="169"/>
      <c r="DN72" s="169"/>
      <c r="DO72" s="169"/>
      <c r="DP72" s="169"/>
      <c r="DQ72" s="169"/>
      <c r="DR72" s="169"/>
      <c r="DS72" s="169"/>
      <c r="DT72" s="169"/>
      <c r="DU72" s="169"/>
      <c r="DV72" s="169"/>
      <c r="DW72" s="169"/>
      <c r="DX72" s="169"/>
      <c r="DY72" s="169"/>
      <c r="DZ72" s="169"/>
      <c r="EA72" s="169"/>
      <c r="EB72" s="169"/>
      <c r="EC72" s="169"/>
      <c r="ED72" s="169"/>
      <c r="EE72" s="169"/>
      <c r="EF72" s="169"/>
      <c r="EG72" s="169"/>
      <c r="EH72" s="169"/>
      <c r="EI72" s="169"/>
      <c r="EJ72" s="169"/>
      <c r="EK72" s="169"/>
      <c r="EL72" s="169"/>
      <c r="EM72" s="169"/>
      <c r="EN72" s="169"/>
      <c r="EO72" s="169"/>
      <c r="EP72" s="169"/>
      <c r="EQ72" s="169"/>
      <c r="ER72" s="169"/>
      <c r="ES72" s="169"/>
      <c r="ET72" s="169"/>
      <c r="EU72" s="169"/>
      <c r="EV72" s="169"/>
      <c r="EW72" s="169"/>
      <c r="EX72" s="169"/>
      <c r="EY72" s="169"/>
      <c r="EZ72" s="169"/>
      <c r="FA72" s="169"/>
      <c r="FB72" s="169"/>
      <c r="FC72" s="169"/>
      <c r="FD72" s="169"/>
      <c r="FE72" s="169"/>
      <c r="FF72" s="169"/>
      <c r="FG72" s="169"/>
      <c r="FH72" s="169"/>
      <c r="FI72" s="169"/>
      <c r="FJ72" s="169"/>
      <c r="FK72" s="169"/>
      <c r="FL72" s="169"/>
      <c r="FM72" s="169"/>
      <c r="FN72" s="169"/>
      <c r="FO72" s="169"/>
      <c r="FP72" s="169"/>
      <c r="FQ72" s="169"/>
      <c r="FR72" s="169"/>
      <c r="FS72" s="169"/>
      <c r="FT72" s="169"/>
      <c r="FU72" s="169"/>
      <c r="FV72" s="169"/>
      <c r="FW72" s="169"/>
      <c r="FX72" s="169"/>
      <c r="FY72" s="169"/>
      <c r="FZ72" s="169"/>
      <c r="GA72" s="169"/>
      <c r="GB72" s="169"/>
      <c r="GC72" s="169"/>
      <c r="GD72" s="169"/>
      <c r="GE72" s="169"/>
      <c r="GF72" s="169"/>
      <c r="GG72" s="169"/>
      <c r="GH72" s="169"/>
      <c r="GI72" s="169"/>
      <c r="GJ72" s="169"/>
      <c r="GK72" s="169"/>
      <c r="GL72" s="169"/>
      <c r="GM72" s="169"/>
      <c r="GN72" s="169"/>
      <c r="GO72" s="169"/>
      <c r="GP72" s="169"/>
      <c r="GQ72" s="169"/>
      <c r="GR72" s="169"/>
      <c r="GS72" s="169"/>
      <c r="GT72" s="169"/>
      <c r="GU72" s="169"/>
      <c r="GV72" s="169"/>
      <c r="GW72" s="169"/>
      <c r="GX72" s="169"/>
      <c r="GY72" s="169"/>
      <c r="GZ72" s="169"/>
      <c r="HA72" s="169"/>
      <c r="HB72" s="169"/>
      <c r="HC72" s="169"/>
      <c r="HD72" s="169"/>
      <c r="HE72" s="169"/>
      <c r="HF72" s="169"/>
      <c r="HG72" s="169"/>
      <c r="HH72" s="169"/>
      <c r="HI72" s="169"/>
      <c r="HJ72" s="169"/>
      <c r="HK72" s="169"/>
      <c r="HL72" s="169"/>
      <c r="HM72" s="169"/>
      <c r="HN72" s="169"/>
      <c r="HO72" s="169"/>
      <c r="HP72" s="169"/>
      <c r="HQ72" s="169"/>
      <c r="HR72" s="169"/>
      <c r="HS72" s="169"/>
      <c r="HT72" s="169"/>
      <c r="HU72" s="169"/>
      <c r="HV72" s="169"/>
      <c r="HW72" s="169"/>
      <c r="HX72" s="169"/>
      <c r="HY72" s="169"/>
      <c r="HZ72" s="169"/>
      <c r="IA72" s="169"/>
      <c r="IB72" s="169"/>
      <c r="IC72" s="169"/>
      <c r="ID72" s="169"/>
      <c r="IE72" s="169"/>
      <c r="IF72" s="169"/>
      <c r="IG72" s="169"/>
      <c r="IH72" s="169"/>
      <c r="II72" s="169"/>
      <c r="IJ72" s="169"/>
      <c r="IK72" s="169"/>
      <c r="IL72" s="169"/>
      <c r="IM72" s="169"/>
      <c r="IN72" s="169"/>
      <c r="IO72" s="169"/>
      <c r="IP72" s="169"/>
      <c r="IQ72" s="169"/>
      <c r="IR72" s="169"/>
      <c r="IS72" s="169"/>
      <c r="IT72" s="169"/>
      <c r="IU72" s="169"/>
      <c r="IV72" s="169"/>
    </row>
    <row r="73" spans="1:256" ht="13.8" x14ac:dyDescent="0.25">
      <c r="A73" s="610"/>
      <c r="B73" s="611"/>
      <c r="C73" s="608"/>
      <c r="D73" s="612"/>
      <c r="E73" s="609"/>
      <c r="F73" s="1388"/>
      <c r="G73" s="1389"/>
      <c r="H73" s="609"/>
      <c r="I73" s="609"/>
      <c r="J73" s="609"/>
      <c r="K73" s="1394"/>
      <c r="L73" s="1391" t="s">
        <v>1191</v>
      </c>
      <c r="M73" s="1392">
        <f>SUM(M65:M68)</f>
        <v>0</v>
      </c>
      <c r="N73" s="169"/>
      <c r="O73" s="169"/>
      <c r="P73" s="169"/>
      <c r="Q73" s="169"/>
      <c r="R73" s="169"/>
      <c r="S73" s="169"/>
      <c r="T73" s="169"/>
      <c r="U73" s="169"/>
      <c r="V73" s="169"/>
      <c r="W73" s="169"/>
      <c r="X73" s="169"/>
      <c r="Y73" s="169"/>
      <c r="Z73" s="169"/>
      <c r="AA73" s="169"/>
      <c r="AB73" s="169"/>
      <c r="AC73" s="169"/>
      <c r="AD73" s="169"/>
      <c r="AE73" s="169"/>
      <c r="AF73" s="169"/>
      <c r="AG73" s="169"/>
      <c r="AH73" s="169"/>
      <c r="AI73" s="169"/>
      <c r="AJ73" s="169"/>
      <c r="AK73" s="169"/>
      <c r="AL73" s="169"/>
      <c r="AM73" s="169"/>
      <c r="AN73" s="169"/>
      <c r="AO73" s="169"/>
      <c r="AP73" s="169"/>
      <c r="AQ73" s="169"/>
      <c r="AR73" s="169"/>
      <c r="AS73" s="169"/>
      <c r="AT73" s="169"/>
      <c r="AU73" s="169"/>
      <c r="AV73" s="169"/>
      <c r="AW73" s="169"/>
      <c r="AX73" s="169"/>
      <c r="AY73" s="169"/>
      <c r="AZ73" s="169"/>
      <c r="BA73" s="169"/>
      <c r="BB73" s="169"/>
      <c r="BC73" s="169"/>
      <c r="BD73" s="169"/>
      <c r="BE73" s="169"/>
      <c r="BF73" s="169"/>
      <c r="BG73" s="169"/>
      <c r="BH73" s="169"/>
      <c r="BI73" s="169"/>
      <c r="BJ73" s="169"/>
      <c r="BK73" s="169"/>
      <c r="BL73" s="169"/>
      <c r="BM73" s="169"/>
      <c r="BN73" s="169"/>
      <c r="BO73" s="169"/>
      <c r="BP73" s="169"/>
      <c r="BQ73" s="169"/>
      <c r="BR73" s="169"/>
      <c r="BS73" s="169"/>
      <c r="BT73" s="169"/>
      <c r="BU73" s="169"/>
      <c r="BV73" s="169"/>
      <c r="BW73" s="169"/>
      <c r="BX73" s="169"/>
      <c r="BY73" s="169"/>
      <c r="BZ73" s="169"/>
      <c r="CA73" s="169"/>
      <c r="CB73" s="169"/>
      <c r="CC73" s="169"/>
      <c r="CD73" s="169"/>
      <c r="CE73" s="169"/>
      <c r="CF73" s="169"/>
      <c r="CG73" s="169"/>
      <c r="CH73" s="169"/>
      <c r="CI73" s="169"/>
      <c r="CJ73" s="169"/>
      <c r="CK73" s="169"/>
      <c r="CL73" s="169"/>
      <c r="CM73" s="169"/>
      <c r="CN73" s="169"/>
      <c r="CO73" s="169"/>
      <c r="CP73" s="169"/>
      <c r="CQ73" s="169"/>
      <c r="CR73" s="169"/>
      <c r="CS73" s="169"/>
      <c r="CT73" s="169"/>
      <c r="CU73" s="169"/>
      <c r="CV73" s="169"/>
      <c r="CW73" s="169"/>
      <c r="CX73" s="169"/>
      <c r="CY73" s="169"/>
      <c r="CZ73" s="169"/>
      <c r="DA73" s="169"/>
      <c r="DB73" s="169"/>
      <c r="DC73" s="169"/>
      <c r="DD73" s="169"/>
      <c r="DE73" s="169"/>
      <c r="DF73" s="169"/>
      <c r="DG73" s="169"/>
      <c r="DH73" s="169"/>
      <c r="DI73" s="169"/>
      <c r="DJ73" s="169"/>
      <c r="DK73" s="169"/>
      <c r="DL73" s="169"/>
      <c r="DM73" s="169"/>
      <c r="DN73" s="169"/>
      <c r="DO73" s="169"/>
      <c r="DP73" s="169"/>
      <c r="DQ73" s="169"/>
      <c r="DR73" s="169"/>
      <c r="DS73" s="169"/>
      <c r="DT73" s="169"/>
      <c r="DU73" s="169"/>
      <c r="DV73" s="169"/>
      <c r="DW73" s="169"/>
      <c r="DX73" s="169"/>
      <c r="DY73" s="169"/>
      <c r="DZ73" s="169"/>
      <c r="EA73" s="169"/>
      <c r="EB73" s="169"/>
      <c r="EC73" s="169"/>
      <c r="ED73" s="169"/>
      <c r="EE73" s="169"/>
      <c r="EF73" s="169"/>
      <c r="EG73" s="169"/>
      <c r="EH73" s="169"/>
      <c r="EI73" s="169"/>
      <c r="EJ73" s="169"/>
      <c r="EK73" s="169"/>
      <c r="EL73" s="169"/>
      <c r="EM73" s="169"/>
      <c r="EN73" s="169"/>
      <c r="EO73" s="169"/>
      <c r="EP73" s="169"/>
      <c r="EQ73" s="169"/>
      <c r="ER73" s="169"/>
      <c r="ES73" s="169"/>
      <c r="ET73" s="169"/>
      <c r="EU73" s="169"/>
      <c r="EV73" s="169"/>
      <c r="EW73" s="169"/>
      <c r="EX73" s="169"/>
      <c r="EY73" s="169"/>
      <c r="EZ73" s="169"/>
      <c r="FA73" s="169"/>
      <c r="FB73" s="169"/>
      <c r="FC73" s="169"/>
      <c r="FD73" s="169"/>
      <c r="FE73" s="169"/>
      <c r="FF73" s="169"/>
      <c r="FG73" s="169"/>
      <c r="FH73" s="169"/>
      <c r="FI73" s="169"/>
      <c r="FJ73" s="169"/>
      <c r="FK73" s="169"/>
      <c r="FL73" s="169"/>
      <c r="FM73" s="169"/>
      <c r="FN73" s="169"/>
      <c r="FO73" s="169"/>
      <c r="FP73" s="169"/>
      <c r="FQ73" s="169"/>
      <c r="FR73" s="169"/>
      <c r="FS73" s="169"/>
      <c r="FT73" s="169"/>
      <c r="FU73" s="169"/>
      <c r="FV73" s="169"/>
      <c r="FW73" s="169"/>
      <c r="FX73" s="169"/>
      <c r="FY73" s="169"/>
      <c r="FZ73" s="169"/>
      <c r="GA73" s="169"/>
      <c r="GB73" s="169"/>
      <c r="GC73" s="169"/>
      <c r="GD73" s="169"/>
      <c r="GE73" s="169"/>
      <c r="GF73" s="169"/>
      <c r="GG73" s="169"/>
      <c r="GH73" s="169"/>
      <c r="GI73" s="169"/>
      <c r="GJ73" s="169"/>
      <c r="GK73" s="169"/>
      <c r="GL73" s="169"/>
      <c r="GM73" s="169"/>
      <c r="GN73" s="169"/>
      <c r="GO73" s="169"/>
      <c r="GP73" s="169"/>
      <c r="GQ73" s="169"/>
      <c r="GR73" s="169"/>
      <c r="GS73" s="169"/>
      <c r="GT73" s="169"/>
      <c r="GU73" s="169"/>
      <c r="GV73" s="169"/>
      <c r="GW73" s="169"/>
      <c r="GX73" s="169"/>
      <c r="GY73" s="169"/>
      <c r="GZ73" s="169"/>
      <c r="HA73" s="169"/>
      <c r="HB73" s="169"/>
      <c r="HC73" s="169"/>
      <c r="HD73" s="169"/>
      <c r="HE73" s="169"/>
      <c r="HF73" s="169"/>
      <c r="HG73" s="169"/>
      <c r="HH73" s="169"/>
      <c r="HI73" s="169"/>
      <c r="HJ73" s="169"/>
      <c r="HK73" s="169"/>
      <c r="HL73" s="169"/>
      <c r="HM73" s="169"/>
      <c r="HN73" s="169"/>
      <c r="HO73" s="169"/>
      <c r="HP73" s="169"/>
      <c r="HQ73" s="169"/>
      <c r="HR73" s="169"/>
      <c r="HS73" s="169"/>
      <c r="HT73" s="169"/>
      <c r="HU73" s="169"/>
      <c r="HV73" s="169"/>
      <c r="HW73" s="169"/>
      <c r="HX73" s="169"/>
      <c r="HY73" s="169"/>
      <c r="HZ73" s="169"/>
      <c r="IA73" s="169"/>
      <c r="IB73" s="169"/>
      <c r="IC73" s="169"/>
      <c r="ID73" s="169"/>
      <c r="IE73" s="169"/>
      <c r="IF73" s="169"/>
      <c r="IG73" s="169"/>
      <c r="IH73" s="169"/>
      <c r="II73" s="169"/>
      <c r="IJ73" s="169"/>
      <c r="IK73" s="169"/>
      <c r="IL73" s="169"/>
      <c r="IM73" s="169"/>
      <c r="IN73" s="169"/>
      <c r="IO73" s="169"/>
      <c r="IP73" s="169"/>
      <c r="IQ73" s="169"/>
      <c r="IR73" s="169"/>
      <c r="IS73" s="169"/>
      <c r="IT73" s="169"/>
      <c r="IU73" s="169"/>
      <c r="IV73" s="169"/>
    </row>
    <row r="74" spans="1:256" ht="14.4" thickBot="1" x14ac:dyDescent="0.3">
      <c r="A74" s="1379"/>
      <c r="B74" s="1380"/>
      <c r="C74" s="1381"/>
      <c r="D74" s="1382"/>
      <c r="E74" s="1368"/>
      <c r="F74" s="1383"/>
      <c r="G74" s="1384"/>
      <c r="H74" s="1385"/>
      <c r="I74" s="1385"/>
      <c r="J74" s="1385"/>
      <c r="K74" s="1390"/>
      <c r="L74" s="1386"/>
      <c r="M74" s="1387"/>
      <c r="N74" s="169"/>
      <c r="O74" s="169"/>
      <c r="P74" s="169"/>
      <c r="Q74" s="169"/>
      <c r="R74" s="169"/>
      <c r="S74" s="169"/>
      <c r="T74" s="169"/>
      <c r="U74" s="169"/>
      <c r="V74" s="169"/>
      <c r="W74" s="169"/>
      <c r="X74" s="169"/>
      <c r="Y74" s="169"/>
      <c r="Z74" s="169"/>
      <c r="AA74" s="169"/>
      <c r="AB74" s="169"/>
      <c r="AC74" s="169"/>
      <c r="AD74" s="169"/>
      <c r="AE74" s="169"/>
      <c r="AF74" s="169"/>
      <c r="AG74" s="169"/>
      <c r="AH74" s="169"/>
      <c r="AI74" s="169"/>
      <c r="AJ74" s="169"/>
      <c r="AK74" s="169"/>
      <c r="AL74" s="169"/>
      <c r="AM74" s="169"/>
      <c r="AN74" s="169"/>
      <c r="AO74" s="169"/>
      <c r="AP74" s="169"/>
      <c r="AQ74" s="169"/>
      <c r="AR74" s="169"/>
      <c r="AS74" s="169"/>
      <c r="AT74" s="169"/>
      <c r="AU74" s="169"/>
      <c r="AV74" s="169"/>
      <c r="AW74" s="169"/>
      <c r="AX74" s="169"/>
      <c r="AY74" s="169"/>
      <c r="AZ74" s="169"/>
      <c r="BA74" s="169"/>
      <c r="BB74" s="169"/>
      <c r="BC74" s="169"/>
      <c r="BD74" s="169"/>
      <c r="BE74" s="169"/>
      <c r="BF74" s="169"/>
      <c r="BG74" s="169"/>
      <c r="BH74" s="169"/>
      <c r="BI74" s="169"/>
      <c r="BJ74" s="169"/>
      <c r="BK74" s="169"/>
      <c r="BL74" s="169"/>
      <c r="BM74" s="169"/>
      <c r="BN74" s="169"/>
      <c r="BO74" s="169"/>
      <c r="BP74" s="169"/>
      <c r="BQ74" s="169"/>
      <c r="BR74" s="169"/>
      <c r="BS74" s="169"/>
      <c r="BT74" s="169"/>
      <c r="BU74" s="169"/>
      <c r="BV74" s="169"/>
      <c r="BW74" s="169"/>
      <c r="BX74" s="169"/>
      <c r="BY74" s="169"/>
      <c r="BZ74" s="169"/>
      <c r="CA74" s="169"/>
      <c r="CB74" s="169"/>
      <c r="CC74" s="169"/>
      <c r="CD74" s="169"/>
      <c r="CE74" s="169"/>
      <c r="CF74" s="169"/>
      <c r="CG74" s="169"/>
      <c r="CH74" s="169"/>
      <c r="CI74" s="169"/>
      <c r="CJ74" s="169"/>
      <c r="CK74" s="169"/>
      <c r="CL74" s="169"/>
      <c r="CM74" s="169"/>
      <c r="CN74" s="169"/>
      <c r="CO74" s="169"/>
      <c r="CP74" s="169"/>
      <c r="CQ74" s="169"/>
      <c r="CR74" s="169"/>
      <c r="CS74" s="169"/>
      <c r="CT74" s="169"/>
      <c r="CU74" s="169"/>
      <c r="CV74" s="169"/>
      <c r="CW74" s="169"/>
      <c r="CX74" s="169"/>
      <c r="CY74" s="169"/>
      <c r="CZ74" s="169"/>
      <c r="DA74" s="169"/>
      <c r="DB74" s="169"/>
      <c r="DC74" s="169"/>
      <c r="DD74" s="169"/>
      <c r="DE74" s="169"/>
      <c r="DF74" s="169"/>
      <c r="DG74" s="169"/>
      <c r="DH74" s="169"/>
      <c r="DI74" s="169"/>
      <c r="DJ74" s="169"/>
      <c r="DK74" s="169"/>
      <c r="DL74" s="169"/>
      <c r="DM74" s="169"/>
      <c r="DN74" s="169"/>
      <c r="DO74" s="169"/>
      <c r="DP74" s="169"/>
      <c r="DQ74" s="169"/>
      <c r="DR74" s="169"/>
      <c r="DS74" s="169"/>
      <c r="DT74" s="169"/>
      <c r="DU74" s="169"/>
      <c r="DV74" s="169"/>
      <c r="DW74" s="169"/>
      <c r="DX74" s="169"/>
      <c r="DY74" s="169"/>
      <c r="DZ74" s="169"/>
      <c r="EA74" s="169"/>
      <c r="EB74" s="169"/>
      <c r="EC74" s="169"/>
      <c r="ED74" s="169"/>
      <c r="EE74" s="169"/>
      <c r="EF74" s="169"/>
      <c r="EG74" s="169"/>
      <c r="EH74" s="169"/>
      <c r="EI74" s="169"/>
      <c r="EJ74" s="169"/>
      <c r="EK74" s="169"/>
      <c r="EL74" s="169"/>
      <c r="EM74" s="169"/>
      <c r="EN74" s="169"/>
      <c r="EO74" s="169"/>
      <c r="EP74" s="169"/>
      <c r="EQ74" s="169"/>
      <c r="ER74" s="169"/>
      <c r="ES74" s="169"/>
      <c r="ET74" s="169"/>
      <c r="EU74" s="169"/>
      <c r="EV74" s="169"/>
      <c r="EW74" s="169"/>
      <c r="EX74" s="169"/>
      <c r="EY74" s="169"/>
      <c r="EZ74" s="169"/>
      <c r="FA74" s="169"/>
      <c r="FB74" s="169"/>
      <c r="FC74" s="169"/>
      <c r="FD74" s="169"/>
      <c r="FE74" s="169"/>
      <c r="FF74" s="169"/>
      <c r="FG74" s="169"/>
      <c r="FH74" s="169"/>
      <c r="FI74" s="169"/>
      <c r="FJ74" s="169"/>
      <c r="FK74" s="169"/>
      <c r="FL74" s="169"/>
      <c r="FM74" s="169"/>
      <c r="FN74" s="169"/>
      <c r="FO74" s="169"/>
      <c r="FP74" s="169"/>
      <c r="FQ74" s="169"/>
      <c r="FR74" s="169"/>
      <c r="FS74" s="169"/>
      <c r="FT74" s="169"/>
      <c r="FU74" s="169"/>
      <c r="FV74" s="169"/>
      <c r="FW74" s="169"/>
      <c r="FX74" s="169"/>
      <c r="FY74" s="169"/>
      <c r="FZ74" s="169"/>
      <c r="GA74" s="169"/>
      <c r="GB74" s="169"/>
      <c r="GC74" s="169"/>
      <c r="GD74" s="169"/>
      <c r="GE74" s="169"/>
      <c r="GF74" s="169"/>
      <c r="GG74" s="169"/>
      <c r="GH74" s="169"/>
      <c r="GI74" s="169"/>
      <c r="GJ74" s="169"/>
      <c r="GK74" s="169"/>
      <c r="GL74" s="169"/>
      <c r="GM74" s="169"/>
      <c r="GN74" s="169"/>
      <c r="GO74" s="169"/>
      <c r="GP74" s="169"/>
      <c r="GQ74" s="169"/>
      <c r="GR74" s="169"/>
      <c r="GS74" s="169"/>
      <c r="GT74" s="169"/>
      <c r="GU74" s="169"/>
      <c r="GV74" s="169"/>
      <c r="GW74" s="169"/>
      <c r="GX74" s="169"/>
      <c r="GY74" s="169"/>
      <c r="GZ74" s="169"/>
      <c r="HA74" s="169"/>
      <c r="HB74" s="169"/>
      <c r="HC74" s="169"/>
      <c r="HD74" s="169"/>
      <c r="HE74" s="169"/>
      <c r="HF74" s="169"/>
      <c r="HG74" s="169"/>
      <c r="HH74" s="169"/>
      <c r="HI74" s="169"/>
      <c r="HJ74" s="169"/>
      <c r="HK74" s="169"/>
      <c r="HL74" s="169"/>
      <c r="HM74" s="169"/>
      <c r="HN74" s="169"/>
      <c r="HO74" s="169"/>
      <c r="HP74" s="169"/>
      <c r="HQ74" s="169"/>
      <c r="HR74" s="169"/>
      <c r="HS74" s="169"/>
      <c r="HT74" s="169"/>
      <c r="HU74" s="169"/>
      <c r="HV74" s="169"/>
      <c r="HW74" s="169"/>
      <c r="HX74" s="169"/>
      <c r="HY74" s="169"/>
      <c r="HZ74" s="169"/>
      <c r="IA74" s="169"/>
      <c r="IB74" s="169"/>
      <c r="IC74" s="169"/>
      <c r="ID74" s="169"/>
      <c r="IE74" s="169"/>
      <c r="IF74" s="169"/>
      <c r="IG74" s="169"/>
      <c r="IH74" s="169"/>
      <c r="II74" s="169"/>
      <c r="IJ74" s="169"/>
      <c r="IK74" s="169"/>
      <c r="IL74" s="169"/>
      <c r="IM74" s="169"/>
      <c r="IN74" s="169"/>
      <c r="IO74" s="169"/>
      <c r="IP74" s="169"/>
      <c r="IQ74" s="169"/>
      <c r="IR74" s="169"/>
      <c r="IS74" s="169"/>
      <c r="IT74" s="169"/>
      <c r="IU74" s="169"/>
      <c r="IV74" s="169"/>
    </row>
    <row r="75" spans="1:256" x14ac:dyDescent="0.25">
      <c r="A75" s="2295" t="s">
        <v>21</v>
      </c>
      <c r="B75" s="2278"/>
      <c r="C75" s="2296"/>
      <c r="D75" s="2297" t="s">
        <v>52</v>
      </c>
      <c r="E75" s="2296"/>
      <c r="F75" s="2297" t="s">
        <v>53</v>
      </c>
      <c r="G75" s="2296"/>
      <c r="H75" s="2297" t="s">
        <v>54</v>
      </c>
      <c r="I75" s="2278"/>
      <c r="J75" s="2296"/>
      <c r="K75" s="1313" t="s">
        <v>40</v>
      </c>
      <c r="L75" s="331" t="s">
        <v>40</v>
      </c>
      <c r="M75" s="1276" t="s">
        <v>42</v>
      </c>
      <c r="N75" s="169"/>
      <c r="O75" s="169"/>
      <c r="P75" s="169"/>
      <c r="Q75" s="169"/>
      <c r="R75" s="169"/>
      <c r="S75" s="169"/>
      <c r="T75" s="169"/>
      <c r="U75" s="169"/>
      <c r="V75" s="169"/>
      <c r="W75" s="169"/>
      <c r="X75" s="169"/>
      <c r="Y75" s="169"/>
      <c r="Z75" s="169"/>
      <c r="AA75" s="169"/>
      <c r="AB75" s="169"/>
      <c r="AC75" s="169"/>
      <c r="AD75" s="169"/>
      <c r="AE75" s="169"/>
      <c r="AF75" s="169"/>
      <c r="AG75" s="169"/>
      <c r="AH75" s="169"/>
      <c r="AI75" s="169"/>
      <c r="AJ75" s="169"/>
      <c r="AK75" s="169"/>
      <c r="AL75" s="169"/>
      <c r="AM75" s="169"/>
      <c r="AN75" s="169"/>
      <c r="AO75" s="169"/>
      <c r="AP75" s="169"/>
      <c r="AQ75" s="169"/>
      <c r="AR75" s="169"/>
      <c r="AS75" s="169"/>
      <c r="AT75" s="169"/>
      <c r="AU75" s="169"/>
      <c r="AV75" s="169"/>
      <c r="AW75" s="169"/>
      <c r="AX75" s="169"/>
      <c r="AY75" s="169"/>
      <c r="AZ75" s="169"/>
      <c r="BA75" s="169"/>
      <c r="BB75" s="169"/>
      <c r="BC75" s="169"/>
      <c r="BD75" s="169"/>
      <c r="BE75" s="169"/>
      <c r="BF75" s="169"/>
      <c r="BG75" s="169"/>
      <c r="BH75" s="169"/>
      <c r="BI75" s="169"/>
      <c r="BJ75" s="169"/>
      <c r="BK75" s="169"/>
      <c r="BL75" s="169"/>
      <c r="BM75" s="169"/>
      <c r="BN75" s="169"/>
      <c r="BO75" s="169"/>
      <c r="BP75" s="169"/>
      <c r="BQ75" s="169"/>
      <c r="BR75" s="169"/>
      <c r="BS75" s="169"/>
      <c r="BT75" s="169"/>
      <c r="BU75" s="169"/>
      <c r="BV75" s="169"/>
      <c r="BW75" s="169"/>
      <c r="BX75" s="169"/>
      <c r="BY75" s="169"/>
      <c r="BZ75" s="169"/>
      <c r="CA75" s="169"/>
      <c r="CB75" s="169"/>
      <c r="CC75" s="169"/>
      <c r="CD75" s="169"/>
      <c r="CE75" s="169"/>
      <c r="CF75" s="169"/>
      <c r="CG75" s="169"/>
      <c r="CH75" s="169"/>
      <c r="CI75" s="169"/>
      <c r="CJ75" s="169"/>
      <c r="CK75" s="169"/>
      <c r="CL75" s="169"/>
      <c r="CM75" s="169"/>
      <c r="CN75" s="169"/>
      <c r="CO75" s="169"/>
      <c r="CP75" s="169"/>
      <c r="CQ75" s="169"/>
      <c r="CR75" s="169"/>
      <c r="CS75" s="169"/>
      <c r="CT75" s="169"/>
      <c r="CU75" s="169"/>
      <c r="CV75" s="169"/>
      <c r="CW75" s="169"/>
      <c r="CX75" s="169"/>
      <c r="CY75" s="169"/>
      <c r="CZ75" s="169"/>
      <c r="DA75" s="169"/>
      <c r="DB75" s="169"/>
      <c r="DC75" s="169"/>
      <c r="DD75" s="169"/>
      <c r="DE75" s="169"/>
      <c r="DF75" s="169"/>
      <c r="DG75" s="169"/>
      <c r="DH75" s="169"/>
      <c r="DI75" s="169"/>
      <c r="DJ75" s="169"/>
      <c r="DK75" s="169"/>
      <c r="DL75" s="169"/>
      <c r="DM75" s="169"/>
      <c r="DN75" s="169"/>
      <c r="DO75" s="169"/>
      <c r="DP75" s="169"/>
      <c r="DQ75" s="169"/>
      <c r="DR75" s="169"/>
      <c r="DS75" s="169"/>
      <c r="DT75" s="169"/>
      <c r="DU75" s="169"/>
      <c r="DV75" s="169"/>
      <c r="DW75" s="169"/>
      <c r="DX75" s="169"/>
      <c r="DY75" s="169"/>
      <c r="DZ75" s="169"/>
      <c r="EA75" s="169"/>
      <c r="EB75" s="169"/>
      <c r="EC75" s="169"/>
      <c r="ED75" s="169"/>
      <c r="EE75" s="169"/>
      <c r="EF75" s="169"/>
      <c r="EG75" s="169"/>
      <c r="EH75" s="169"/>
      <c r="EI75" s="169"/>
      <c r="EJ75" s="169"/>
      <c r="EK75" s="169"/>
      <c r="EL75" s="169"/>
      <c r="EM75" s="169"/>
      <c r="EN75" s="169"/>
      <c r="EO75" s="169"/>
      <c r="EP75" s="169"/>
      <c r="EQ75" s="169"/>
      <c r="ER75" s="169"/>
      <c r="ES75" s="169"/>
      <c r="ET75" s="169"/>
      <c r="EU75" s="169"/>
      <c r="EV75" s="169"/>
      <c r="EW75" s="169"/>
      <c r="EX75" s="169"/>
      <c r="EY75" s="169"/>
      <c r="EZ75" s="169"/>
      <c r="FA75" s="169"/>
      <c r="FB75" s="169"/>
      <c r="FC75" s="169"/>
      <c r="FD75" s="169"/>
      <c r="FE75" s="169"/>
      <c r="FF75" s="169"/>
      <c r="FG75" s="169"/>
      <c r="FH75" s="169"/>
      <c r="FI75" s="169"/>
      <c r="FJ75" s="169"/>
      <c r="FK75" s="169"/>
      <c r="FL75" s="169"/>
      <c r="FM75" s="169"/>
      <c r="FN75" s="169"/>
      <c r="FO75" s="169"/>
      <c r="FP75" s="169"/>
      <c r="FQ75" s="169"/>
      <c r="FR75" s="169"/>
      <c r="FS75" s="169"/>
      <c r="FT75" s="169"/>
      <c r="FU75" s="169"/>
      <c r="FV75" s="169"/>
      <c r="FW75" s="169"/>
      <c r="FX75" s="169"/>
      <c r="FY75" s="169"/>
      <c r="FZ75" s="169"/>
      <c r="GA75" s="169"/>
      <c r="GB75" s="169"/>
      <c r="GC75" s="169"/>
      <c r="GD75" s="169"/>
      <c r="GE75" s="169"/>
      <c r="GF75" s="169"/>
      <c r="GG75" s="169"/>
      <c r="GH75" s="169"/>
      <c r="GI75" s="169"/>
      <c r="GJ75" s="169"/>
      <c r="GK75" s="169"/>
      <c r="GL75" s="169"/>
      <c r="GM75" s="169"/>
      <c r="GN75" s="169"/>
      <c r="GO75" s="169"/>
      <c r="GP75" s="169"/>
      <c r="GQ75" s="169"/>
      <c r="GR75" s="169"/>
      <c r="GS75" s="169"/>
      <c r="GT75" s="169"/>
      <c r="GU75" s="169"/>
      <c r="GV75" s="169"/>
      <c r="GW75" s="169"/>
      <c r="GX75" s="169"/>
      <c r="GY75" s="169"/>
      <c r="GZ75" s="169"/>
      <c r="HA75" s="169"/>
      <c r="HB75" s="169"/>
      <c r="HC75" s="169"/>
      <c r="HD75" s="169"/>
      <c r="HE75" s="169"/>
      <c r="HF75" s="169"/>
      <c r="HG75" s="169"/>
      <c r="HH75" s="169"/>
      <c r="HI75" s="169"/>
      <c r="HJ75" s="169"/>
      <c r="HK75" s="169"/>
      <c r="HL75" s="169"/>
      <c r="HM75" s="169"/>
      <c r="HN75" s="169"/>
      <c r="HO75" s="169"/>
      <c r="HP75" s="169"/>
      <c r="HQ75" s="169"/>
      <c r="HR75" s="169"/>
      <c r="HS75" s="169"/>
      <c r="HT75" s="169"/>
      <c r="HU75" s="169"/>
      <c r="HV75" s="169"/>
      <c r="HW75" s="169"/>
      <c r="HX75" s="169"/>
      <c r="HY75" s="169"/>
      <c r="HZ75" s="169"/>
      <c r="IA75" s="169"/>
      <c r="IB75" s="169"/>
      <c r="IC75" s="169"/>
      <c r="ID75" s="169"/>
      <c r="IE75" s="169"/>
      <c r="IF75" s="169"/>
      <c r="IG75" s="169"/>
      <c r="IH75" s="169"/>
      <c r="II75" s="169"/>
      <c r="IJ75" s="169"/>
      <c r="IK75" s="169"/>
      <c r="IL75" s="169"/>
      <c r="IM75" s="169"/>
      <c r="IN75" s="169"/>
      <c r="IO75" s="169"/>
      <c r="IP75" s="169"/>
      <c r="IQ75" s="169"/>
      <c r="IR75" s="169"/>
      <c r="IS75" s="169"/>
      <c r="IT75" s="169"/>
      <c r="IU75" s="169"/>
      <c r="IV75" s="169"/>
    </row>
    <row r="76" spans="1:256" x14ac:dyDescent="0.25">
      <c r="A76" s="314"/>
      <c r="B76" s="317"/>
      <c r="C76" s="317" t="s">
        <v>55</v>
      </c>
      <c r="D76" s="317"/>
      <c r="E76" s="315" t="s">
        <v>55</v>
      </c>
      <c r="F76" s="317" t="s">
        <v>56</v>
      </c>
      <c r="G76" s="317" t="s">
        <v>57</v>
      </c>
      <c r="H76" s="1314"/>
      <c r="I76" s="1314"/>
      <c r="J76" s="1315"/>
      <c r="K76" s="316" t="s">
        <v>58</v>
      </c>
      <c r="L76" s="315" t="s">
        <v>59</v>
      </c>
      <c r="M76" s="1277"/>
      <c r="N76" s="169"/>
      <c r="O76" s="169"/>
      <c r="P76" s="169"/>
      <c r="Q76" s="169"/>
      <c r="R76" s="169"/>
      <c r="S76" s="169"/>
      <c r="T76" s="169"/>
      <c r="U76" s="169"/>
      <c r="V76" s="169"/>
      <c r="W76" s="169"/>
      <c r="X76" s="169"/>
      <c r="Y76" s="169"/>
      <c r="Z76" s="169"/>
      <c r="AA76" s="169"/>
      <c r="AB76" s="169"/>
      <c r="AC76" s="169"/>
      <c r="AD76" s="169"/>
      <c r="AE76" s="169"/>
      <c r="AF76" s="169"/>
      <c r="AG76" s="169"/>
      <c r="AH76" s="169"/>
      <c r="AI76" s="169"/>
      <c r="AJ76" s="169"/>
      <c r="AK76" s="169"/>
      <c r="AL76" s="169"/>
      <c r="AM76" s="169"/>
      <c r="AN76" s="169"/>
      <c r="AO76" s="169"/>
      <c r="AP76" s="169"/>
      <c r="AQ76" s="169"/>
      <c r="AR76" s="169"/>
      <c r="AS76" s="169"/>
      <c r="AT76" s="169"/>
      <c r="AU76" s="169"/>
      <c r="AV76" s="169"/>
      <c r="AW76" s="169"/>
      <c r="AX76" s="169"/>
      <c r="AY76" s="169"/>
      <c r="AZ76" s="169"/>
      <c r="BA76" s="169"/>
      <c r="BB76" s="169"/>
      <c r="BC76" s="169"/>
      <c r="BD76" s="169"/>
      <c r="BE76" s="169"/>
      <c r="BF76" s="169"/>
      <c r="BG76" s="169"/>
      <c r="BH76" s="169"/>
      <c r="BI76" s="169"/>
      <c r="BJ76" s="169"/>
      <c r="BK76" s="169"/>
      <c r="BL76" s="169"/>
      <c r="BM76" s="169"/>
      <c r="BN76" s="169"/>
      <c r="BO76" s="169"/>
      <c r="BP76" s="169"/>
      <c r="BQ76" s="169"/>
      <c r="BR76" s="169"/>
      <c r="BS76" s="169"/>
      <c r="BT76" s="169"/>
      <c r="BU76" s="169"/>
      <c r="BV76" s="169"/>
      <c r="BW76" s="169"/>
      <c r="BX76" s="169"/>
      <c r="BY76" s="169"/>
      <c r="BZ76" s="169"/>
      <c r="CA76" s="169"/>
      <c r="CB76" s="169"/>
      <c r="CC76" s="169"/>
      <c r="CD76" s="169"/>
      <c r="CE76" s="169"/>
      <c r="CF76" s="169"/>
      <c r="CG76" s="169"/>
      <c r="CH76" s="169"/>
      <c r="CI76" s="169"/>
      <c r="CJ76" s="169"/>
      <c r="CK76" s="169"/>
      <c r="CL76" s="169"/>
      <c r="CM76" s="169"/>
      <c r="CN76" s="169"/>
      <c r="CO76" s="169"/>
      <c r="CP76" s="169"/>
      <c r="CQ76" s="169"/>
      <c r="CR76" s="169"/>
      <c r="CS76" s="169"/>
      <c r="CT76" s="169"/>
      <c r="CU76" s="169"/>
      <c r="CV76" s="169"/>
      <c r="CW76" s="169"/>
      <c r="CX76" s="169"/>
      <c r="CY76" s="169"/>
      <c r="CZ76" s="169"/>
      <c r="DA76" s="169"/>
      <c r="DB76" s="169"/>
      <c r="DC76" s="169"/>
      <c r="DD76" s="169"/>
      <c r="DE76" s="169"/>
      <c r="DF76" s="169"/>
      <c r="DG76" s="169"/>
      <c r="DH76" s="169"/>
      <c r="DI76" s="169"/>
      <c r="DJ76" s="169"/>
      <c r="DK76" s="169"/>
      <c r="DL76" s="169"/>
      <c r="DM76" s="169"/>
      <c r="DN76" s="169"/>
      <c r="DO76" s="169"/>
      <c r="DP76" s="169"/>
      <c r="DQ76" s="169"/>
      <c r="DR76" s="169"/>
      <c r="DS76" s="169"/>
      <c r="DT76" s="169"/>
      <c r="DU76" s="169"/>
      <c r="DV76" s="169"/>
      <c r="DW76" s="169"/>
      <c r="DX76" s="169"/>
      <c r="DY76" s="169"/>
      <c r="DZ76" s="169"/>
      <c r="EA76" s="169"/>
      <c r="EB76" s="169"/>
      <c r="EC76" s="169"/>
      <c r="ED76" s="169"/>
      <c r="EE76" s="169"/>
      <c r="EF76" s="169"/>
      <c r="EG76" s="169"/>
      <c r="EH76" s="169"/>
      <c r="EI76" s="169"/>
      <c r="EJ76" s="169"/>
      <c r="EK76" s="169"/>
      <c r="EL76" s="169"/>
      <c r="EM76" s="169"/>
      <c r="EN76" s="169"/>
      <c r="EO76" s="169"/>
      <c r="EP76" s="169"/>
      <c r="EQ76" s="169"/>
      <c r="ER76" s="169"/>
      <c r="ES76" s="169"/>
      <c r="ET76" s="169"/>
      <c r="EU76" s="169"/>
      <c r="EV76" s="169"/>
      <c r="EW76" s="169"/>
      <c r="EX76" s="169"/>
      <c r="EY76" s="169"/>
      <c r="EZ76" s="169"/>
      <c r="FA76" s="169"/>
      <c r="FB76" s="169"/>
      <c r="FC76" s="169"/>
      <c r="FD76" s="169"/>
      <c r="FE76" s="169"/>
      <c r="FF76" s="169"/>
      <c r="FG76" s="169"/>
      <c r="FH76" s="169"/>
      <c r="FI76" s="169"/>
      <c r="FJ76" s="169"/>
      <c r="FK76" s="169"/>
      <c r="FL76" s="169"/>
      <c r="FM76" s="169"/>
      <c r="FN76" s="169"/>
      <c r="FO76" s="169"/>
      <c r="FP76" s="169"/>
      <c r="FQ76" s="169"/>
      <c r="FR76" s="169"/>
      <c r="FS76" s="169"/>
      <c r="FT76" s="169"/>
      <c r="FU76" s="169"/>
      <c r="FV76" s="169"/>
      <c r="FW76" s="169"/>
      <c r="FX76" s="169"/>
      <c r="FY76" s="169"/>
      <c r="FZ76" s="169"/>
      <c r="GA76" s="169"/>
      <c r="GB76" s="169"/>
      <c r="GC76" s="169"/>
      <c r="GD76" s="169"/>
      <c r="GE76" s="169"/>
      <c r="GF76" s="169"/>
      <c r="GG76" s="169"/>
      <c r="GH76" s="169"/>
      <c r="GI76" s="169"/>
      <c r="GJ76" s="169"/>
      <c r="GK76" s="169"/>
      <c r="GL76" s="169"/>
      <c r="GM76" s="169"/>
      <c r="GN76" s="169"/>
      <c r="GO76" s="169"/>
      <c r="GP76" s="169"/>
      <c r="GQ76" s="169"/>
      <c r="GR76" s="169"/>
      <c r="GS76" s="169"/>
      <c r="GT76" s="169"/>
      <c r="GU76" s="169"/>
      <c r="GV76" s="169"/>
      <c r="GW76" s="169"/>
      <c r="GX76" s="169"/>
      <c r="GY76" s="169"/>
      <c r="GZ76" s="169"/>
      <c r="HA76" s="169"/>
      <c r="HB76" s="169"/>
      <c r="HC76" s="169"/>
      <c r="HD76" s="169"/>
      <c r="HE76" s="169"/>
      <c r="HF76" s="169"/>
      <c r="HG76" s="169"/>
      <c r="HH76" s="169"/>
      <c r="HI76" s="169"/>
      <c r="HJ76" s="169"/>
      <c r="HK76" s="169"/>
      <c r="HL76" s="169"/>
      <c r="HM76" s="169"/>
      <c r="HN76" s="169"/>
      <c r="HO76" s="169"/>
      <c r="HP76" s="169"/>
      <c r="HQ76" s="169"/>
      <c r="HR76" s="169"/>
      <c r="HS76" s="169"/>
      <c r="HT76" s="169"/>
      <c r="HU76" s="169"/>
      <c r="HV76" s="169"/>
      <c r="HW76" s="169"/>
      <c r="HX76" s="169"/>
      <c r="HY76" s="169"/>
      <c r="HZ76" s="169"/>
      <c r="IA76" s="169"/>
      <c r="IB76" s="169"/>
      <c r="IC76" s="169"/>
      <c r="ID76" s="169"/>
      <c r="IE76" s="169"/>
      <c r="IF76" s="169"/>
      <c r="IG76" s="169"/>
      <c r="IH76" s="169"/>
      <c r="II76" s="169"/>
      <c r="IJ76" s="169"/>
      <c r="IK76" s="169"/>
      <c r="IL76" s="169"/>
      <c r="IM76" s="169"/>
      <c r="IN76" s="169"/>
      <c r="IO76" s="169"/>
      <c r="IP76" s="169"/>
      <c r="IQ76" s="169"/>
      <c r="IR76" s="169"/>
      <c r="IS76" s="169"/>
      <c r="IT76" s="169"/>
      <c r="IU76" s="169"/>
      <c r="IV76" s="169"/>
    </row>
    <row r="77" spans="1:256" ht="13.8" thickBot="1" x14ac:dyDescent="0.3">
      <c r="A77" s="1278" t="s">
        <v>43</v>
      </c>
      <c r="B77" s="322" t="s">
        <v>44</v>
      </c>
      <c r="C77" s="322" t="s">
        <v>60</v>
      </c>
      <c r="D77" s="322" t="s">
        <v>3</v>
      </c>
      <c r="E77" s="323" t="s">
        <v>45</v>
      </c>
      <c r="F77" s="322" t="s">
        <v>46</v>
      </c>
      <c r="G77" s="322" t="s">
        <v>17</v>
      </c>
      <c r="H77" s="322" t="s">
        <v>28</v>
      </c>
      <c r="I77" s="322" t="s">
        <v>61</v>
      </c>
      <c r="J77" s="323" t="s">
        <v>34</v>
      </c>
      <c r="K77" s="321" t="s">
        <v>62</v>
      </c>
      <c r="L77" s="323" t="s">
        <v>63</v>
      </c>
      <c r="M77" s="1279" t="s">
        <v>36</v>
      </c>
      <c r="N77" s="169"/>
      <c r="O77" s="169"/>
      <c r="P77" s="169"/>
      <c r="Q77" s="169"/>
      <c r="R77" s="169"/>
      <c r="S77" s="169"/>
      <c r="T77" s="169"/>
      <c r="U77" s="169"/>
      <c r="V77" s="169"/>
      <c r="W77" s="169"/>
      <c r="X77" s="169"/>
      <c r="Y77" s="169"/>
      <c r="Z77" s="169"/>
      <c r="AA77" s="169"/>
      <c r="AB77" s="169"/>
      <c r="AC77" s="169"/>
      <c r="AD77" s="169"/>
      <c r="AE77" s="169"/>
      <c r="AF77" s="169"/>
      <c r="AG77" s="169"/>
      <c r="AH77" s="169"/>
      <c r="AI77" s="169"/>
      <c r="AJ77" s="169"/>
      <c r="AK77" s="169"/>
      <c r="AL77" s="169"/>
      <c r="AM77" s="169"/>
      <c r="AN77" s="169"/>
      <c r="AO77" s="169"/>
      <c r="AP77" s="169"/>
      <c r="AQ77" s="169"/>
      <c r="AR77" s="169"/>
      <c r="AS77" s="169"/>
      <c r="AT77" s="169"/>
      <c r="AU77" s="169"/>
      <c r="AV77" s="169"/>
      <c r="AW77" s="169"/>
      <c r="AX77" s="169"/>
      <c r="AY77" s="169"/>
      <c r="AZ77" s="169"/>
      <c r="BA77" s="169"/>
      <c r="BB77" s="169"/>
      <c r="BC77" s="169"/>
      <c r="BD77" s="169"/>
      <c r="BE77" s="169"/>
      <c r="BF77" s="169"/>
      <c r="BG77" s="169"/>
      <c r="BH77" s="169"/>
      <c r="BI77" s="169"/>
      <c r="BJ77" s="169"/>
      <c r="BK77" s="169"/>
      <c r="BL77" s="169"/>
      <c r="BM77" s="169"/>
      <c r="BN77" s="169"/>
      <c r="BO77" s="169"/>
      <c r="BP77" s="169"/>
      <c r="BQ77" s="169"/>
      <c r="BR77" s="169"/>
      <c r="BS77" s="169"/>
      <c r="BT77" s="169"/>
      <c r="BU77" s="169"/>
      <c r="BV77" s="169"/>
      <c r="BW77" s="169"/>
      <c r="BX77" s="169"/>
      <c r="BY77" s="169"/>
      <c r="BZ77" s="169"/>
      <c r="CA77" s="169"/>
      <c r="CB77" s="169"/>
      <c r="CC77" s="169"/>
      <c r="CD77" s="169"/>
      <c r="CE77" s="169"/>
      <c r="CF77" s="169"/>
      <c r="CG77" s="169"/>
      <c r="CH77" s="169"/>
      <c r="CI77" s="169"/>
      <c r="CJ77" s="169"/>
      <c r="CK77" s="169"/>
      <c r="CL77" s="169"/>
      <c r="CM77" s="169"/>
      <c r="CN77" s="169"/>
      <c r="CO77" s="169"/>
      <c r="CP77" s="169"/>
      <c r="CQ77" s="169"/>
      <c r="CR77" s="169"/>
      <c r="CS77" s="169"/>
      <c r="CT77" s="169"/>
      <c r="CU77" s="169"/>
      <c r="CV77" s="169"/>
      <c r="CW77" s="169"/>
      <c r="CX77" s="169"/>
      <c r="CY77" s="169"/>
      <c r="CZ77" s="169"/>
      <c r="DA77" s="169"/>
      <c r="DB77" s="169"/>
      <c r="DC77" s="169"/>
      <c r="DD77" s="169"/>
      <c r="DE77" s="169"/>
      <c r="DF77" s="169"/>
      <c r="DG77" s="169"/>
      <c r="DH77" s="169"/>
      <c r="DI77" s="169"/>
      <c r="DJ77" s="169"/>
      <c r="DK77" s="169"/>
      <c r="DL77" s="169"/>
      <c r="DM77" s="169"/>
      <c r="DN77" s="169"/>
      <c r="DO77" s="169"/>
      <c r="DP77" s="169"/>
      <c r="DQ77" s="169"/>
      <c r="DR77" s="169"/>
      <c r="DS77" s="169"/>
      <c r="DT77" s="169"/>
      <c r="DU77" s="169"/>
      <c r="DV77" s="169"/>
      <c r="DW77" s="169"/>
      <c r="DX77" s="169"/>
      <c r="DY77" s="169"/>
      <c r="DZ77" s="169"/>
      <c r="EA77" s="169"/>
      <c r="EB77" s="169"/>
      <c r="EC77" s="169"/>
      <c r="ED77" s="169"/>
      <c r="EE77" s="169"/>
      <c r="EF77" s="169"/>
      <c r="EG77" s="169"/>
      <c r="EH77" s="169"/>
      <c r="EI77" s="169"/>
      <c r="EJ77" s="169"/>
      <c r="EK77" s="169"/>
      <c r="EL77" s="169"/>
      <c r="EM77" s="169"/>
      <c r="EN77" s="169"/>
      <c r="EO77" s="169"/>
      <c r="EP77" s="169"/>
      <c r="EQ77" s="169"/>
      <c r="ER77" s="169"/>
      <c r="ES77" s="169"/>
      <c r="ET77" s="169"/>
      <c r="EU77" s="169"/>
      <c r="EV77" s="169"/>
      <c r="EW77" s="169"/>
      <c r="EX77" s="169"/>
      <c r="EY77" s="169"/>
      <c r="EZ77" s="169"/>
      <c r="FA77" s="169"/>
      <c r="FB77" s="169"/>
      <c r="FC77" s="169"/>
      <c r="FD77" s="169"/>
      <c r="FE77" s="169"/>
      <c r="FF77" s="169"/>
      <c r="FG77" s="169"/>
      <c r="FH77" s="169"/>
      <c r="FI77" s="169"/>
      <c r="FJ77" s="169"/>
      <c r="FK77" s="169"/>
      <c r="FL77" s="169"/>
      <c r="FM77" s="169"/>
      <c r="FN77" s="169"/>
      <c r="FO77" s="169"/>
      <c r="FP77" s="169"/>
      <c r="FQ77" s="169"/>
      <c r="FR77" s="169"/>
      <c r="FS77" s="169"/>
      <c r="FT77" s="169"/>
      <c r="FU77" s="169"/>
      <c r="FV77" s="169"/>
      <c r="FW77" s="169"/>
      <c r="FX77" s="169"/>
      <c r="FY77" s="169"/>
      <c r="FZ77" s="169"/>
      <c r="GA77" s="169"/>
      <c r="GB77" s="169"/>
      <c r="GC77" s="169"/>
      <c r="GD77" s="169"/>
      <c r="GE77" s="169"/>
      <c r="GF77" s="169"/>
      <c r="GG77" s="169"/>
      <c r="GH77" s="169"/>
      <c r="GI77" s="169"/>
      <c r="GJ77" s="169"/>
      <c r="GK77" s="169"/>
      <c r="GL77" s="169"/>
      <c r="GM77" s="169"/>
      <c r="GN77" s="169"/>
      <c r="GO77" s="169"/>
      <c r="GP77" s="169"/>
      <c r="GQ77" s="169"/>
      <c r="GR77" s="169"/>
      <c r="GS77" s="169"/>
      <c r="GT77" s="169"/>
      <c r="GU77" s="169"/>
      <c r="GV77" s="169"/>
      <c r="GW77" s="169"/>
      <c r="GX77" s="169"/>
      <c r="GY77" s="169"/>
      <c r="GZ77" s="169"/>
      <c r="HA77" s="169"/>
      <c r="HB77" s="169"/>
      <c r="HC77" s="169"/>
      <c r="HD77" s="169"/>
      <c r="HE77" s="169"/>
      <c r="HF77" s="169"/>
      <c r="HG77" s="169"/>
      <c r="HH77" s="169"/>
      <c r="HI77" s="169"/>
      <c r="HJ77" s="169"/>
      <c r="HK77" s="169"/>
      <c r="HL77" s="169"/>
      <c r="HM77" s="169"/>
      <c r="HN77" s="169"/>
      <c r="HO77" s="169"/>
      <c r="HP77" s="169"/>
      <c r="HQ77" s="169"/>
      <c r="HR77" s="169"/>
      <c r="HS77" s="169"/>
      <c r="HT77" s="169"/>
      <c r="HU77" s="169"/>
      <c r="HV77" s="169"/>
      <c r="HW77" s="169"/>
      <c r="HX77" s="169"/>
      <c r="HY77" s="169"/>
      <c r="HZ77" s="169"/>
      <c r="IA77" s="169"/>
      <c r="IB77" s="169"/>
      <c r="IC77" s="169"/>
      <c r="ID77" s="169"/>
      <c r="IE77" s="169"/>
      <c r="IF77" s="169"/>
      <c r="IG77" s="169"/>
      <c r="IH77" s="169"/>
      <c r="II77" s="169"/>
      <c r="IJ77" s="169"/>
      <c r="IK77" s="169"/>
      <c r="IL77" s="169"/>
      <c r="IM77" s="169"/>
      <c r="IN77" s="169"/>
      <c r="IO77" s="169"/>
      <c r="IP77" s="169"/>
      <c r="IQ77" s="169"/>
      <c r="IR77" s="169"/>
      <c r="IS77" s="169"/>
      <c r="IT77" s="169"/>
      <c r="IU77" s="169"/>
      <c r="IV77" s="169"/>
    </row>
    <row r="78" spans="1:256" ht="13.8" x14ac:dyDescent="0.25">
      <c r="A78" s="1459" t="s">
        <v>1434</v>
      </c>
      <c r="B78" s="1460"/>
      <c r="C78" s="1461"/>
      <c r="D78" s="1462"/>
      <c r="E78" s="1463"/>
      <c r="F78" s="605"/>
      <c r="G78" s="606"/>
      <c r="H78" s="493"/>
      <c r="I78" s="493"/>
      <c r="J78" s="493"/>
      <c r="K78" s="605"/>
      <c r="L78" s="605"/>
      <c r="M78" s="607"/>
      <c r="N78" s="169"/>
      <c r="O78" s="169"/>
      <c r="P78" s="169"/>
      <c r="Q78" s="169"/>
      <c r="R78" s="169"/>
      <c r="S78" s="169"/>
      <c r="T78" s="169"/>
      <c r="U78" s="169"/>
      <c r="V78" s="169"/>
      <c r="W78" s="169"/>
      <c r="X78" s="169"/>
      <c r="Y78" s="169"/>
      <c r="Z78" s="169"/>
      <c r="AA78" s="169"/>
      <c r="AB78" s="169"/>
      <c r="AC78" s="169"/>
      <c r="AD78" s="169"/>
      <c r="AE78" s="169"/>
      <c r="AF78" s="169"/>
      <c r="AG78" s="169"/>
      <c r="AH78" s="169"/>
      <c r="AI78" s="169"/>
      <c r="AJ78" s="169"/>
      <c r="AK78" s="169"/>
      <c r="AL78" s="169"/>
      <c r="AM78" s="169"/>
      <c r="AN78" s="169"/>
      <c r="AO78" s="169"/>
      <c r="AP78" s="169"/>
      <c r="AQ78" s="169"/>
      <c r="AR78" s="169"/>
      <c r="AS78" s="169"/>
      <c r="AT78" s="169"/>
      <c r="AU78" s="169"/>
      <c r="AV78" s="169"/>
      <c r="AW78" s="169"/>
      <c r="AX78" s="169"/>
      <c r="AY78" s="169"/>
      <c r="AZ78" s="169"/>
      <c r="BA78" s="169"/>
      <c r="BB78" s="169"/>
      <c r="BC78" s="169"/>
      <c r="BD78" s="169"/>
      <c r="BE78" s="169"/>
      <c r="BF78" s="169"/>
      <c r="BG78" s="169"/>
      <c r="BH78" s="169"/>
      <c r="BI78" s="169"/>
      <c r="BJ78" s="169"/>
      <c r="BK78" s="169"/>
      <c r="BL78" s="169"/>
      <c r="BM78" s="169"/>
      <c r="BN78" s="169"/>
      <c r="BO78" s="169"/>
      <c r="BP78" s="169"/>
      <c r="BQ78" s="169"/>
      <c r="BR78" s="169"/>
      <c r="BS78" s="169"/>
      <c r="BT78" s="169"/>
      <c r="BU78" s="169"/>
      <c r="BV78" s="169"/>
      <c r="BW78" s="169"/>
      <c r="BX78" s="169"/>
      <c r="BY78" s="169"/>
      <c r="BZ78" s="169"/>
      <c r="CA78" s="169"/>
      <c r="CB78" s="169"/>
      <c r="CC78" s="169"/>
      <c r="CD78" s="169"/>
      <c r="CE78" s="169"/>
      <c r="CF78" s="169"/>
      <c r="CG78" s="169"/>
      <c r="CH78" s="169"/>
      <c r="CI78" s="169"/>
      <c r="CJ78" s="169"/>
      <c r="CK78" s="169"/>
      <c r="CL78" s="169"/>
      <c r="CM78" s="169"/>
      <c r="CN78" s="169"/>
      <c r="CO78" s="169"/>
      <c r="CP78" s="169"/>
      <c r="CQ78" s="169"/>
      <c r="CR78" s="169"/>
      <c r="CS78" s="169"/>
      <c r="CT78" s="169"/>
      <c r="CU78" s="169"/>
      <c r="CV78" s="169"/>
      <c r="CW78" s="169"/>
      <c r="CX78" s="169"/>
      <c r="CY78" s="169"/>
      <c r="CZ78" s="169"/>
      <c r="DA78" s="169"/>
      <c r="DB78" s="169"/>
      <c r="DC78" s="169"/>
      <c r="DD78" s="169"/>
      <c r="DE78" s="169"/>
      <c r="DF78" s="169"/>
      <c r="DG78" s="169"/>
      <c r="DH78" s="169"/>
      <c r="DI78" s="169"/>
      <c r="DJ78" s="169"/>
      <c r="DK78" s="169"/>
      <c r="DL78" s="169"/>
      <c r="DM78" s="169"/>
      <c r="DN78" s="169"/>
      <c r="DO78" s="169"/>
      <c r="DP78" s="169"/>
      <c r="DQ78" s="169"/>
      <c r="DR78" s="169"/>
      <c r="DS78" s="169"/>
      <c r="DT78" s="169"/>
      <c r="DU78" s="169"/>
      <c r="DV78" s="169"/>
      <c r="DW78" s="169"/>
      <c r="DX78" s="169"/>
      <c r="DY78" s="169"/>
      <c r="DZ78" s="169"/>
      <c r="EA78" s="169"/>
      <c r="EB78" s="169"/>
      <c r="EC78" s="169"/>
      <c r="ED78" s="169"/>
      <c r="EE78" s="169"/>
      <c r="EF78" s="169"/>
      <c r="EG78" s="169"/>
      <c r="EH78" s="169"/>
      <c r="EI78" s="169"/>
      <c r="EJ78" s="169"/>
      <c r="EK78" s="169"/>
      <c r="EL78" s="169"/>
      <c r="EM78" s="169"/>
      <c r="EN78" s="169"/>
      <c r="EO78" s="169"/>
      <c r="EP78" s="169"/>
      <c r="EQ78" s="169"/>
      <c r="ER78" s="169"/>
      <c r="ES78" s="169"/>
      <c r="ET78" s="169"/>
      <c r="EU78" s="169"/>
      <c r="EV78" s="169"/>
      <c r="EW78" s="169"/>
      <c r="EX78" s="169"/>
      <c r="EY78" s="169"/>
      <c r="EZ78" s="169"/>
      <c r="FA78" s="169"/>
      <c r="FB78" s="169"/>
      <c r="FC78" s="169"/>
      <c r="FD78" s="169"/>
      <c r="FE78" s="169"/>
      <c r="FF78" s="169"/>
      <c r="FG78" s="169"/>
      <c r="FH78" s="169"/>
      <c r="FI78" s="169"/>
      <c r="FJ78" s="169"/>
      <c r="FK78" s="169"/>
      <c r="FL78" s="169"/>
      <c r="FM78" s="169"/>
      <c r="FN78" s="169"/>
      <c r="FO78" s="169"/>
      <c r="FP78" s="169"/>
      <c r="FQ78" s="169"/>
      <c r="FR78" s="169"/>
      <c r="FS78" s="169"/>
      <c r="FT78" s="169"/>
      <c r="FU78" s="169"/>
      <c r="FV78" s="169"/>
      <c r="FW78" s="169"/>
      <c r="FX78" s="169"/>
      <c r="FY78" s="169"/>
      <c r="FZ78" s="169"/>
      <c r="GA78" s="169"/>
      <c r="GB78" s="169"/>
      <c r="GC78" s="169"/>
      <c r="GD78" s="169"/>
      <c r="GE78" s="169"/>
      <c r="GF78" s="169"/>
      <c r="GG78" s="169"/>
      <c r="GH78" s="169"/>
      <c r="GI78" s="169"/>
      <c r="GJ78" s="169"/>
      <c r="GK78" s="169"/>
      <c r="GL78" s="169"/>
      <c r="GM78" s="169"/>
      <c r="GN78" s="169"/>
      <c r="GO78" s="169"/>
      <c r="GP78" s="169"/>
      <c r="GQ78" s="169"/>
      <c r="GR78" s="169"/>
      <c r="GS78" s="169"/>
      <c r="GT78" s="169"/>
      <c r="GU78" s="169"/>
      <c r="GV78" s="169"/>
      <c r="GW78" s="169"/>
      <c r="GX78" s="169"/>
      <c r="GY78" s="169"/>
      <c r="GZ78" s="169"/>
      <c r="HA78" s="169"/>
      <c r="HB78" s="169"/>
      <c r="HC78" s="169"/>
      <c r="HD78" s="169"/>
      <c r="HE78" s="169"/>
      <c r="HF78" s="169"/>
      <c r="HG78" s="169"/>
      <c r="HH78" s="169"/>
      <c r="HI78" s="169"/>
      <c r="HJ78" s="169"/>
      <c r="HK78" s="169"/>
      <c r="HL78" s="169"/>
      <c r="HM78" s="169"/>
      <c r="HN78" s="169"/>
      <c r="HO78" s="169"/>
      <c r="HP78" s="169"/>
      <c r="HQ78" s="169"/>
      <c r="HR78" s="169"/>
      <c r="HS78" s="169"/>
      <c r="HT78" s="169"/>
      <c r="HU78" s="169"/>
      <c r="HV78" s="169"/>
      <c r="HW78" s="169"/>
      <c r="HX78" s="169"/>
      <c r="HY78" s="169"/>
      <c r="HZ78" s="169"/>
      <c r="IA78" s="169"/>
      <c r="IB78" s="169"/>
      <c r="IC78" s="169"/>
      <c r="ID78" s="169"/>
      <c r="IE78" s="169"/>
      <c r="IF78" s="169"/>
      <c r="IG78" s="169"/>
      <c r="IH78" s="169"/>
      <c r="II78" s="169"/>
      <c r="IJ78" s="169"/>
      <c r="IK78" s="169"/>
      <c r="IL78" s="169"/>
      <c r="IM78" s="169"/>
      <c r="IN78" s="169"/>
      <c r="IO78" s="169"/>
      <c r="IP78" s="169"/>
      <c r="IQ78" s="169"/>
      <c r="IR78" s="169"/>
      <c r="IS78" s="169"/>
      <c r="IT78" s="169"/>
      <c r="IU78" s="169"/>
      <c r="IV78" s="169"/>
    </row>
    <row r="79" spans="1:256" ht="15" x14ac:dyDescent="0.25">
      <c r="A79" s="1307"/>
      <c r="B79" s="1308"/>
      <c r="C79" s="1260"/>
      <c r="D79" s="1261"/>
      <c r="E79" s="1261"/>
      <c r="F79" s="1262"/>
      <c r="G79" s="1263"/>
      <c r="H79" s="1262"/>
      <c r="I79" s="1262"/>
      <c r="J79" s="1264"/>
      <c r="K79" s="1262"/>
      <c r="L79" s="1262"/>
      <c r="M79" s="1265"/>
      <c r="N79" s="169"/>
      <c r="O79" s="169"/>
      <c r="P79" s="169"/>
      <c r="Q79" s="169"/>
      <c r="R79" s="169"/>
      <c r="S79" s="169"/>
      <c r="T79" s="169"/>
      <c r="U79" s="169"/>
      <c r="V79" s="169"/>
      <c r="W79" s="169"/>
      <c r="X79" s="169"/>
      <c r="Y79" s="169"/>
      <c r="Z79" s="169"/>
      <c r="AA79" s="169"/>
      <c r="AB79" s="169"/>
      <c r="AC79" s="169"/>
      <c r="AD79" s="169"/>
      <c r="AE79" s="169"/>
      <c r="AF79" s="169"/>
      <c r="AG79" s="169"/>
      <c r="AH79" s="169"/>
      <c r="AI79" s="169"/>
      <c r="AJ79" s="169"/>
      <c r="AK79" s="169"/>
      <c r="AL79" s="169"/>
      <c r="AM79" s="169"/>
      <c r="AN79" s="169"/>
      <c r="AO79" s="169"/>
      <c r="AP79" s="169"/>
      <c r="AQ79" s="169"/>
      <c r="AR79" s="169"/>
      <c r="AS79" s="169"/>
      <c r="AT79" s="169"/>
      <c r="AU79" s="169"/>
      <c r="AV79" s="169"/>
      <c r="AW79" s="169"/>
      <c r="AX79" s="169"/>
      <c r="AY79" s="169"/>
      <c r="AZ79" s="169"/>
      <c r="BA79" s="169"/>
      <c r="BB79" s="169"/>
      <c r="BC79" s="169"/>
      <c r="BD79" s="169"/>
      <c r="BE79" s="169"/>
      <c r="BF79" s="169"/>
      <c r="BG79" s="169"/>
      <c r="BH79" s="169"/>
      <c r="BI79" s="169"/>
      <c r="BJ79" s="169"/>
      <c r="BK79" s="169"/>
      <c r="BL79" s="169"/>
      <c r="BM79" s="169"/>
      <c r="BN79" s="169"/>
      <c r="BO79" s="169"/>
      <c r="BP79" s="169"/>
      <c r="BQ79" s="169"/>
      <c r="BR79" s="169"/>
      <c r="BS79" s="169"/>
      <c r="BT79" s="169"/>
      <c r="BU79" s="169"/>
      <c r="BV79" s="169"/>
      <c r="BW79" s="169"/>
      <c r="BX79" s="169"/>
      <c r="BY79" s="169"/>
      <c r="BZ79" s="169"/>
      <c r="CA79" s="169"/>
      <c r="CB79" s="169"/>
      <c r="CC79" s="169"/>
      <c r="CD79" s="169"/>
      <c r="CE79" s="169"/>
      <c r="CF79" s="169"/>
      <c r="CG79" s="169"/>
      <c r="CH79" s="169"/>
      <c r="CI79" s="169"/>
      <c r="CJ79" s="169"/>
      <c r="CK79" s="169"/>
      <c r="CL79" s="169"/>
      <c r="CM79" s="169"/>
      <c r="CN79" s="169"/>
      <c r="CO79" s="169"/>
      <c r="CP79" s="169"/>
      <c r="CQ79" s="169"/>
      <c r="CR79" s="169"/>
      <c r="CS79" s="169"/>
      <c r="CT79" s="169"/>
      <c r="CU79" s="169"/>
      <c r="CV79" s="169"/>
      <c r="CW79" s="169"/>
      <c r="CX79" s="169"/>
      <c r="CY79" s="169"/>
      <c r="CZ79" s="169"/>
      <c r="DA79" s="169"/>
      <c r="DB79" s="169"/>
      <c r="DC79" s="169"/>
      <c r="DD79" s="169"/>
      <c r="DE79" s="169"/>
      <c r="DF79" s="169"/>
      <c r="DG79" s="169"/>
      <c r="DH79" s="169"/>
      <c r="DI79" s="169"/>
      <c r="DJ79" s="169"/>
      <c r="DK79" s="169"/>
      <c r="DL79" s="169"/>
      <c r="DM79" s="169"/>
      <c r="DN79" s="169"/>
      <c r="DO79" s="169"/>
      <c r="DP79" s="169"/>
      <c r="DQ79" s="169"/>
      <c r="DR79" s="169"/>
      <c r="DS79" s="169"/>
      <c r="DT79" s="169"/>
      <c r="DU79" s="169"/>
      <c r="DV79" s="169"/>
      <c r="DW79" s="169"/>
      <c r="DX79" s="169"/>
      <c r="DY79" s="169"/>
      <c r="DZ79" s="169"/>
      <c r="EA79" s="169"/>
      <c r="EB79" s="169"/>
      <c r="EC79" s="169"/>
      <c r="ED79" s="169"/>
      <c r="EE79" s="169"/>
      <c r="EF79" s="169"/>
      <c r="EG79" s="169"/>
      <c r="EH79" s="169"/>
      <c r="EI79" s="169"/>
      <c r="EJ79" s="169"/>
      <c r="EK79" s="169"/>
      <c r="EL79" s="169"/>
      <c r="EM79" s="169"/>
      <c r="EN79" s="169"/>
      <c r="EO79" s="169"/>
      <c r="EP79" s="169"/>
      <c r="EQ79" s="169"/>
      <c r="ER79" s="169"/>
      <c r="ES79" s="169"/>
      <c r="ET79" s="169"/>
      <c r="EU79" s="169"/>
      <c r="EV79" s="169"/>
      <c r="EW79" s="169"/>
      <c r="EX79" s="169"/>
      <c r="EY79" s="169"/>
      <c r="EZ79" s="169"/>
      <c r="FA79" s="169"/>
      <c r="FB79" s="169"/>
      <c r="FC79" s="169"/>
      <c r="FD79" s="169"/>
      <c r="FE79" s="169"/>
      <c r="FF79" s="169"/>
      <c r="FG79" s="169"/>
      <c r="FH79" s="169"/>
      <c r="FI79" s="169"/>
      <c r="FJ79" s="169"/>
      <c r="FK79" s="169"/>
      <c r="FL79" s="169"/>
      <c r="FM79" s="169"/>
      <c r="FN79" s="169"/>
      <c r="FO79" s="169"/>
      <c r="FP79" s="169"/>
      <c r="FQ79" s="169"/>
      <c r="FR79" s="169"/>
      <c r="FS79" s="169"/>
      <c r="FT79" s="169"/>
      <c r="FU79" s="169"/>
      <c r="FV79" s="169"/>
      <c r="FW79" s="169"/>
      <c r="FX79" s="169"/>
      <c r="FY79" s="169"/>
      <c r="FZ79" s="169"/>
      <c r="GA79" s="169"/>
      <c r="GB79" s="169"/>
      <c r="GC79" s="169"/>
      <c r="GD79" s="169"/>
      <c r="GE79" s="169"/>
      <c r="GF79" s="169"/>
      <c r="GG79" s="169"/>
      <c r="GH79" s="169"/>
      <c r="GI79" s="169"/>
      <c r="GJ79" s="169"/>
      <c r="GK79" s="169"/>
      <c r="GL79" s="169"/>
      <c r="GM79" s="169"/>
      <c r="GN79" s="169"/>
      <c r="GO79" s="169"/>
      <c r="GP79" s="169"/>
      <c r="GQ79" s="169"/>
      <c r="GR79" s="169"/>
      <c r="GS79" s="169"/>
      <c r="GT79" s="169"/>
      <c r="GU79" s="169"/>
      <c r="GV79" s="169"/>
      <c r="GW79" s="169"/>
      <c r="GX79" s="169"/>
      <c r="GY79" s="169"/>
      <c r="GZ79" s="169"/>
      <c r="HA79" s="169"/>
      <c r="HB79" s="169"/>
      <c r="HC79" s="169"/>
      <c r="HD79" s="169"/>
      <c r="HE79" s="169"/>
      <c r="HF79" s="169"/>
      <c r="HG79" s="169"/>
      <c r="HH79" s="169"/>
      <c r="HI79" s="169"/>
      <c r="HJ79" s="169"/>
      <c r="HK79" s="169"/>
      <c r="HL79" s="169"/>
      <c r="HM79" s="169"/>
      <c r="HN79" s="169"/>
      <c r="HO79" s="169"/>
      <c r="HP79" s="169"/>
      <c r="HQ79" s="169"/>
      <c r="HR79" s="169"/>
      <c r="HS79" s="169"/>
      <c r="HT79" s="169"/>
      <c r="HU79" s="169"/>
      <c r="HV79" s="169"/>
      <c r="HW79" s="169"/>
      <c r="HX79" s="169"/>
      <c r="HY79" s="169"/>
      <c r="HZ79" s="169"/>
      <c r="IA79" s="169"/>
      <c r="IB79" s="169"/>
      <c r="IC79" s="169"/>
      <c r="ID79" s="169"/>
      <c r="IE79" s="169"/>
      <c r="IF79" s="169"/>
      <c r="IG79" s="169"/>
      <c r="IH79" s="169"/>
      <c r="II79" s="169"/>
      <c r="IJ79" s="169"/>
      <c r="IK79" s="169"/>
      <c r="IL79" s="169"/>
      <c r="IM79" s="169"/>
      <c r="IN79" s="169"/>
      <c r="IO79" s="169"/>
      <c r="IP79" s="169"/>
      <c r="IQ79" s="169"/>
      <c r="IR79" s="169"/>
      <c r="IS79" s="169"/>
      <c r="IT79" s="169"/>
      <c r="IU79" s="169"/>
      <c r="IV79" s="169"/>
    </row>
    <row r="80" spans="1:256" ht="15" x14ac:dyDescent="0.25">
      <c r="A80" s="1309">
        <v>2</v>
      </c>
      <c r="B80" s="1310">
        <v>44712</v>
      </c>
      <c r="C80" s="1266">
        <v>0</v>
      </c>
      <c r="D80" s="1267">
        <v>44708</v>
      </c>
      <c r="E80" s="1268">
        <v>119462</v>
      </c>
      <c r="F80" s="1269">
        <v>0.44900000000000001</v>
      </c>
      <c r="G80" s="1270">
        <f>'COE_REAJ_OB. PUENTE'!G32</f>
        <v>6.2449999999999999E-2</v>
      </c>
      <c r="H80" s="1271">
        <v>503.23</v>
      </c>
      <c r="I80" s="1271">
        <v>503.23</v>
      </c>
      <c r="J80" s="1271">
        <f>'COE_REAJ_OB. PUENTE'!H64</f>
        <v>503.23</v>
      </c>
      <c r="K80" s="1272">
        <f>ROUND($E$80*$H$80/I80,2)</f>
        <v>119462</v>
      </c>
      <c r="L80" s="1272">
        <f t="shared" ref="L80:L85" si="22">ROUND($F$37*$G$37*C80,2)</f>
        <v>0</v>
      </c>
      <c r="M80" s="1273">
        <f t="shared" ref="M80:M85" si="23">ROUND(L80*(J80-I80)/$H$37,2)</f>
        <v>0</v>
      </c>
      <c r="N80" s="175"/>
      <c r="O80" s="175"/>
      <c r="P80" s="175"/>
      <c r="Q80" s="175"/>
      <c r="R80" s="175"/>
      <c r="S80" s="175"/>
      <c r="T80" s="175"/>
      <c r="U80" s="175"/>
      <c r="V80" s="175"/>
      <c r="W80" s="175"/>
      <c r="X80" s="175"/>
      <c r="Y80" s="175"/>
      <c r="Z80" s="175"/>
      <c r="AA80" s="175"/>
      <c r="AB80" s="175"/>
      <c r="AC80" s="175"/>
      <c r="AD80" s="175"/>
      <c r="AE80" s="175"/>
      <c r="AF80" s="169"/>
      <c r="AG80" s="169"/>
      <c r="AH80" s="169"/>
      <c r="AI80" s="169"/>
      <c r="AJ80" s="169"/>
      <c r="AK80" s="169"/>
      <c r="AL80" s="169"/>
      <c r="AM80" s="169"/>
      <c r="AN80" s="169"/>
      <c r="AO80" s="169"/>
      <c r="AP80" s="169"/>
      <c r="AQ80" s="169"/>
      <c r="AR80" s="169"/>
      <c r="AS80" s="169"/>
      <c r="AT80" s="169"/>
      <c r="AU80" s="169"/>
      <c r="AV80" s="169"/>
      <c r="AW80" s="169"/>
      <c r="AX80" s="169"/>
      <c r="AY80" s="169"/>
      <c r="AZ80" s="169"/>
      <c r="BA80" s="169"/>
      <c r="BB80" s="169"/>
      <c r="BC80" s="169"/>
      <c r="BD80" s="169"/>
      <c r="BE80" s="169"/>
      <c r="BF80" s="169"/>
      <c r="BG80" s="169"/>
      <c r="BH80" s="169"/>
      <c r="BI80" s="169"/>
      <c r="BJ80" s="169"/>
      <c r="BK80" s="169"/>
      <c r="BL80" s="169"/>
      <c r="BM80" s="169"/>
      <c r="BN80" s="169"/>
      <c r="BO80" s="169"/>
      <c r="BP80" s="169"/>
      <c r="BQ80" s="169"/>
      <c r="BR80" s="169"/>
      <c r="BS80" s="169"/>
      <c r="BT80" s="169"/>
      <c r="BU80" s="169"/>
      <c r="BV80" s="169"/>
      <c r="BW80" s="169"/>
      <c r="BX80" s="169"/>
      <c r="BY80" s="169"/>
      <c r="BZ80" s="169"/>
      <c r="CA80" s="169"/>
      <c r="CB80" s="169"/>
      <c r="CC80" s="169"/>
      <c r="CD80" s="169"/>
      <c r="CE80" s="169"/>
      <c r="CF80" s="169"/>
      <c r="CG80" s="169"/>
      <c r="CH80" s="169"/>
      <c r="CI80" s="169"/>
      <c r="CJ80" s="169"/>
      <c r="CK80" s="169"/>
      <c r="CL80" s="169"/>
      <c r="CM80" s="169"/>
      <c r="CN80" s="169"/>
      <c r="CO80" s="169"/>
      <c r="CP80" s="169"/>
      <c r="CQ80" s="169"/>
      <c r="CR80" s="169"/>
      <c r="CS80" s="169"/>
      <c r="CT80" s="169"/>
      <c r="CU80" s="169"/>
      <c r="CV80" s="169"/>
      <c r="CW80" s="169"/>
      <c r="CX80" s="169"/>
      <c r="CY80" s="169"/>
      <c r="CZ80" s="169"/>
      <c r="DA80" s="169"/>
      <c r="DB80" s="169"/>
      <c r="DC80" s="169"/>
      <c r="DD80" s="169"/>
      <c r="DE80" s="169"/>
      <c r="DF80" s="169"/>
      <c r="DG80" s="169"/>
      <c r="DH80" s="169"/>
      <c r="DI80" s="169"/>
      <c r="DJ80" s="169"/>
      <c r="DK80" s="169"/>
      <c r="DL80" s="169"/>
      <c r="DM80" s="169"/>
      <c r="DN80" s="169"/>
      <c r="DO80" s="169"/>
      <c r="DP80" s="169"/>
      <c r="DQ80" s="169"/>
      <c r="DR80" s="169"/>
      <c r="DS80" s="169"/>
      <c r="DT80" s="169"/>
      <c r="DU80" s="169"/>
      <c r="DV80" s="169"/>
      <c r="DW80" s="169"/>
      <c r="DX80" s="169"/>
      <c r="DY80" s="169"/>
      <c r="DZ80" s="169"/>
      <c r="EA80" s="169"/>
      <c r="EB80" s="169"/>
      <c r="EC80" s="169"/>
      <c r="ED80" s="169"/>
      <c r="EE80" s="169"/>
      <c r="EF80" s="169"/>
      <c r="EG80" s="169"/>
      <c r="EH80" s="169"/>
      <c r="EI80" s="169"/>
      <c r="EJ80" s="169"/>
      <c r="EK80" s="169"/>
      <c r="EL80" s="169"/>
      <c r="EM80" s="169"/>
      <c r="EN80" s="169"/>
      <c r="EO80" s="169"/>
      <c r="EP80" s="169"/>
      <c r="EQ80" s="169"/>
      <c r="ER80" s="169"/>
      <c r="ES80" s="169"/>
      <c r="ET80" s="169"/>
      <c r="EU80" s="169"/>
      <c r="EV80" s="169"/>
      <c r="EW80" s="169"/>
      <c r="EX80" s="169"/>
      <c r="EY80" s="169"/>
      <c r="EZ80" s="169"/>
      <c r="FA80" s="169"/>
      <c r="FB80" s="169"/>
      <c r="FC80" s="169"/>
      <c r="FD80" s="169"/>
      <c r="FE80" s="169"/>
      <c r="FF80" s="169"/>
      <c r="FG80" s="169"/>
      <c r="FH80" s="169"/>
      <c r="FI80" s="169"/>
      <c r="FJ80" s="169"/>
      <c r="FK80" s="169"/>
      <c r="FL80" s="169"/>
      <c r="FM80" s="169"/>
      <c r="FN80" s="169"/>
      <c r="FO80" s="169"/>
      <c r="FP80" s="169"/>
      <c r="FQ80" s="169"/>
      <c r="FR80" s="169"/>
      <c r="FS80" s="169"/>
      <c r="FT80" s="169"/>
      <c r="FU80" s="169"/>
      <c r="FV80" s="169"/>
      <c r="FW80" s="169"/>
      <c r="FX80" s="169"/>
      <c r="FY80" s="169"/>
      <c r="FZ80" s="169"/>
      <c r="GA80" s="169"/>
      <c r="GB80" s="169"/>
      <c r="GC80" s="169"/>
      <c r="GD80" s="169"/>
      <c r="GE80" s="169"/>
      <c r="GF80" s="169"/>
      <c r="GG80" s="169"/>
      <c r="GH80" s="169"/>
      <c r="GI80" s="169"/>
      <c r="GJ80" s="169"/>
      <c r="GK80" s="169"/>
      <c r="GL80" s="169"/>
      <c r="GM80" s="169"/>
      <c r="GN80" s="169"/>
      <c r="GO80" s="169"/>
      <c r="GP80" s="169"/>
      <c r="GQ80" s="169"/>
      <c r="GR80" s="169"/>
      <c r="GS80" s="169"/>
      <c r="GT80" s="169"/>
      <c r="GU80" s="169"/>
      <c r="GV80" s="169"/>
      <c r="GW80" s="169"/>
      <c r="GX80" s="169"/>
      <c r="GY80" s="169"/>
      <c r="GZ80" s="169"/>
      <c r="HA80" s="169"/>
      <c r="HB80" s="169"/>
      <c r="HC80" s="169"/>
      <c r="HD80" s="169"/>
      <c r="HE80" s="169"/>
      <c r="HF80" s="169"/>
      <c r="HG80" s="169"/>
      <c r="HH80" s="169"/>
      <c r="HI80" s="169"/>
      <c r="HJ80" s="169"/>
      <c r="HK80" s="169"/>
      <c r="HL80" s="169"/>
      <c r="HM80" s="169"/>
      <c r="HN80" s="169"/>
      <c r="HO80" s="169"/>
      <c r="HP80" s="169"/>
      <c r="HQ80" s="169"/>
      <c r="HR80" s="169"/>
      <c r="HS80" s="169"/>
      <c r="HT80" s="169"/>
      <c r="HU80" s="169"/>
      <c r="HV80" s="169"/>
      <c r="HW80" s="169"/>
      <c r="HX80" s="169"/>
      <c r="HY80" s="169"/>
      <c r="HZ80" s="169"/>
      <c r="IA80" s="169"/>
      <c r="IB80" s="169"/>
      <c r="IC80" s="169"/>
      <c r="ID80" s="169"/>
      <c r="IE80" s="169"/>
      <c r="IF80" s="169"/>
      <c r="IG80" s="169"/>
      <c r="IH80" s="169"/>
      <c r="II80" s="169"/>
      <c r="IJ80" s="169"/>
      <c r="IK80" s="169"/>
      <c r="IL80" s="169"/>
      <c r="IM80" s="169"/>
      <c r="IN80" s="169"/>
      <c r="IO80" s="169"/>
      <c r="IP80" s="169"/>
      <c r="IQ80" s="169"/>
      <c r="IR80" s="169"/>
      <c r="IS80" s="169"/>
      <c r="IT80" s="169"/>
      <c r="IU80" s="169"/>
      <c r="IV80" s="169"/>
    </row>
    <row r="81" spans="1:256" ht="15" x14ac:dyDescent="0.25">
      <c r="A81" s="1309">
        <v>3</v>
      </c>
      <c r="B81" s="1310">
        <v>44742</v>
      </c>
      <c r="C81" s="1266">
        <v>0</v>
      </c>
      <c r="D81" s="1267">
        <v>44708</v>
      </c>
      <c r="E81" s="1268">
        <v>119462</v>
      </c>
      <c r="F81" s="1269">
        <v>0.44900000000000001</v>
      </c>
      <c r="G81" s="1270">
        <f>G80</f>
        <v>6.2449999999999999E-2</v>
      </c>
      <c r="H81" s="1271">
        <v>503.23</v>
      </c>
      <c r="I81" s="1271">
        <v>503.23</v>
      </c>
      <c r="J81" s="1271">
        <f>'COE_REAJ_OB. PUENTE'!I64</f>
        <v>527.79999999999995</v>
      </c>
      <c r="K81" s="1272">
        <f t="shared" ref="K81:K82" si="24">ROUND($E$80*$H$80/I81,2)</f>
        <v>119462</v>
      </c>
      <c r="L81" s="1272">
        <f t="shared" si="22"/>
        <v>0</v>
      </c>
      <c r="M81" s="1273">
        <f t="shared" si="23"/>
        <v>0</v>
      </c>
      <c r="N81" s="175"/>
      <c r="O81" s="175"/>
      <c r="P81" s="175"/>
      <c r="Q81" s="175"/>
      <c r="R81" s="175"/>
      <c r="S81" s="175"/>
      <c r="T81" s="175"/>
      <c r="U81" s="175"/>
      <c r="V81" s="175"/>
      <c r="W81" s="175"/>
      <c r="X81" s="175"/>
      <c r="Y81" s="175"/>
      <c r="Z81" s="175"/>
      <c r="AA81" s="175"/>
      <c r="AB81" s="175"/>
      <c r="AC81" s="175"/>
      <c r="AD81" s="175"/>
      <c r="AE81" s="175"/>
      <c r="AF81" s="169"/>
      <c r="AG81" s="169"/>
      <c r="AH81" s="169"/>
      <c r="AI81" s="169"/>
      <c r="AJ81" s="169"/>
      <c r="AK81" s="169"/>
      <c r="AL81" s="169"/>
      <c r="AM81" s="169"/>
      <c r="AN81" s="169"/>
      <c r="AO81" s="169"/>
      <c r="AP81" s="169"/>
      <c r="AQ81" s="169"/>
      <c r="AR81" s="169"/>
      <c r="AS81" s="169"/>
      <c r="AT81" s="169"/>
      <c r="AU81" s="169"/>
      <c r="AV81" s="169"/>
      <c r="AW81" s="169"/>
      <c r="AX81" s="169"/>
      <c r="AY81" s="169"/>
      <c r="AZ81" s="169"/>
      <c r="BA81" s="169"/>
      <c r="BB81" s="169"/>
      <c r="BC81" s="169"/>
      <c r="BD81" s="169"/>
      <c r="BE81" s="169"/>
      <c r="BF81" s="169"/>
      <c r="BG81" s="169"/>
      <c r="BH81" s="169"/>
      <c r="BI81" s="169"/>
      <c r="BJ81" s="169"/>
      <c r="BK81" s="169"/>
      <c r="BL81" s="169"/>
      <c r="BM81" s="169"/>
      <c r="BN81" s="169"/>
      <c r="BO81" s="169"/>
      <c r="BP81" s="169"/>
      <c r="BQ81" s="169"/>
      <c r="BR81" s="169"/>
      <c r="BS81" s="169"/>
      <c r="BT81" s="169"/>
      <c r="BU81" s="169"/>
      <c r="BV81" s="169"/>
      <c r="BW81" s="169"/>
      <c r="BX81" s="169"/>
      <c r="BY81" s="169"/>
      <c r="BZ81" s="169"/>
      <c r="CA81" s="169"/>
      <c r="CB81" s="169"/>
      <c r="CC81" s="169"/>
      <c r="CD81" s="169"/>
      <c r="CE81" s="169"/>
      <c r="CF81" s="169"/>
      <c r="CG81" s="169"/>
      <c r="CH81" s="169"/>
      <c r="CI81" s="169"/>
      <c r="CJ81" s="169"/>
      <c r="CK81" s="169"/>
      <c r="CL81" s="169"/>
      <c r="CM81" s="169"/>
      <c r="CN81" s="169"/>
      <c r="CO81" s="169"/>
      <c r="CP81" s="169"/>
      <c r="CQ81" s="169"/>
      <c r="CR81" s="169"/>
      <c r="CS81" s="169"/>
      <c r="CT81" s="169"/>
      <c r="CU81" s="169"/>
      <c r="CV81" s="169"/>
      <c r="CW81" s="169"/>
      <c r="CX81" s="169"/>
      <c r="CY81" s="169"/>
      <c r="CZ81" s="169"/>
      <c r="DA81" s="169"/>
      <c r="DB81" s="169"/>
      <c r="DC81" s="169"/>
      <c r="DD81" s="169"/>
      <c r="DE81" s="169"/>
      <c r="DF81" s="169"/>
      <c r="DG81" s="169"/>
      <c r="DH81" s="169"/>
      <c r="DI81" s="169"/>
      <c r="DJ81" s="169"/>
      <c r="DK81" s="169"/>
      <c r="DL81" s="169"/>
      <c r="DM81" s="169"/>
      <c r="DN81" s="169"/>
      <c r="DO81" s="169"/>
      <c r="DP81" s="169"/>
      <c r="DQ81" s="169"/>
      <c r="DR81" s="169"/>
      <c r="DS81" s="169"/>
      <c r="DT81" s="169"/>
      <c r="DU81" s="169"/>
      <c r="DV81" s="169"/>
      <c r="DW81" s="169"/>
      <c r="DX81" s="169"/>
      <c r="DY81" s="169"/>
      <c r="DZ81" s="169"/>
      <c r="EA81" s="169"/>
      <c r="EB81" s="169"/>
      <c r="EC81" s="169"/>
      <c r="ED81" s="169"/>
      <c r="EE81" s="169"/>
      <c r="EF81" s="169"/>
      <c r="EG81" s="169"/>
      <c r="EH81" s="169"/>
      <c r="EI81" s="169"/>
      <c r="EJ81" s="169"/>
      <c r="EK81" s="169"/>
      <c r="EL81" s="169"/>
      <c r="EM81" s="169"/>
      <c r="EN81" s="169"/>
      <c r="EO81" s="169"/>
      <c r="EP81" s="169"/>
      <c r="EQ81" s="169"/>
      <c r="ER81" s="169"/>
      <c r="ES81" s="169"/>
      <c r="ET81" s="169"/>
      <c r="EU81" s="169"/>
      <c r="EV81" s="169"/>
      <c r="EW81" s="169"/>
      <c r="EX81" s="169"/>
      <c r="EY81" s="169"/>
      <c r="EZ81" s="169"/>
      <c r="FA81" s="169"/>
      <c r="FB81" s="169"/>
      <c r="FC81" s="169"/>
      <c r="FD81" s="169"/>
      <c r="FE81" s="169"/>
      <c r="FF81" s="169"/>
      <c r="FG81" s="169"/>
      <c r="FH81" s="169"/>
      <c r="FI81" s="169"/>
      <c r="FJ81" s="169"/>
      <c r="FK81" s="169"/>
      <c r="FL81" s="169"/>
      <c r="FM81" s="169"/>
      <c r="FN81" s="169"/>
      <c r="FO81" s="169"/>
      <c r="FP81" s="169"/>
      <c r="FQ81" s="169"/>
      <c r="FR81" s="169"/>
      <c r="FS81" s="169"/>
      <c r="FT81" s="169"/>
      <c r="FU81" s="169"/>
      <c r="FV81" s="169"/>
      <c r="FW81" s="169"/>
      <c r="FX81" s="169"/>
      <c r="FY81" s="169"/>
      <c r="FZ81" s="169"/>
      <c r="GA81" s="169"/>
      <c r="GB81" s="169"/>
      <c r="GC81" s="169"/>
      <c r="GD81" s="169"/>
      <c r="GE81" s="169"/>
      <c r="GF81" s="169"/>
      <c r="GG81" s="169"/>
      <c r="GH81" s="169"/>
      <c r="GI81" s="169"/>
      <c r="GJ81" s="169"/>
      <c r="GK81" s="169"/>
      <c r="GL81" s="169"/>
      <c r="GM81" s="169"/>
      <c r="GN81" s="169"/>
      <c r="GO81" s="169"/>
      <c r="GP81" s="169"/>
      <c r="GQ81" s="169"/>
      <c r="GR81" s="169"/>
      <c r="GS81" s="169"/>
      <c r="GT81" s="169"/>
      <c r="GU81" s="169"/>
      <c r="GV81" s="169"/>
      <c r="GW81" s="169"/>
      <c r="GX81" s="169"/>
      <c r="GY81" s="169"/>
      <c r="GZ81" s="169"/>
      <c r="HA81" s="169"/>
      <c r="HB81" s="169"/>
      <c r="HC81" s="169"/>
      <c r="HD81" s="169"/>
      <c r="HE81" s="169"/>
      <c r="HF81" s="169"/>
      <c r="HG81" s="169"/>
      <c r="HH81" s="169"/>
      <c r="HI81" s="169"/>
      <c r="HJ81" s="169"/>
      <c r="HK81" s="169"/>
      <c r="HL81" s="169"/>
      <c r="HM81" s="169"/>
      <c r="HN81" s="169"/>
      <c r="HO81" s="169"/>
      <c r="HP81" s="169"/>
      <c r="HQ81" s="169"/>
      <c r="HR81" s="169"/>
      <c r="HS81" s="169"/>
      <c r="HT81" s="169"/>
      <c r="HU81" s="169"/>
      <c r="HV81" s="169"/>
      <c r="HW81" s="169"/>
      <c r="HX81" s="169"/>
      <c r="HY81" s="169"/>
      <c r="HZ81" s="169"/>
      <c r="IA81" s="169"/>
      <c r="IB81" s="169"/>
      <c r="IC81" s="169"/>
      <c r="ID81" s="169"/>
      <c r="IE81" s="169"/>
      <c r="IF81" s="169"/>
      <c r="IG81" s="169"/>
      <c r="IH81" s="169"/>
      <c r="II81" s="169"/>
      <c r="IJ81" s="169"/>
      <c r="IK81" s="169"/>
      <c r="IL81" s="169"/>
      <c r="IM81" s="169"/>
      <c r="IN81" s="169"/>
      <c r="IO81" s="169"/>
      <c r="IP81" s="169"/>
      <c r="IQ81" s="169"/>
      <c r="IR81" s="169"/>
      <c r="IS81" s="169"/>
      <c r="IT81" s="169"/>
      <c r="IU81" s="169"/>
      <c r="IV81" s="169"/>
    </row>
    <row r="82" spans="1:256" ht="15" x14ac:dyDescent="0.25">
      <c r="A82" s="1321">
        <v>4</v>
      </c>
      <c r="B82" s="1402">
        <v>44773</v>
      </c>
      <c r="C82" s="1322">
        <v>0</v>
      </c>
      <c r="D82" s="1267">
        <v>44708</v>
      </c>
      <c r="E82" s="1268">
        <v>119462</v>
      </c>
      <c r="F82" s="1436">
        <v>0.44900000000000001</v>
      </c>
      <c r="G82" s="1270">
        <f t="shared" ref="G82:G86" si="25">G81</f>
        <v>6.2449999999999999E-2</v>
      </c>
      <c r="H82" s="1437">
        <v>503.23</v>
      </c>
      <c r="I82" s="1437">
        <v>503.23</v>
      </c>
      <c r="J82" s="1437">
        <f>'COE_REAJ_OB. PUENTE'!J64</f>
        <v>527.79999999999995</v>
      </c>
      <c r="K82" s="1438">
        <f t="shared" si="24"/>
        <v>119462</v>
      </c>
      <c r="L82" s="1438">
        <f t="shared" si="22"/>
        <v>0</v>
      </c>
      <c r="M82" s="1439">
        <f t="shared" si="23"/>
        <v>0</v>
      </c>
      <c r="N82" s="175"/>
      <c r="O82" s="175"/>
      <c r="P82" s="175"/>
      <c r="Q82" s="175"/>
      <c r="R82" s="175"/>
      <c r="S82" s="175"/>
      <c r="T82" s="175"/>
      <c r="U82" s="175"/>
      <c r="V82" s="175"/>
      <c r="W82" s="175"/>
      <c r="X82" s="175"/>
      <c r="Y82" s="175"/>
      <c r="Z82" s="175"/>
      <c r="AA82" s="175"/>
      <c r="AB82" s="175"/>
      <c r="AC82" s="175"/>
      <c r="AD82" s="175"/>
      <c r="AE82" s="175"/>
      <c r="AF82" s="169"/>
      <c r="AG82" s="169"/>
      <c r="AH82" s="169"/>
      <c r="AI82" s="169"/>
      <c r="AJ82" s="169"/>
      <c r="AK82" s="169"/>
      <c r="AL82" s="169"/>
      <c r="AM82" s="169"/>
      <c r="AN82" s="169"/>
      <c r="AO82" s="169"/>
      <c r="AP82" s="169"/>
      <c r="AQ82" s="169"/>
      <c r="AR82" s="169"/>
      <c r="AS82" s="169"/>
      <c r="AT82" s="169"/>
      <c r="AU82" s="169"/>
      <c r="AV82" s="169"/>
      <c r="AW82" s="169"/>
      <c r="AX82" s="169"/>
      <c r="AY82" s="169"/>
      <c r="AZ82" s="169"/>
      <c r="BA82" s="169"/>
      <c r="BB82" s="169"/>
      <c r="BC82" s="169"/>
      <c r="BD82" s="169"/>
      <c r="BE82" s="169"/>
      <c r="BF82" s="169"/>
      <c r="BG82" s="169"/>
      <c r="BH82" s="169"/>
      <c r="BI82" s="169"/>
      <c r="BJ82" s="169"/>
      <c r="BK82" s="169"/>
      <c r="BL82" s="169"/>
      <c r="BM82" s="169"/>
      <c r="BN82" s="169"/>
      <c r="BO82" s="169"/>
      <c r="BP82" s="169"/>
      <c r="BQ82" s="169"/>
      <c r="BR82" s="169"/>
      <c r="BS82" s="169"/>
      <c r="BT82" s="169"/>
      <c r="BU82" s="169"/>
      <c r="BV82" s="169"/>
      <c r="BW82" s="169"/>
      <c r="BX82" s="169"/>
      <c r="BY82" s="169"/>
      <c r="BZ82" s="169"/>
      <c r="CA82" s="169"/>
      <c r="CB82" s="169"/>
      <c r="CC82" s="169"/>
      <c r="CD82" s="169"/>
      <c r="CE82" s="169"/>
      <c r="CF82" s="169"/>
      <c r="CG82" s="169"/>
      <c r="CH82" s="169"/>
      <c r="CI82" s="169"/>
      <c r="CJ82" s="169"/>
      <c r="CK82" s="169"/>
      <c r="CL82" s="169"/>
      <c r="CM82" s="169"/>
      <c r="CN82" s="169"/>
      <c r="CO82" s="169"/>
      <c r="CP82" s="169"/>
      <c r="CQ82" s="169"/>
      <c r="CR82" s="169"/>
      <c r="CS82" s="169"/>
      <c r="CT82" s="169"/>
      <c r="CU82" s="169"/>
      <c r="CV82" s="169"/>
      <c r="CW82" s="169"/>
      <c r="CX82" s="169"/>
      <c r="CY82" s="169"/>
      <c r="CZ82" s="169"/>
      <c r="DA82" s="169"/>
      <c r="DB82" s="169"/>
      <c r="DC82" s="169"/>
      <c r="DD82" s="169"/>
      <c r="DE82" s="169"/>
      <c r="DF82" s="169"/>
      <c r="DG82" s="169"/>
      <c r="DH82" s="169"/>
      <c r="DI82" s="169"/>
      <c r="DJ82" s="169"/>
      <c r="DK82" s="169"/>
      <c r="DL82" s="169"/>
      <c r="DM82" s="169"/>
      <c r="DN82" s="169"/>
      <c r="DO82" s="169"/>
      <c r="DP82" s="169"/>
      <c r="DQ82" s="169"/>
      <c r="DR82" s="169"/>
      <c r="DS82" s="169"/>
      <c r="DT82" s="169"/>
      <c r="DU82" s="169"/>
      <c r="DV82" s="169"/>
      <c r="DW82" s="169"/>
      <c r="DX82" s="169"/>
      <c r="DY82" s="169"/>
      <c r="DZ82" s="169"/>
      <c r="EA82" s="169"/>
      <c r="EB82" s="169"/>
      <c r="EC82" s="169"/>
      <c r="ED82" s="169"/>
      <c r="EE82" s="169"/>
      <c r="EF82" s="169"/>
      <c r="EG82" s="169"/>
      <c r="EH82" s="169"/>
      <c r="EI82" s="169"/>
      <c r="EJ82" s="169"/>
      <c r="EK82" s="169"/>
      <c r="EL82" s="169"/>
      <c r="EM82" s="169"/>
      <c r="EN82" s="169"/>
      <c r="EO82" s="169"/>
      <c r="EP82" s="169"/>
      <c r="EQ82" s="169"/>
      <c r="ER82" s="169"/>
      <c r="ES82" s="169"/>
      <c r="ET82" s="169"/>
      <c r="EU82" s="169"/>
      <c r="EV82" s="169"/>
      <c r="EW82" s="169"/>
      <c r="EX82" s="169"/>
      <c r="EY82" s="169"/>
      <c r="EZ82" s="169"/>
      <c r="FA82" s="169"/>
      <c r="FB82" s="169"/>
      <c r="FC82" s="169"/>
      <c r="FD82" s="169"/>
      <c r="FE82" s="169"/>
      <c r="FF82" s="169"/>
      <c r="FG82" s="169"/>
      <c r="FH82" s="169"/>
      <c r="FI82" s="169"/>
      <c r="FJ82" s="169"/>
      <c r="FK82" s="169"/>
      <c r="FL82" s="169"/>
      <c r="FM82" s="169"/>
      <c r="FN82" s="169"/>
      <c r="FO82" s="169"/>
      <c r="FP82" s="169"/>
      <c r="FQ82" s="169"/>
      <c r="FR82" s="169"/>
      <c r="FS82" s="169"/>
      <c r="FT82" s="169"/>
      <c r="FU82" s="169"/>
      <c r="FV82" s="169"/>
      <c r="FW82" s="169"/>
      <c r="FX82" s="169"/>
      <c r="FY82" s="169"/>
      <c r="FZ82" s="169"/>
      <c r="GA82" s="169"/>
      <c r="GB82" s="169"/>
      <c r="GC82" s="169"/>
      <c r="GD82" s="169"/>
      <c r="GE82" s="169"/>
      <c r="GF82" s="169"/>
      <c r="GG82" s="169"/>
      <c r="GH82" s="169"/>
      <c r="GI82" s="169"/>
      <c r="GJ82" s="169"/>
      <c r="GK82" s="169"/>
      <c r="GL82" s="169"/>
      <c r="GM82" s="169"/>
      <c r="GN82" s="169"/>
      <c r="GO82" s="169"/>
      <c r="GP82" s="169"/>
      <c r="GQ82" s="169"/>
      <c r="GR82" s="169"/>
      <c r="GS82" s="169"/>
      <c r="GT82" s="169"/>
      <c r="GU82" s="169"/>
      <c r="GV82" s="169"/>
      <c r="GW82" s="169"/>
      <c r="GX82" s="169"/>
      <c r="GY82" s="169"/>
      <c r="GZ82" s="169"/>
      <c r="HA82" s="169"/>
      <c r="HB82" s="169"/>
      <c r="HC82" s="169"/>
      <c r="HD82" s="169"/>
      <c r="HE82" s="169"/>
      <c r="HF82" s="169"/>
      <c r="HG82" s="169"/>
      <c r="HH82" s="169"/>
      <c r="HI82" s="169"/>
      <c r="HJ82" s="169"/>
      <c r="HK82" s="169"/>
      <c r="HL82" s="169"/>
      <c r="HM82" s="169"/>
      <c r="HN82" s="169"/>
      <c r="HO82" s="169"/>
      <c r="HP82" s="169"/>
      <c r="HQ82" s="169"/>
      <c r="HR82" s="169"/>
      <c r="HS82" s="169"/>
      <c r="HT82" s="169"/>
      <c r="HU82" s="169"/>
      <c r="HV82" s="169"/>
      <c r="HW82" s="169"/>
      <c r="HX82" s="169"/>
      <c r="HY82" s="169"/>
      <c r="HZ82" s="169"/>
      <c r="IA82" s="169"/>
      <c r="IB82" s="169"/>
      <c r="IC82" s="169"/>
      <c r="ID82" s="169"/>
      <c r="IE82" s="169"/>
      <c r="IF82" s="169"/>
      <c r="IG82" s="169"/>
      <c r="IH82" s="169"/>
      <c r="II82" s="169"/>
      <c r="IJ82" s="169"/>
      <c r="IK82" s="169"/>
      <c r="IL82" s="169"/>
      <c r="IM82" s="169"/>
      <c r="IN82" s="169"/>
      <c r="IO82" s="169"/>
      <c r="IP82" s="169"/>
      <c r="IQ82" s="169"/>
      <c r="IR82" s="169"/>
      <c r="IS82" s="169"/>
      <c r="IT82" s="169"/>
      <c r="IU82" s="169"/>
      <c r="IV82" s="169"/>
    </row>
    <row r="83" spans="1:256" ht="15" x14ac:dyDescent="0.25">
      <c r="A83" s="1321">
        <v>5</v>
      </c>
      <c r="B83" s="1402">
        <v>44804</v>
      </c>
      <c r="C83" s="1322">
        <v>0</v>
      </c>
      <c r="D83" s="1267">
        <v>44708</v>
      </c>
      <c r="E83" s="1268">
        <v>119462</v>
      </c>
      <c r="F83" s="1440">
        <v>0.44900000000000001</v>
      </c>
      <c r="G83" s="1270">
        <f t="shared" si="25"/>
        <v>6.2449999999999999E-2</v>
      </c>
      <c r="H83" s="1441">
        <v>503.23</v>
      </c>
      <c r="I83" s="1437">
        <v>503.23</v>
      </c>
      <c r="J83" s="1441">
        <f>'COE_REAJ_OB. PUENTE'!K64</f>
        <v>527.79999999999995</v>
      </c>
      <c r="K83" s="1442">
        <f t="shared" ref="K83" si="26">ROUND($E$80*$H$80/I83,2)</f>
        <v>119462</v>
      </c>
      <c r="L83" s="1442">
        <f t="shared" si="22"/>
        <v>0</v>
      </c>
      <c r="M83" s="1443">
        <f t="shared" si="23"/>
        <v>0</v>
      </c>
      <c r="N83" s="175"/>
      <c r="O83" s="175"/>
      <c r="P83" s="175"/>
      <c r="Q83" s="175"/>
      <c r="R83" s="175"/>
      <c r="S83" s="175"/>
      <c r="T83" s="175"/>
      <c r="U83" s="175"/>
      <c r="V83" s="175"/>
      <c r="W83" s="175"/>
      <c r="X83" s="175"/>
      <c r="Y83" s="175"/>
      <c r="Z83" s="175"/>
      <c r="AA83" s="175"/>
      <c r="AB83" s="175"/>
      <c r="AC83" s="175"/>
      <c r="AD83" s="175"/>
      <c r="AE83" s="175"/>
      <c r="AF83" s="169"/>
      <c r="AG83" s="169"/>
      <c r="AH83" s="169"/>
      <c r="AI83" s="169"/>
      <c r="AJ83" s="169"/>
      <c r="AK83" s="169"/>
      <c r="AL83" s="169"/>
      <c r="AM83" s="169"/>
      <c r="AN83" s="169"/>
      <c r="AO83" s="169"/>
      <c r="AP83" s="169"/>
      <c r="AQ83" s="169"/>
      <c r="AR83" s="169"/>
      <c r="AS83" s="169"/>
      <c r="AT83" s="169"/>
      <c r="AU83" s="169"/>
      <c r="AV83" s="169"/>
      <c r="AW83" s="169"/>
      <c r="AX83" s="169"/>
      <c r="AY83" s="169"/>
      <c r="AZ83" s="169"/>
      <c r="BA83" s="169"/>
      <c r="BB83" s="169"/>
      <c r="BC83" s="169"/>
      <c r="BD83" s="169"/>
      <c r="BE83" s="169"/>
      <c r="BF83" s="169"/>
      <c r="BG83" s="169"/>
      <c r="BH83" s="169"/>
      <c r="BI83" s="169"/>
      <c r="BJ83" s="169"/>
      <c r="BK83" s="169"/>
      <c r="BL83" s="169"/>
      <c r="BM83" s="169"/>
      <c r="BN83" s="169"/>
      <c r="BO83" s="169"/>
      <c r="BP83" s="169"/>
      <c r="BQ83" s="169"/>
      <c r="BR83" s="169"/>
      <c r="BS83" s="169"/>
      <c r="BT83" s="169"/>
      <c r="BU83" s="169"/>
      <c r="BV83" s="169"/>
      <c r="BW83" s="169"/>
      <c r="BX83" s="169"/>
      <c r="BY83" s="169"/>
      <c r="BZ83" s="169"/>
      <c r="CA83" s="169"/>
      <c r="CB83" s="169"/>
      <c r="CC83" s="169"/>
      <c r="CD83" s="169"/>
      <c r="CE83" s="169"/>
      <c r="CF83" s="169"/>
      <c r="CG83" s="169"/>
      <c r="CH83" s="169"/>
      <c r="CI83" s="169"/>
      <c r="CJ83" s="169"/>
      <c r="CK83" s="169"/>
      <c r="CL83" s="169"/>
      <c r="CM83" s="169"/>
      <c r="CN83" s="169"/>
      <c r="CO83" s="169"/>
      <c r="CP83" s="169"/>
      <c r="CQ83" s="169"/>
      <c r="CR83" s="169"/>
      <c r="CS83" s="169"/>
      <c r="CT83" s="169"/>
      <c r="CU83" s="169"/>
      <c r="CV83" s="169"/>
      <c r="CW83" s="169"/>
      <c r="CX83" s="169"/>
      <c r="CY83" s="169"/>
      <c r="CZ83" s="169"/>
      <c r="DA83" s="169"/>
      <c r="DB83" s="169"/>
      <c r="DC83" s="169"/>
      <c r="DD83" s="169"/>
      <c r="DE83" s="169"/>
      <c r="DF83" s="169"/>
      <c r="DG83" s="169"/>
      <c r="DH83" s="169"/>
      <c r="DI83" s="169"/>
      <c r="DJ83" s="169"/>
      <c r="DK83" s="169"/>
      <c r="DL83" s="169"/>
      <c r="DM83" s="169"/>
      <c r="DN83" s="169"/>
      <c r="DO83" s="169"/>
      <c r="DP83" s="169"/>
      <c r="DQ83" s="169"/>
      <c r="DR83" s="169"/>
      <c r="DS83" s="169"/>
      <c r="DT83" s="169"/>
      <c r="DU83" s="169"/>
      <c r="DV83" s="169"/>
      <c r="DW83" s="169"/>
      <c r="DX83" s="169"/>
      <c r="DY83" s="169"/>
      <c r="DZ83" s="169"/>
      <c r="EA83" s="169"/>
      <c r="EB83" s="169"/>
      <c r="EC83" s="169"/>
      <c r="ED83" s="169"/>
      <c r="EE83" s="169"/>
      <c r="EF83" s="169"/>
      <c r="EG83" s="169"/>
      <c r="EH83" s="169"/>
      <c r="EI83" s="169"/>
      <c r="EJ83" s="169"/>
      <c r="EK83" s="169"/>
      <c r="EL83" s="169"/>
      <c r="EM83" s="169"/>
      <c r="EN83" s="169"/>
      <c r="EO83" s="169"/>
      <c r="EP83" s="169"/>
      <c r="EQ83" s="169"/>
      <c r="ER83" s="169"/>
      <c r="ES83" s="169"/>
      <c r="ET83" s="169"/>
      <c r="EU83" s="169"/>
      <c r="EV83" s="169"/>
      <c r="EW83" s="169"/>
      <c r="EX83" s="169"/>
      <c r="EY83" s="169"/>
      <c r="EZ83" s="169"/>
      <c r="FA83" s="169"/>
      <c r="FB83" s="169"/>
      <c r="FC83" s="169"/>
      <c r="FD83" s="169"/>
      <c r="FE83" s="169"/>
      <c r="FF83" s="169"/>
      <c r="FG83" s="169"/>
      <c r="FH83" s="169"/>
      <c r="FI83" s="169"/>
      <c r="FJ83" s="169"/>
      <c r="FK83" s="169"/>
      <c r="FL83" s="169"/>
      <c r="FM83" s="169"/>
      <c r="FN83" s="169"/>
      <c r="FO83" s="169"/>
      <c r="FP83" s="169"/>
      <c r="FQ83" s="169"/>
      <c r="FR83" s="169"/>
      <c r="FS83" s="169"/>
      <c r="FT83" s="169"/>
      <c r="FU83" s="169"/>
      <c r="FV83" s="169"/>
      <c r="FW83" s="169"/>
      <c r="FX83" s="169"/>
      <c r="FY83" s="169"/>
      <c r="FZ83" s="169"/>
      <c r="GA83" s="169"/>
      <c r="GB83" s="169"/>
      <c r="GC83" s="169"/>
      <c r="GD83" s="169"/>
      <c r="GE83" s="169"/>
      <c r="GF83" s="169"/>
      <c r="GG83" s="169"/>
      <c r="GH83" s="169"/>
      <c r="GI83" s="169"/>
      <c r="GJ83" s="169"/>
      <c r="GK83" s="169"/>
      <c r="GL83" s="169"/>
      <c r="GM83" s="169"/>
      <c r="GN83" s="169"/>
      <c r="GO83" s="169"/>
      <c r="GP83" s="169"/>
      <c r="GQ83" s="169"/>
      <c r="GR83" s="169"/>
      <c r="GS83" s="169"/>
      <c r="GT83" s="169"/>
      <c r="GU83" s="169"/>
      <c r="GV83" s="169"/>
      <c r="GW83" s="169"/>
      <c r="GX83" s="169"/>
      <c r="GY83" s="169"/>
      <c r="GZ83" s="169"/>
      <c r="HA83" s="169"/>
      <c r="HB83" s="169"/>
      <c r="HC83" s="169"/>
      <c r="HD83" s="169"/>
      <c r="HE83" s="169"/>
      <c r="HF83" s="169"/>
      <c r="HG83" s="169"/>
      <c r="HH83" s="169"/>
      <c r="HI83" s="169"/>
      <c r="HJ83" s="169"/>
      <c r="HK83" s="169"/>
      <c r="HL83" s="169"/>
      <c r="HM83" s="169"/>
      <c r="HN83" s="169"/>
      <c r="HO83" s="169"/>
      <c r="HP83" s="169"/>
      <c r="HQ83" s="169"/>
      <c r="HR83" s="169"/>
      <c r="HS83" s="169"/>
      <c r="HT83" s="169"/>
      <c r="HU83" s="169"/>
      <c r="HV83" s="169"/>
      <c r="HW83" s="169"/>
      <c r="HX83" s="169"/>
      <c r="HY83" s="169"/>
      <c r="HZ83" s="169"/>
      <c r="IA83" s="169"/>
      <c r="IB83" s="169"/>
      <c r="IC83" s="169"/>
      <c r="ID83" s="169"/>
      <c r="IE83" s="169"/>
      <c r="IF83" s="169"/>
      <c r="IG83" s="169"/>
      <c r="IH83" s="169"/>
      <c r="II83" s="169"/>
      <c r="IJ83" s="169"/>
      <c r="IK83" s="169"/>
      <c r="IL83" s="169"/>
      <c r="IM83" s="169"/>
      <c r="IN83" s="169"/>
      <c r="IO83" s="169"/>
      <c r="IP83" s="169"/>
      <c r="IQ83" s="169"/>
      <c r="IR83" s="169"/>
      <c r="IS83" s="169"/>
      <c r="IT83" s="169"/>
      <c r="IU83" s="169"/>
      <c r="IV83" s="169"/>
    </row>
    <row r="84" spans="1:256" ht="15" x14ac:dyDescent="0.25">
      <c r="A84" s="1321">
        <v>6</v>
      </c>
      <c r="B84" s="1402">
        <v>44834</v>
      </c>
      <c r="C84" s="1322">
        <v>0</v>
      </c>
      <c r="D84" s="1267">
        <v>44708</v>
      </c>
      <c r="E84" s="1268">
        <v>119462</v>
      </c>
      <c r="F84" s="1440">
        <v>0.44900000000000001</v>
      </c>
      <c r="G84" s="1270">
        <f t="shared" si="25"/>
        <v>6.2449999999999999E-2</v>
      </c>
      <c r="H84" s="1441">
        <v>503.23</v>
      </c>
      <c r="I84" s="1437">
        <v>503.23</v>
      </c>
      <c r="J84" s="1441">
        <f>'COE_REAJ_OB. PUENTE'!K64</f>
        <v>527.79999999999995</v>
      </c>
      <c r="K84" s="1442">
        <f t="shared" ref="K84:K85" si="27">ROUND($E$80*$H$80/I84,2)</f>
        <v>119462</v>
      </c>
      <c r="L84" s="1442">
        <f t="shared" si="22"/>
        <v>0</v>
      </c>
      <c r="M84" s="1443">
        <f t="shared" si="23"/>
        <v>0</v>
      </c>
      <c r="N84" s="175"/>
      <c r="O84" s="175"/>
      <c r="P84" s="175"/>
      <c r="Q84" s="175"/>
      <c r="R84" s="175"/>
      <c r="S84" s="175"/>
      <c r="T84" s="175"/>
      <c r="U84" s="175"/>
      <c r="V84" s="175"/>
      <c r="W84" s="175"/>
      <c r="X84" s="175"/>
      <c r="Y84" s="175"/>
      <c r="Z84" s="175"/>
      <c r="AA84" s="175"/>
      <c r="AB84" s="175"/>
      <c r="AC84" s="175"/>
      <c r="AD84" s="175"/>
      <c r="AE84" s="175"/>
      <c r="AF84" s="169"/>
      <c r="AG84" s="169"/>
      <c r="AH84" s="169"/>
      <c r="AI84" s="169"/>
      <c r="AJ84" s="169"/>
      <c r="AK84" s="169"/>
      <c r="AL84" s="169"/>
      <c r="AM84" s="169"/>
      <c r="AN84" s="169"/>
      <c r="AO84" s="169"/>
      <c r="AP84" s="169"/>
      <c r="AQ84" s="169"/>
      <c r="AR84" s="169"/>
      <c r="AS84" s="169"/>
      <c r="AT84" s="169"/>
      <c r="AU84" s="169"/>
      <c r="AV84" s="169"/>
      <c r="AW84" s="169"/>
      <c r="AX84" s="169"/>
      <c r="AY84" s="169"/>
      <c r="AZ84" s="169"/>
      <c r="BA84" s="169"/>
      <c r="BB84" s="169"/>
      <c r="BC84" s="169"/>
      <c r="BD84" s="169"/>
      <c r="BE84" s="169"/>
      <c r="BF84" s="169"/>
      <c r="BG84" s="169"/>
      <c r="BH84" s="169"/>
      <c r="BI84" s="169"/>
      <c r="BJ84" s="169"/>
      <c r="BK84" s="169"/>
      <c r="BL84" s="169"/>
      <c r="BM84" s="169"/>
      <c r="BN84" s="169"/>
      <c r="BO84" s="169"/>
      <c r="BP84" s="169"/>
      <c r="BQ84" s="169"/>
      <c r="BR84" s="169"/>
      <c r="BS84" s="169"/>
      <c r="BT84" s="169"/>
      <c r="BU84" s="169"/>
      <c r="BV84" s="169"/>
      <c r="BW84" s="169"/>
      <c r="BX84" s="169"/>
      <c r="BY84" s="169"/>
      <c r="BZ84" s="169"/>
      <c r="CA84" s="169"/>
      <c r="CB84" s="169"/>
      <c r="CC84" s="169"/>
      <c r="CD84" s="169"/>
      <c r="CE84" s="169"/>
      <c r="CF84" s="169"/>
      <c r="CG84" s="169"/>
      <c r="CH84" s="169"/>
      <c r="CI84" s="169"/>
      <c r="CJ84" s="169"/>
      <c r="CK84" s="169"/>
      <c r="CL84" s="169"/>
      <c r="CM84" s="169"/>
      <c r="CN84" s="169"/>
      <c r="CO84" s="169"/>
      <c r="CP84" s="169"/>
      <c r="CQ84" s="169"/>
      <c r="CR84" s="169"/>
      <c r="CS84" s="169"/>
      <c r="CT84" s="169"/>
      <c r="CU84" s="169"/>
      <c r="CV84" s="169"/>
      <c r="CW84" s="169"/>
      <c r="CX84" s="169"/>
      <c r="CY84" s="169"/>
      <c r="CZ84" s="169"/>
      <c r="DA84" s="169"/>
      <c r="DB84" s="169"/>
      <c r="DC84" s="169"/>
      <c r="DD84" s="169"/>
      <c r="DE84" s="169"/>
      <c r="DF84" s="169"/>
      <c r="DG84" s="169"/>
      <c r="DH84" s="169"/>
      <c r="DI84" s="169"/>
      <c r="DJ84" s="169"/>
      <c r="DK84" s="169"/>
      <c r="DL84" s="169"/>
      <c r="DM84" s="169"/>
      <c r="DN84" s="169"/>
      <c r="DO84" s="169"/>
      <c r="DP84" s="169"/>
      <c r="DQ84" s="169"/>
      <c r="DR84" s="169"/>
      <c r="DS84" s="169"/>
      <c r="DT84" s="169"/>
      <c r="DU84" s="169"/>
      <c r="DV84" s="169"/>
      <c r="DW84" s="169"/>
      <c r="DX84" s="169"/>
      <c r="DY84" s="169"/>
      <c r="DZ84" s="169"/>
      <c r="EA84" s="169"/>
      <c r="EB84" s="169"/>
      <c r="EC84" s="169"/>
      <c r="ED84" s="169"/>
      <c r="EE84" s="169"/>
      <c r="EF84" s="169"/>
      <c r="EG84" s="169"/>
      <c r="EH84" s="169"/>
      <c r="EI84" s="169"/>
      <c r="EJ84" s="169"/>
      <c r="EK84" s="169"/>
      <c r="EL84" s="169"/>
      <c r="EM84" s="169"/>
      <c r="EN84" s="169"/>
      <c r="EO84" s="169"/>
      <c r="EP84" s="169"/>
      <c r="EQ84" s="169"/>
      <c r="ER84" s="169"/>
      <c r="ES84" s="169"/>
      <c r="ET84" s="169"/>
      <c r="EU84" s="169"/>
      <c r="EV84" s="169"/>
      <c r="EW84" s="169"/>
      <c r="EX84" s="169"/>
      <c r="EY84" s="169"/>
      <c r="EZ84" s="169"/>
      <c r="FA84" s="169"/>
      <c r="FB84" s="169"/>
      <c r="FC84" s="169"/>
      <c r="FD84" s="169"/>
      <c r="FE84" s="169"/>
      <c r="FF84" s="169"/>
      <c r="FG84" s="169"/>
      <c r="FH84" s="169"/>
      <c r="FI84" s="169"/>
      <c r="FJ84" s="169"/>
      <c r="FK84" s="169"/>
      <c r="FL84" s="169"/>
      <c r="FM84" s="169"/>
      <c r="FN84" s="169"/>
      <c r="FO84" s="169"/>
      <c r="FP84" s="169"/>
      <c r="FQ84" s="169"/>
      <c r="FR84" s="169"/>
      <c r="FS84" s="169"/>
      <c r="FT84" s="169"/>
      <c r="FU84" s="169"/>
      <c r="FV84" s="169"/>
      <c r="FW84" s="169"/>
      <c r="FX84" s="169"/>
      <c r="FY84" s="169"/>
      <c r="FZ84" s="169"/>
      <c r="GA84" s="169"/>
      <c r="GB84" s="169"/>
      <c r="GC84" s="169"/>
      <c r="GD84" s="169"/>
      <c r="GE84" s="169"/>
      <c r="GF84" s="169"/>
      <c r="GG84" s="169"/>
      <c r="GH84" s="169"/>
      <c r="GI84" s="169"/>
      <c r="GJ84" s="169"/>
      <c r="GK84" s="169"/>
      <c r="GL84" s="169"/>
      <c r="GM84" s="169"/>
      <c r="GN84" s="169"/>
      <c r="GO84" s="169"/>
      <c r="GP84" s="169"/>
      <c r="GQ84" s="169"/>
      <c r="GR84" s="169"/>
      <c r="GS84" s="169"/>
      <c r="GT84" s="169"/>
      <c r="GU84" s="169"/>
      <c r="GV84" s="169"/>
      <c r="GW84" s="169"/>
      <c r="GX84" s="169"/>
      <c r="GY84" s="169"/>
      <c r="GZ84" s="169"/>
      <c r="HA84" s="169"/>
      <c r="HB84" s="169"/>
      <c r="HC84" s="169"/>
      <c r="HD84" s="169"/>
      <c r="HE84" s="169"/>
      <c r="HF84" s="169"/>
      <c r="HG84" s="169"/>
      <c r="HH84" s="169"/>
      <c r="HI84" s="169"/>
      <c r="HJ84" s="169"/>
      <c r="HK84" s="169"/>
      <c r="HL84" s="169"/>
      <c r="HM84" s="169"/>
      <c r="HN84" s="169"/>
      <c r="HO84" s="169"/>
      <c r="HP84" s="169"/>
      <c r="HQ84" s="169"/>
      <c r="HR84" s="169"/>
      <c r="HS84" s="169"/>
      <c r="HT84" s="169"/>
      <c r="HU84" s="169"/>
      <c r="HV84" s="169"/>
      <c r="HW84" s="169"/>
      <c r="HX84" s="169"/>
      <c r="HY84" s="169"/>
      <c r="HZ84" s="169"/>
      <c r="IA84" s="169"/>
      <c r="IB84" s="169"/>
      <c r="IC84" s="169"/>
      <c r="ID84" s="169"/>
      <c r="IE84" s="169"/>
      <c r="IF84" s="169"/>
      <c r="IG84" s="169"/>
      <c r="IH84" s="169"/>
      <c r="II84" s="169"/>
      <c r="IJ84" s="169"/>
      <c r="IK84" s="169"/>
      <c r="IL84" s="169"/>
      <c r="IM84" s="169"/>
      <c r="IN84" s="169"/>
      <c r="IO84" s="169"/>
      <c r="IP84" s="169"/>
      <c r="IQ84" s="169"/>
      <c r="IR84" s="169"/>
      <c r="IS84" s="169"/>
      <c r="IT84" s="169"/>
      <c r="IU84" s="169"/>
      <c r="IV84" s="169"/>
    </row>
    <row r="85" spans="1:256" ht="15" x14ac:dyDescent="0.25">
      <c r="A85" s="1321">
        <v>7</v>
      </c>
      <c r="B85" s="1402">
        <v>44865</v>
      </c>
      <c r="C85" s="1322">
        <v>0</v>
      </c>
      <c r="D85" s="1267">
        <v>44708</v>
      </c>
      <c r="E85" s="1268">
        <v>119462</v>
      </c>
      <c r="F85" s="1440">
        <v>0.44900000000000001</v>
      </c>
      <c r="G85" s="1270">
        <f t="shared" si="25"/>
        <v>6.2449999999999999E-2</v>
      </c>
      <c r="H85" s="1441">
        <v>503.23</v>
      </c>
      <c r="I85" s="1441">
        <v>503.23</v>
      </c>
      <c r="J85" s="1441">
        <f>'COE_REAJ_OB. PUENTE'!K64</f>
        <v>527.79999999999995</v>
      </c>
      <c r="K85" s="1442">
        <f t="shared" si="27"/>
        <v>119462</v>
      </c>
      <c r="L85" s="1442">
        <f t="shared" si="22"/>
        <v>0</v>
      </c>
      <c r="M85" s="1443">
        <f t="shared" si="23"/>
        <v>0</v>
      </c>
      <c r="N85" s="175"/>
      <c r="O85" s="175"/>
      <c r="P85" s="175"/>
      <c r="Q85" s="175"/>
      <c r="R85" s="175"/>
      <c r="S85" s="175"/>
      <c r="T85" s="175"/>
      <c r="U85" s="175"/>
      <c r="V85" s="175"/>
      <c r="W85" s="175"/>
      <c r="X85" s="175"/>
      <c r="Y85" s="175"/>
      <c r="Z85" s="175"/>
      <c r="AA85" s="175"/>
      <c r="AB85" s="175"/>
      <c r="AC85" s="175"/>
      <c r="AD85" s="175"/>
      <c r="AE85" s="175"/>
      <c r="AF85" s="169"/>
      <c r="AG85" s="169"/>
      <c r="AH85" s="169"/>
      <c r="AI85" s="169"/>
      <c r="AJ85" s="169"/>
      <c r="AK85" s="169"/>
      <c r="AL85" s="169"/>
      <c r="AM85" s="169"/>
      <c r="AN85" s="169"/>
      <c r="AO85" s="169"/>
      <c r="AP85" s="169"/>
      <c r="AQ85" s="169"/>
      <c r="AR85" s="169"/>
      <c r="AS85" s="169"/>
      <c r="AT85" s="169"/>
      <c r="AU85" s="169"/>
      <c r="AV85" s="169"/>
      <c r="AW85" s="169"/>
      <c r="AX85" s="169"/>
      <c r="AY85" s="169"/>
      <c r="AZ85" s="169"/>
      <c r="BA85" s="169"/>
      <c r="BB85" s="169"/>
      <c r="BC85" s="169"/>
      <c r="BD85" s="169"/>
      <c r="BE85" s="169"/>
      <c r="BF85" s="169"/>
      <c r="BG85" s="169"/>
      <c r="BH85" s="169"/>
      <c r="BI85" s="169"/>
      <c r="BJ85" s="169"/>
      <c r="BK85" s="169"/>
      <c r="BL85" s="169"/>
      <c r="BM85" s="169"/>
      <c r="BN85" s="169"/>
      <c r="BO85" s="169"/>
      <c r="BP85" s="169"/>
      <c r="BQ85" s="169"/>
      <c r="BR85" s="169"/>
      <c r="BS85" s="169"/>
      <c r="BT85" s="169"/>
      <c r="BU85" s="169"/>
      <c r="BV85" s="169"/>
      <c r="BW85" s="169"/>
      <c r="BX85" s="169"/>
      <c r="BY85" s="169"/>
      <c r="BZ85" s="169"/>
      <c r="CA85" s="169"/>
      <c r="CB85" s="169"/>
      <c r="CC85" s="169"/>
      <c r="CD85" s="169"/>
      <c r="CE85" s="169"/>
      <c r="CF85" s="169"/>
      <c r="CG85" s="169"/>
      <c r="CH85" s="169"/>
      <c r="CI85" s="169"/>
      <c r="CJ85" s="169"/>
      <c r="CK85" s="169"/>
      <c r="CL85" s="169"/>
      <c r="CM85" s="169"/>
      <c r="CN85" s="169"/>
      <c r="CO85" s="169"/>
      <c r="CP85" s="169"/>
      <c r="CQ85" s="169"/>
      <c r="CR85" s="169"/>
      <c r="CS85" s="169"/>
      <c r="CT85" s="169"/>
      <c r="CU85" s="169"/>
      <c r="CV85" s="169"/>
      <c r="CW85" s="169"/>
      <c r="CX85" s="169"/>
      <c r="CY85" s="169"/>
      <c r="CZ85" s="169"/>
      <c r="DA85" s="169"/>
      <c r="DB85" s="169"/>
      <c r="DC85" s="169"/>
      <c r="DD85" s="169"/>
      <c r="DE85" s="169"/>
      <c r="DF85" s="169"/>
      <c r="DG85" s="169"/>
      <c r="DH85" s="169"/>
      <c r="DI85" s="169"/>
      <c r="DJ85" s="169"/>
      <c r="DK85" s="169"/>
      <c r="DL85" s="169"/>
      <c r="DM85" s="169"/>
      <c r="DN85" s="169"/>
      <c r="DO85" s="169"/>
      <c r="DP85" s="169"/>
      <c r="DQ85" s="169"/>
      <c r="DR85" s="169"/>
      <c r="DS85" s="169"/>
      <c r="DT85" s="169"/>
      <c r="DU85" s="169"/>
      <c r="DV85" s="169"/>
      <c r="DW85" s="169"/>
      <c r="DX85" s="169"/>
      <c r="DY85" s="169"/>
      <c r="DZ85" s="169"/>
      <c r="EA85" s="169"/>
      <c r="EB85" s="169"/>
      <c r="EC85" s="169"/>
      <c r="ED85" s="169"/>
      <c r="EE85" s="169"/>
      <c r="EF85" s="169"/>
      <c r="EG85" s="169"/>
      <c r="EH85" s="169"/>
      <c r="EI85" s="169"/>
      <c r="EJ85" s="169"/>
      <c r="EK85" s="169"/>
      <c r="EL85" s="169"/>
      <c r="EM85" s="169"/>
      <c r="EN85" s="169"/>
      <c r="EO85" s="169"/>
      <c r="EP85" s="169"/>
      <c r="EQ85" s="169"/>
      <c r="ER85" s="169"/>
      <c r="ES85" s="169"/>
      <c r="ET85" s="169"/>
      <c r="EU85" s="169"/>
      <c r="EV85" s="169"/>
      <c r="EW85" s="169"/>
      <c r="EX85" s="169"/>
      <c r="EY85" s="169"/>
      <c r="EZ85" s="169"/>
      <c r="FA85" s="169"/>
      <c r="FB85" s="169"/>
      <c r="FC85" s="169"/>
      <c r="FD85" s="169"/>
      <c r="FE85" s="169"/>
      <c r="FF85" s="169"/>
      <c r="FG85" s="169"/>
      <c r="FH85" s="169"/>
      <c r="FI85" s="169"/>
      <c r="FJ85" s="169"/>
      <c r="FK85" s="169"/>
      <c r="FL85" s="169"/>
      <c r="FM85" s="169"/>
      <c r="FN85" s="169"/>
      <c r="FO85" s="169"/>
      <c r="FP85" s="169"/>
      <c r="FQ85" s="169"/>
      <c r="FR85" s="169"/>
      <c r="FS85" s="169"/>
      <c r="FT85" s="169"/>
      <c r="FU85" s="169"/>
      <c r="FV85" s="169"/>
      <c r="FW85" s="169"/>
      <c r="FX85" s="169"/>
      <c r="FY85" s="169"/>
      <c r="FZ85" s="169"/>
      <c r="GA85" s="169"/>
      <c r="GB85" s="169"/>
      <c r="GC85" s="169"/>
      <c r="GD85" s="169"/>
      <c r="GE85" s="169"/>
      <c r="GF85" s="169"/>
      <c r="GG85" s="169"/>
      <c r="GH85" s="169"/>
      <c r="GI85" s="169"/>
      <c r="GJ85" s="169"/>
      <c r="GK85" s="169"/>
      <c r="GL85" s="169"/>
      <c r="GM85" s="169"/>
      <c r="GN85" s="169"/>
      <c r="GO85" s="169"/>
      <c r="GP85" s="169"/>
      <c r="GQ85" s="169"/>
      <c r="GR85" s="169"/>
      <c r="GS85" s="169"/>
      <c r="GT85" s="169"/>
      <c r="GU85" s="169"/>
      <c r="GV85" s="169"/>
      <c r="GW85" s="169"/>
      <c r="GX85" s="169"/>
      <c r="GY85" s="169"/>
      <c r="GZ85" s="169"/>
      <c r="HA85" s="169"/>
      <c r="HB85" s="169"/>
      <c r="HC85" s="169"/>
      <c r="HD85" s="169"/>
      <c r="HE85" s="169"/>
      <c r="HF85" s="169"/>
      <c r="HG85" s="169"/>
      <c r="HH85" s="169"/>
      <c r="HI85" s="169"/>
      <c r="HJ85" s="169"/>
      <c r="HK85" s="169"/>
      <c r="HL85" s="169"/>
      <c r="HM85" s="169"/>
      <c r="HN85" s="169"/>
      <c r="HO85" s="169"/>
      <c r="HP85" s="169"/>
      <c r="HQ85" s="169"/>
      <c r="HR85" s="169"/>
      <c r="HS85" s="169"/>
      <c r="HT85" s="169"/>
      <c r="HU85" s="169"/>
      <c r="HV85" s="169"/>
      <c r="HW85" s="169"/>
      <c r="HX85" s="169"/>
      <c r="HY85" s="169"/>
      <c r="HZ85" s="169"/>
      <c r="IA85" s="169"/>
      <c r="IB85" s="169"/>
      <c r="IC85" s="169"/>
      <c r="ID85" s="169"/>
      <c r="IE85" s="169"/>
      <c r="IF85" s="169"/>
      <c r="IG85" s="169"/>
      <c r="IH85" s="169"/>
      <c r="II85" s="169"/>
      <c r="IJ85" s="169"/>
      <c r="IK85" s="169"/>
      <c r="IL85" s="169"/>
      <c r="IM85" s="169"/>
      <c r="IN85" s="169"/>
      <c r="IO85" s="169"/>
      <c r="IP85" s="169"/>
      <c r="IQ85" s="169"/>
      <c r="IR85" s="169"/>
      <c r="IS85" s="169"/>
      <c r="IT85" s="169"/>
      <c r="IU85" s="169"/>
      <c r="IV85" s="169"/>
    </row>
    <row r="86" spans="1:256" ht="15" x14ac:dyDescent="0.25">
      <c r="A86" s="1321">
        <v>8</v>
      </c>
      <c r="B86" s="1402">
        <v>44895</v>
      </c>
      <c r="C86" s="1322">
        <v>0</v>
      </c>
      <c r="D86" s="1267">
        <v>44708</v>
      </c>
      <c r="E86" s="1268">
        <v>119462</v>
      </c>
      <c r="F86" s="1440">
        <v>0.44900000000000001</v>
      </c>
      <c r="G86" s="1270">
        <f t="shared" si="25"/>
        <v>6.2449999999999999E-2</v>
      </c>
      <c r="H86" s="1441">
        <v>503.23</v>
      </c>
      <c r="I86" s="1441">
        <v>503.23</v>
      </c>
      <c r="J86" s="1441">
        <f>'COE_REAJ_OB. PUENTE'!K64</f>
        <v>527.79999999999995</v>
      </c>
      <c r="K86" s="1442">
        <f t="shared" ref="K86" si="28">ROUND($E$80*$H$80/I86,2)</f>
        <v>119462</v>
      </c>
      <c r="L86" s="1442">
        <f t="shared" ref="L86" si="29">ROUND($F$37*$G$37*C86,2)</f>
        <v>0</v>
      </c>
      <c r="M86" s="1443">
        <f t="shared" ref="M86" si="30">ROUND(L86*(J86-I86)/$H$37,2)</f>
        <v>0</v>
      </c>
      <c r="N86" s="175"/>
      <c r="O86" s="175"/>
      <c r="P86" s="175"/>
      <c r="Q86" s="175"/>
      <c r="R86" s="175"/>
      <c r="S86" s="175"/>
      <c r="T86" s="175"/>
      <c r="U86" s="175"/>
      <c r="V86" s="175"/>
      <c r="W86" s="175"/>
      <c r="X86" s="175"/>
      <c r="Y86" s="175"/>
      <c r="Z86" s="175"/>
      <c r="AA86" s="175"/>
      <c r="AB86" s="175"/>
      <c r="AC86" s="175"/>
      <c r="AD86" s="175"/>
      <c r="AE86" s="175"/>
      <c r="AF86" s="169"/>
      <c r="AG86" s="169"/>
      <c r="AH86" s="169"/>
      <c r="AI86" s="169"/>
      <c r="AJ86" s="169"/>
      <c r="AK86" s="169"/>
      <c r="AL86" s="169"/>
      <c r="AM86" s="169"/>
      <c r="AN86" s="169"/>
      <c r="AO86" s="169"/>
      <c r="AP86" s="169"/>
      <c r="AQ86" s="169"/>
      <c r="AR86" s="169"/>
      <c r="AS86" s="169"/>
      <c r="AT86" s="169"/>
      <c r="AU86" s="169"/>
      <c r="AV86" s="169"/>
      <c r="AW86" s="169"/>
      <c r="AX86" s="169"/>
      <c r="AY86" s="169"/>
      <c r="AZ86" s="169"/>
      <c r="BA86" s="169"/>
      <c r="BB86" s="169"/>
      <c r="BC86" s="169"/>
      <c r="BD86" s="169"/>
      <c r="BE86" s="169"/>
      <c r="BF86" s="169"/>
      <c r="BG86" s="169"/>
      <c r="BH86" s="169"/>
      <c r="BI86" s="169"/>
      <c r="BJ86" s="169"/>
      <c r="BK86" s="169"/>
      <c r="BL86" s="169"/>
      <c r="BM86" s="169"/>
      <c r="BN86" s="169"/>
      <c r="BO86" s="169"/>
      <c r="BP86" s="169"/>
      <c r="BQ86" s="169"/>
      <c r="BR86" s="169"/>
      <c r="BS86" s="169"/>
      <c r="BT86" s="169"/>
      <c r="BU86" s="169"/>
      <c r="BV86" s="169"/>
      <c r="BW86" s="169"/>
      <c r="BX86" s="169"/>
      <c r="BY86" s="169"/>
      <c r="BZ86" s="169"/>
      <c r="CA86" s="169"/>
      <c r="CB86" s="169"/>
      <c r="CC86" s="169"/>
      <c r="CD86" s="169"/>
      <c r="CE86" s="169"/>
      <c r="CF86" s="169"/>
      <c r="CG86" s="169"/>
      <c r="CH86" s="169"/>
      <c r="CI86" s="169"/>
      <c r="CJ86" s="169"/>
      <c r="CK86" s="169"/>
      <c r="CL86" s="169"/>
      <c r="CM86" s="169"/>
      <c r="CN86" s="169"/>
      <c r="CO86" s="169"/>
      <c r="CP86" s="169"/>
      <c r="CQ86" s="169"/>
      <c r="CR86" s="169"/>
      <c r="CS86" s="169"/>
      <c r="CT86" s="169"/>
      <c r="CU86" s="169"/>
      <c r="CV86" s="169"/>
      <c r="CW86" s="169"/>
      <c r="CX86" s="169"/>
      <c r="CY86" s="169"/>
      <c r="CZ86" s="169"/>
      <c r="DA86" s="169"/>
      <c r="DB86" s="169"/>
      <c r="DC86" s="169"/>
      <c r="DD86" s="169"/>
      <c r="DE86" s="169"/>
      <c r="DF86" s="169"/>
      <c r="DG86" s="169"/>
      <c r="DH86" s="169"/>
      <c r="DI86" s="169"/>
      <c r="DJ86" s="169"/>
      <c r="DK86" s="169"/>
      <c r="DL86" s="169"/>
      <c r="DM86" s="169"/>
      <c r="DN86" s="169"/>
      <c r="DO86" s="169"/>
      <c r="DP86" s="169"/>
      <c r="DQ86" s="169"/>
      <c r="DR86" s="169"/>
      <c r="DS86" s="169"/>
      <c r="DT86" s="169"/>
      <c r="DU86" s="169"/>
      <c r="DV86" s="169"/>
      <c r="DW86" s="169"/>
      <c r="DX86" s="169"/>
      <c r="DY86" s="169"/>
      <c r="DZ86" s="169"/>
      <c r="EA86" s="169"/>
      <c r="EB86" s="169"/>
      <c r="EC86" s="169"/>
      <c r="ED86" s="169"/>
      <c r="EE86" s="169"/>
      <c r="EF86" s="169"/>
      <c r="EG86" s="169"/>
      <c r="EH86" s="169"/>
      <c r="EI86" s="169"/>
      <c r="EJ86" s="169"/>
      <c r="EK86" s="169"/>
      <c r="EL86" s="169"/>
      <c r="EM86" s="169"/>
      <c r="EN86" s="169"/>
      <c r="EO86" s="169"/>
      <c r="EP86" s="169"/>
      <c r="EQ86" s="169"/>
      <c r="ER86" s="169"/>
      <c r="ES86" s="169"/>
      <c r="ET86" s="169"/>
      <c r="EU86" s="169"/>
      <c r="EV86" s="169"/>
      <c r="EW86" s="169"/>
      <c r="EX86" s="169"/>
      <c r="EY86" s="169"/>
      <c r="EZ86" s="169"/>
      <c r="FA86" s="169"/>
      <c r="FB86" s="169"/>
      <c r="FC86" s="169"/>
      <c r="FD86" s="169"/>
      <c r="FE86" s="169"/>
      <c r="FF86" s="169"/>
      <c r="FG86" s="169"/>
      <c r="FH86" s="169"/>
      <c r="FI86" s="169"/>
      <c r="FJ86" s="169"/>
      <c r="FK86" s="169"/>
      <c r="FL86" s="169"/>
      <c r="FM86" s="169"/>
      <c r="FN86" s="169"/>
      <c r="FO86" s="169"/>
      <c r="FP86" s="169"/>
      <c r="FQ86" s="169"/>
      <c r="FR86" s="169"/>
      <c r="FS86" s="169"/>
      <c r="FT86" s="169"/>
      <c r="FU86" s="169"/>
      <c r="FV86" s="169"/>
      <c r="FW86" s="169"/>
      <c r="FX86" s="169"/>
      <c r="FY86" s="169"/>
      <c r="FZ86" s="169"/>
      <c r="GA86" s="169"/>
      <c r="GB86" s="169"/>
      <c r="GC86" s="169"/>
      <c r="GD86" s="169"/>
      <c r="GE86" s="169"/>
      <c r="GF86" s="169"/>
      <c r="GG86" s="169"/>
      <c r="GH86" s="169"/>
      <c r="GI86" s="169"/>
      <c r="GJ86" s="169"/>
      <c r="GK86" s="169"/>
      <c r="GL86" s="169"/>
      <c r="GM86" s="169"/>
      <c r="GN86" s="169"/>
      <c r="GO86" s="169"/>
      <c r="GP86" s="169"/>
      <c r="GQ86" s="169"/>
      <c r="GR86" s="169"/>
      <c r="GS86" s="169"/>
      <c r="GT86" s="169"/>
      <c r="GU86" s="169"/>
      <c r="GV86" s="169"/>
      <c r="GW86" s="169"/>
      <c r="GX86" s="169"/>
      <c r="GY86" s="169"/>
      <c r="GZ86" s="169"/>
      <c r="HA86" s="169"/>
      <c r="HB86" s="169"/>
      <c r="HC86" s="169"/>
      <c r="HD86" s="169"/>
      <c r="HE86" s="169"/>
      <c r="HF86" s="169"/>
      <c r="HG86" s="169"/>
      <c r="HH86" s="169"/>
      <c r="HI86" s="169"/>
      <c r="HJ86" s="169"/>
      <c r="HK86" s="169"/>
      <c r="HL86" s="169"/>
      <c r="HM86" s="169"/>
      <c r="HN86" s="169"/>
      <c r="HO86" s="169"/>
      <c r="HP86" s="169"/>
      <c r="HQ86" s="169"/>
      <c r="HR86" s="169"/>
      <c r="HS86" s="169"/>
      <c r="HT86" s="169"/>
      <c r="HU86" s="169"/>
      <c r="HV86" s="169"/>
      <c r="HW86" s="169"/>
      <c r="HX86" s="169"/>
      <c r="HY86" s="169"/>
      <c r="HZ86" s="169"/>
      <c r="IA86" s="169"/>
      <c r="IB86" s="169"/>
      <c r="IC86" s="169"/>
      <c r="ID86" s="169"/>
      <c r="IE86" s="169"/>
      <c r="IF86" s="169"/>
      <c r="IG86" s="169"/>
      <c r="IH86" s="169"/>
      <c r="II86" s="169"/>
      <c r="IJ86" s="169"/>
      <c r="IK86" s="169"/>
      <c r="IL86" s="169"/>
      <c r="IM86" s="169"/>
      <c r="IN86" s="169"/>
      <c r="IO86" s="169"/>
      <c r="IP86" s="169"/>
      <c r="IQ86" s="169"/>
      <c r="IR86" s="169"/>
      <c r="IS86" s="169"/>
      <c r="IT86" s="169"/>
      <c r="IU86" s="169"/>
      <c r="IV86" s="169"/>
    </row>
    <row r="87" spans="1:256" ht="15" x14ac:dyDescent="0.25">
      <c r="A87" s="1403"/>
      <c r="B87" s="1404"/>
      <c r="C87" s="1405"/>
      <c r="D87" s="1406"/>
      <c r="E87" s="1393"/>
      <c r="F87" s="1407"/>
      <c r="G87" s="1408"/>
      <c r="H87" s="1409"/>
      <c r="I87" s="1409"/>
      <c r="J87" s="1409"/>
      <c r="K87" s="1394"/>
      <c r="L87" s="1391" t="s">
        <v>1191</v>
      </c>
      <c r="M87" s="1392">
        <f>SUM(M79:M82)</f>
        <v>0</v>
      </c>
      <c r="N87" s="175"/>
      <c r="O87" s="175"/>
      <c r="P87" s="175"/>
      <c r="Q87" s="175"/>
      <c r="R87" s="175"/>
      <c r="S87" s="175"/>
      <c r="T87" s="175"/>
      <c r="U87" s="175"/>
      <c r="V87" s="175"/>
      <c r="W87" s="175"/>
      <c r="X87" s="175"/>
      <c r="Y87" s="175"/>
      <c r="Z87" s="175"/>
      <c r="AA87" s="175"/>
      <c r="AB87" s="175"/>
      <c r="AC87" s="175"/>
      <c r="AD87" s="175"/>
      <c r="AE87" s="175"/>
      <c r="AF87" s="169"/>
      <c r="AG87" s="169"/>
      <c r="AH87" s="169"/>
      <c r="AI87" s="169"/>
      <c r="AJ87" s="169"/>
      <c r="AK87" s="169"/>
      <c r="AL87" s="169"/>
      <c r="AM87" s="169"/>
      <c r="AN87" s="169"/>
      <c r="AO87" s="169"/>
      <c r="AP87" s="169"/>
      <c r="AQ87" s="169"/>
      <c r="AR87" s="169"/>
      <c r="AS87" s="169"/>
      <c r="AT87" s="169"/>
      <c r="AU87" s="169"/>
      <c r="AV87" s="169"/>
      <c r="AW87" s="169"/>
      <c r="AX87" s="169"/>
      <c r="AY87" s="169"/>
      <c r="AZ87" s="169"/>
      <c r="BA87" s="169"/>
      <c r="BB87" s="169"/>
      <c r="BC87" s="169"/>
      <c r="BD87" s="169"/>
      <c r="BE87" s="169"/>
      <c r="BF87" s="169"/>
      <c r="BG87" s="169"/>
      <c r="BH87" s="169"/>
      <c r="BI87" s="169"/>
      <c r="BJ87" s="169"/>
      <c r="BK87" s="169"/>
      <c r="BL87" s="169"/>
      <c r="BM87" s="169"/>
      <c r="BN87" s="169"/>
      <c r="BO87" s="169"/>
      <c r="BP87" s="169"/>
      <c r="BQ87" s="169"/>
      <c r="BR87" s="169"/>
      <c r="BS87" s="169"/>
      <c r="BT87" s="169"/>
      <c r="BU87" s="169"/>
      <c r="BV87" s="169"/>
      <c r="BW87" s="169"/>
      <c r="BX87" s="169"/>
      <c r="BY87" s="169"/>
      <c r="BZ87" s="169"/>
      <c r="CA87" s="169"/>
      <c r="CB87" s="169"/>
      <c r="CC87" s="169"/>
      <c r="CD87" s="169"/>
      <c r="CE87" s="169"/>
      <c r="CF87" s="169"/>
      <c r="CG87" s="169"/>
      <c r="CH87" s="169"/>
      <c r="CI87" s="169"/>
      <c r="CJ87" s="169"/>
      <c r="CK87" s="169"/>
      <c r="CL87" s="169"/>
      <c r="CM87" s="169"/>
      <c r="CN87" s="169"/>
      <c r="CO87" s="169"/>
      <c r="CP87" s="169"/>
      <c r="CQ87" s="169"/>
      <c r="CR87" s="169"/>
      <c r="CS87" s="169"/>
      <c r="CT87" s="169"/>
      <c r="CU87" s="169"/>
      <c r="CV87" s="169"/>
      <c r="CW87" s="169"/>
      <c r="CX87" s="169"/>
      <c r="CY87" s="169"/>
      <c r="CZ87" s="169"/>
      <c r="DA87" s="169"/>
      <c r="DB87" s="169"/>
      <c r="DC87" s="169"/>
      <c r="DD87" s="169"/>
      <c r="DE87" s="169"/>
      <c r="DF87" s="169"/>
      <c r="DG87" s="169"/>
      <c r="DH87" s="169"/>
      <c r="DI87" s="169"/>
      <c r="DJ87" s="169"/>
      <c r="DK87" s="169"/>
      <c r="DL87" s="169"/>
      <c r="DM87" s="169"/>
      <c r="DN87" s="169"/>
      <c r="DO87" s="169"/>
      <c r="DP87" s="169"/>
      <c r="DQ87" s="169"/>
      <c r="DR87" s="169"/>
      <c r="DS87" s="169"/>
      <c r="DT87" s="169"/>
      <c r="DU87" s="169"/>
      <c r="DV87" s="169"/>
      <c r="DW87" s="169"/>
      <c r="DX87" s="169"/>
      <c r="DY87" s="169"/>
      <c r="DZ87" s="169"/>
      <c r="EA87" s="169"/>
      <c r="EB87" s="169"/>
      <c r="EC87" s="169"/>
      <c r="ED87" s="169"/>
      <c r="EE87" s="169"/>
      <c r="EF87" s="169"/>
      <c r="EG87" s="169"/>
      <c r="EH87" s="169"/>
      <c r="EI87" s="169"/>
      <c r="EJ87" s="169"/>
      <c r="EK87" s="169"/>
      <c r="EL87" s="169"/>
      <c r="EM87" s="169"/>
      <c r="EN87" s="169"/>
      <c r="EO87" s="169"/>
      <c r="EP87" s="169"/>
      <c r="EQ87" s="169"/>
      <c r="ER87" s="169"/>
      <c r="ES87" s="169"/>
      <c r="ET87" s="169"/>
      <c r="EU87" s="169"/>
      <c r="EV87" s="169"/>
      <c r="EW87" s="169"/>
      <c r="EX87" s="169"/>
      <c r="EY87" s="169"/>
      <c r="EZ87" s="169"/>
      <c r="FA87" s="169"/>
      <c r="FB87" s="169"/>
      <c r="FC87" s="169"/>
      <c r="FD87" s="169"/>
      <c r="FE87" s="169"/>
      <c r="FF87" s="169"/>
      <c r="FG87" s="169"/>
      <c r="FH87" s="169"/>
      <c r="FI87" s="169"/>
      <c r="FJ87" s="169"/>
      <c r="FK87" s="169"/>
      <c r="FL87" s="169"/>
      <c r="FM87" s="169"/>
      <c r="FN87" s="169"/>
      <c r="FO87" s="169"/>
      <c r="FP87" s="169"/>
      <c r="FQ87" s="169"/>
      <c r="FR87" s="169"/>
      <c r="FS87" s="169"/>
      <c r="FT87" s="169"/>
      <c r="FU87" s="169"/>
      <c r="FV87" s="169"/>
      <c r="FW87" s="169"/>
      <c r="FX87" s="169"/>
      <c r="FY87" s="169"/>
      <c r="FZ87" s="169"/>
      <c r="GA87" s="169"/>
      <c r="GB87" s="169"/>
      <c r="GC87" s="169"/>
      <c r="GD87" s="169"/>
      <c r="GE87" s="169"/>
      <c r="GF87" s="169"/>
      <c r="GG87" s="169"/>
      <c r="GH87" s="169"/>
      <c r="GI87" s="169"/>
      <c r="GJ87" s="169"/>
      <c r="GK87" s="169"/>
      <c r="GL87" s="169"/>
      <c r="GM87" s="169"/>
      <c r="GN87" s="169"/>
      <c r="GO87" s="169"/>
      <c r="GP87" s="169"/>
      <c r="GQ87" s="169"/>
      <c r="GR87" s="169"/>
      <c r="GS87" s="169"/>
      <c r="GT87" s="169"/>
      <c r="GU87" s="169"/>
      <c r="GV87" s="169"/>
      <c r="GW87" s="169"/>
      <c r="GX87" s="169"/>
      <c r="GY87" s="169"/>
      <c r="GZ87" s="169"/>
      <c r="HA87" s="169"/>
      <c r="HB87" s="169"/>
      <c r="HC87" s="169"/>
      <c r="HD87" s="169"/>
      <c r="HE87" s="169"/>
      <c r="HF87" s="169"/>
      <c r="HG87" s="169"/>
      <c r="HH87" s="169"/>
      <c r="HI87" s="169"/>
      <c r="HJ87" s="169"/>
      <c r="HK87" s="169"/>
      <c r="HL87" s="169"/>
      <c r="HM87" s="169"/>
      <c r="HN87" s="169"/>
      <c r="HO87" s="169"/>
      <c r="HP87" s="169"/>
      <c r="HQ87" s="169"/>
      <c r="HR87" s="169"/>
      <c r="HS87" s="169"/>
      <c r="HT87" s="169"/>
      <c r="HU87" s="169"/>
      <c r="HV87" s="169"/>
      <c r="HW87" s="169"/>
      <c r="HX87" s="169"/>
      <c r="HY87" s="169"/>
      <c r="HZ87" s="169"/>
      <c r="IA87" s="169"/>
      <c r="IB87" s="169"/>
      <c r="IC87" s="169"/>
      <c r="ID87" s="169"/>
      <c r="IE87" s="169"/>
      <c r="IF87" s="169"/>
      <c r="IG87" s="169"/>
      <c r="IH87" s="169"/>
      <c r="II87" s="169"/>
      <c r="IJ87" s="169"/>
      <c r="IK87" s="169"/>
      <c r="IL87" s="169"/>
      <c r="IM87" s="169"/>
      <c r="IN87" s="169"/>
      <c r="IO87" s="169"/>
      <c r="IP87" s="169"/>
      <c r="IQ87" s="169"/>
      <c r="IR87" s="169"/>
      <c r="IS87" s="169"/>
      <c r="IT87" s="169"/>
      <c r="IU87" s="169"/>
      <c r="IV87" s="169"/>
    </row>
    <row r="88" spans="1:256" ht="15.6" thickBot="1" x14ac:dyDescent="0.3">
      <c r="A88" s="1395"/>
      <c r="B88" s="1396"/>
      <c r="C88" s="1397"/>
      <c r="D88" s="1398"/>
      <c r="E88" s="1368"/>
      <c r="F88" s="1399"/>
      <c r="G88" s="1400"/>
      <c r="H88" s="1401"/>
      <c r="I88" s="1401"/>
      <c r="J88" s="1401"/>
      <c r="K88" s="1368"/>
      <c r="L88" s="1368"/>
      <c r="M88" s="1387"/>
      <c r="N88" s="175"/>
      <c r="O88" s="175"/>
      <c r="P88" s="175"/>
      <c r="Q88" s="175"/>
      <c r="R88" s="175"/>
      <c r="S88" s="175"/>
      <c r="T88" s="175"/>
      <c r="U88" s="175"/>
      <c r="V88" s="175"/>
      <c r="W88" s="175"/>
      <c r="X88" s="175"/>
      <c r="Y88" s="175"/>
      <c r="Z88" s="175"/>
      <c r="AA88" s="175"/>
      <c r="AB88" s="175"/>
      <c r="AC88" s="175"/>
      <c r="AD88" s="175"/>
      <c r="AE88" s="175"/>
      <c r="AF88" s="169"/>
      <c r="AG88" s="169"/>
      <c r="AH88" s="169"/>
      <c r="AI88" s="169"/>
      <c r="AJ88" s="169"/>
      <c r="AK88" s="169"/>
      <c r="AL88" s="169"/>
      <c r="AM88" s="169"/>
      <c r="AN88" s="169"/>
      <c r="AO88" s="169"/>
      <c r="AP88" s="169"/>
      <c r="AQ88" s="169"/>
      <c r="AR88" s="169"/>
      <c r="AS88" s="169"/>
      <c r="AT88" s="169"/>
      <c r="AU88" s="169"/>
      <c r="AV88" s="169"/>
      <c r="AW88" s="169"/>
      <c r="AX88" s="169"/>
      <c r="AY88" s="169"/>
      <c r="AZ88" s="169"/>
      <c r="BA88" s="169"/>
      <c r="BB88" s="169"/>
      <c r="BC88" s="169"/>
      <c r="BD88" s="169"/>
      <c r="BE88" s="169"/>
      <c r="BF88" s="169"/>
      <c r="BG88" s="169"/>
      <c r="BH88" s="169"/>
      <c r="BI88" s="169"/>
      <c r="BJ88" s="169"/>
      <c r="BK88" s="169"/>
      <c r="BL88" s="169"/>
      <c r="BM88" s="169"/>
      <c r="BN88" s="169"/>
      <c r="BO88" s="169"/>
      <c r="BP88" s="169"/>
      <c r="BQ88" s="169"/>
      <c r="BR88" s="169"/>
      <c r="BS88" s="169"/>
      <c r="BT88" s="169"/>
      <c r="BU88" s="169"/>
      <c r="BV88" s="169"/>
      <c r="BW88" s="169"/>
      <c r="BX88" s="169"/>
      <c r="BY88" s="169"/>
      <c r="BZ88" s="169"/>
      <c r="CA88" s="169"/>
      <c r="CB88" s="169"/>
      <c r="CC88" s="169"/>
      <c r="CD88" s="169"/>
      <c r="CE88" s="169"/>
      <c r="CF88" s="169"/>
      <c r="CG88" s="169"/>
      <c r="CH88" s="169"/>
      <c r="CI88" s="169"/>
      <c r="CJ88" s="169"/>
      <c r="CK88" s="169"/>
      <c r="CL88" s="169"/>
      <c r="CM88" s="169"/>
      <c r="CN88" s="169"/>
      <c r="CO88" s="169"/>
      <c r="CP88" s="169"/>
      <c r="CQ88" s="169"/>
      <c r="CR88" s="169"/>
      <c r="CS88" s="169"/>
      <c r="CT88" s="169"/>
      <c r="CU88" s="169"/>
      <c r="CV88" s="169"/>
      <c r="CW88" s="169"/>
      <c r="CX88" s="169"/>
      <c r="CY88" s="169"/>
      <c r="CZ88" s="169"/>
      <c r="DA88" s="169"/>
      <c r="DB88" s="169"/>
      <c r="DC88" s="169"/>
      <c r="DD88" s="169"/>
      <c r="DE88" s="169"/>
      <c r="DF88" s="169"/>
      <c r="DG88" s="169"/>
      <c r="DH88" s="169"/>
      <c r="DI88" s="169"/>
      <c r="DJ88" s="169"/>
      <c r="DK88" s="169"/>
      <c r="DL88" s="169"/>
      <c r="DM88" s="169"/>
      <c r="DN88" s="169"/>
      <c r="DO88" s="169"/>
      <c r="DP88" s="169"/>
      <c r="DQ88" s="169"/>
      <c r="DR88" s="169"/>
      <c r="DS88" s="169"/>
      <c r="DT88" s="169"/>
      <c r="DU88" s="169"/>
      <c r="DV88" s="169"/>
      <c r="DW88" s="169"/>
      <c r="DX88" s="169"/>
      <c r="DY88" s="169"/>
      <c r="DZ88" s="169"/>
      <c r="EA88" s="169"/>
      <c r="EB88" s="169"/>
      <c r="EC88" s="169"/>
      <c r="ED88" s="169"/>
      <c r="EE88" s="169"/>
      <c r="EF88" s="169"/>
      <c r="EG88" s="169"/>
      <c r="EH88" s="169"/>
      <c r="EI88" s="169"/>
      <c r="EJ88" s="169"/>
      <c r="EK88" s="169"/>
      <c r="EL88" s="169"/>
      <c r="EM88" s="169"/>
      <c r="EN88" s="169"/>
      <c r="EO88" s="169"/>
      <c r="EP88" s="169"/>
      <c r="EQ88" s="169"/>
      <c r="ER88" s="169"/>
      <c r="ES88" s="169"/>
      <c r="ET88" s="169"/>
      <c r="EU88" s="169"/>
      <c r="EV88" s="169"/>
      <c r="EW88" s="169"/>
      <c r="EX88" s="169"/>
      <c r="EY88" s="169"/>
      <c r="EZ88" s="169"/>
      <c r="FA88" s="169"/>
      <c r="FB88" s="169"/>
      <c r="FC88" s="169"/>
      <c r="FD88" s="169"/>
      <c r="FE88" s="169"/>
      <c r="FF88" s="169"/>
      <c r="FG88" s="169"/>
      <c r="FH88" s="169"/>
      <c r="FI88" s="169"/>
      <c r="FJ88" s="169"/>
      <c r="FK88" s="169"/>
      <c r="FL88" s="169"/>
      <c r="FM88" s="169"/>
      <c r="FN88" s="169"/>
      <c r="FO88" s="169"/>
      <c r="FP88" s="169"/>
      <c r="FQ88" s="169"/>
      <c r="FR88" s="169"/>
      <c r="FS88" s="169"/>
      <c r="FT88" s="169"/>
      <c r="FU88" s="169"/>
      <c r="FV88" s="169"/>
      <c r="FW88" s="169"/>
      <c r="FX88" s="169"/>
      <c r="FY88" s="169"/>
      <c r="FZ88" s="169"/>
      <c r="GA88" s="169"/>
      <c r="GB88" s="169"/>
      <c r="GC88" s="169"/>
      <c r="GD88" s="169"/>
      <c r="GE88" s="169"/>
      <c r="GF88" s="169"/>
      <c r="GG88" s="169"/>
      <c r="GH88" s="169"/>
      <c r="GI88" s="169"/>
      <c r="GJ88" s="169"/>
      <c r="GK88" s="169"/>
      <c r="GL88" s="169"/>
      <c r="GM88" s="169"/>
      <c r="GN88" s="169"/>
      <c r="GO88" s="169"/>
      <c r="GP88" s="169"/>
      <c r="GQ88" s="169"/>
      <c r="GR88" s="169"/>
      <c r="GS88" s="169"/>
      <c r="GT88" s="169"/>
      <c r="GU88" s="169"/>
      <c r="GV88" s="169"/>
      <c r="GW88" s="169"/>
      <c r="GX88" s="169"/>
      <c r="GY88" s="169"/>
      <c r="GZ88" s="169"/>
      <c r="HA88" s="169"/>
      <c r="HB88" s="169"/>
      <c r="HC88" s="169"/>
      <c r="HD88" s="169"/>
      <c r="HE88" s="169"/>
      <c r="HF88" s="169"/>
      <c r="HG88" s="169"/>
      <c r="HH88" s="169"/>
      <c r="HI88" s="169"/>
      <c r="HJ88" s="169"/>
      <c r="HK88" s="169"/>
      <c r="HL88" s="169"/>
      <c r="HM88" s="169"/>
      <c r="HN88" s="169"/>
      <c r="HO88" s="169"/>
      <c r="HP88" s="169"/>
      <c r="HQ88" s="169"/>
      <c r="HR88" s="169"/>
      <c r="HS88" s="169"/>
      <c r="HT88" s="169"/>
      <c r="HU88" s="169"/>
      <c r="HV88" s="169"/>
      <c r="HW88" s="169"/>
      <c r="HX88" s="169"/>
      <c r="HY88" s="169"/>
      <c r="HZ88" s="169"/>
      <c r="IA88" s="169"/>
      <c r="IB88" s="169"/>
      <c r="IC88" s="169"/>
      <c r="ID88" s="169"/>
      <c r="IE88" s="169"/>
      <c r="IF88" s="169"/>
      <c r="IG88" s="169"/>
      <c r="IH88" s="169"/>
      <c r="II88" s="169"/>
      <c r="IJ88" s="169"/>
      <c r="IK88" s="169"/>
      <c r="IL88" s="169"/>
      <c r="IM88" s="169"/>
      <c r="IN88" s="169"/>
      <c r="IO88" s="169"/>
      <c r="IP88" s="169"/>
      <c r="IQ88" s="169"/>
      <c r="IR88" s="169"/>
      <c r="IS88" s="169"/>
      <c r="IT88" s="169"/>
      <c r="IU88" s="169"/>
      <c r="IV88" s="169"/>
    </row>
    <row r="89" spans="1:256" ht="15.6" thickBot="1" x14ac:dyDescent="0.3">
      <c r="A89" s="1316" t="s">
        <v>19</v>
      </c>
      <c r="B89" s="614"/>
      <c r="C89" s="615"/>
      <c r="D89" s="621"/>
      <c r="E89" s="1274">
        <f>+E14</f>
        <v>3030215.61</v>
      </c>
      <c r="F89" s="616"/>
      <c r="G89" s="615"/>
      <c r="H89" s="615"/>
      <c r="I89" s="615"/>
      <c r="J89" s="615"/>
      <c r="K89" s="615"/>
      <c r="L89" s="615"/>
      <c r="M89" s="1358">
        <f>+M30+M45+M57+M73+M87-0.01</f>
        <v>-94545.55</v>
      </c>
      <c r="N89" s="617"/>
      <c r="O89" s="169"/>
      <c r="P89" s="169"/>
      <c r="Q89" s="169"/>
      <c r="R89" s="169"/>
      <c r="S89" s="169"/>
      <c r="T89" s="169"/>
      <c r="U89" s="169"/>
      <c r="V89" s="169"/>
      <c r="W89" s="169"/>
      <c r="X89" s="169"/>
      <c r="Y89" s="169"/>
      <c r="Z89" s="169"/>
      <c r="AA89" s="169"/>
      <c r="AB89" s="169"/>
      <c r="AC89" s="169"/>
      <c r="AD89" s="169"/>
      <c r="AE89" s="169"/>
      <c r="AF89" s="169"/>
      <c r="AG89" s="169"/>
      <c r="AH89" s="169"/>
      <c r="AI89" s="169"/>
      <c r="AJ89" s="169"/>
      <c r="AK89" s="169"/>
      <c r="AL89" s="169"/>
      <c r="AM89" s="169"/>
      <c r="AN89" s="169"/>
      <c r="AO89" s="169"/>
      <c r="AP89" s="169"/>
      <c r="AQ89" s="169"/>
      <c r="AR89" s="169"/>
      <c r="AS89" s="169"/>
      <c r="AT89" s="169"/>
      <c r="AU89" s="169"/>
      <c r="AV89" s="169"/>
      <c r="AW89" s="169"/>
      <c r="AX89" s="169"/>
      <c r="AY89" s="169"/>
      <c r="AZ89" s="169"/>
      <c r="BA89" s="169"/>
      <c r="BB89" s="169"/>
      <c r="BC89" s="169"/>
      <c r="BD89" s="169"/>
      <c r="BE89" s="169"/>
      <c r="BF89" s="169"/>
      <c r="BG89" s="169"/>
      <c r="BH89" s="169"/>
      <c r="BI89" s="169"/>
      <c r="BJ89" s="169"/>
      <c r="BK89" s="169"/>
      <c r="BL89" s="169"/>
      <c r="BM89" s="169"/>
      <c r="BN89" s="169"/>
      <c r="BO89" s="169"/>
      <c r="BP89" s="169"/>
      <c r="BQ89" s="169"/>
      <c r="BR89" s="169"/>
      <c r="BS89" s="169"/>
      <c r="BT89" s="169"/>
      <c r="BU89" s="169"/>
      <c r="BV89" s="169"/>
      <c r="BW89" s="169"/>
      <c r="BX89" s="169"/>
      <c r="BY89" s="169"/>
      <c r="BZ89" s="169"/>
      <c r="CA89" s="169"/>
      <c r="CB89" s="169"/>
      <c r="CC89" s="169"/>
      <c r="CD89" s="169"/>
      <c r="CE89" s="169"/>
      <c r="CF89" s="169"/>
      <c r="CG89" s="169"/>
      <c r="CH89" s="169"/>
      <c r="CI89" s="169"/>
      <c r="CJ89" s="169"/>
      <c r="CK89" s="169"/>
      <c r="CL89" s="169"/>
      <c r="CM89" s="169"/>
      <c r="CN89" s="169"/>
      <c r="CO89" s="169"/>
      <c r="CP89" s="169"/>
      <c r="CQ89" s="169"/>
      <c r="CR89" s="169"/>
      <c r="CS89" s="169"/>
      <c r="CT89" s="169"/>
      <c r="CU89" s="169"/>
      <c r="CV89" s="169"/>
      <c r="CW89" s="169"/>
      <c r="CX89" s="169"/>
      <c r="CY89" s="169"/>
      <c r="CZ89" s="169"/>
      <c r="DA89" s="169"/>
      <c r="DB89" s="169"/>
      <c r="DC89" s="169"/>
      <c r="DD89" s="169"/>
      <c r="DE89" s="169"/>
      <c r="DF89" s="169"/>
      <c r="DG89" s="169"/>
      <c r="DH89" s="169"/>
      <c r="DI89" s="169"/>
      <c r="DJ89" s="169"/>
      <c r="DK89" s="169"/>
      <c r="DL89" s="169"/>
      <c r="DM89" s="169"/>
      <c r="DN89" s="169"/>
      <c r="DO89" s="169"/>
      <c r="DP89" s="169"/>
      <c r="DQ89" s="169"/>
      <c r="DR89" s="169"/>
      <c r="DS89" s="169"/>
      <c r="DT89" s="169"/>
      <c r="DU89" s="169"/>
      <c r="DV89" s="169"/>
      <c r="DW89" s="169"/>
      <c r="DX89" s="169"/>
      <c r="DY89" s="169"/>
      <c r="DZ89" s="169"/>
      <c r="EA89" s="169"/>
      <c r="EB89" s="169"/>
      <c r="EC89" s="169"/>
      <c r="ED89" s="169"/>
      <c r="EE89" s="169"/>
      <c r="EF89" s="169"/>
      <c r="EG89" s="169"/>
      <c r="EH89" s="169"/>
      <c r="EI89" s="169"/>
      <c r="EJ89" s="169"/>
      <c r="EK89" s="169"/>
      <c r="EL89" s="169"/>
      <c r="EM89" s="169"/>
      <c r="EN89" s="169"/>
      <c r="EO89" s="169"/>
      <c r="EP89" s="169"/>
      <c r="EQ89" s="169"/>
      <c r="ER89" s="169"/>
      <c r="ES89" s="169"/>
      <c r="ET89" s="169"/>
      <c r="EU89" s="169"/>
      <c r="EV89" s="169"/>
      <c r="EW89" s="169"/>
      <c r="EX89" s="169"/>
      <c r="EY89" s="169"/>
      <c r="EZ89" s="169"/>
      <c r="FA89" s="169"/>
      <c r="FB89" s="169"/>
      <c r="FC89" s="169"/>
      <c r="FD89" s="169"/>
      <c r="FE89" s="169"/>
      <c r="FF89" s="169"/>
      <c r="FG89" s="169"/>
      <c r="FH89" s="169"/>
      <c r="FI89" s="169"/>
      <c r="FJ89" s="169"/>
      <c r="FK89" s="169"/>
      <c r="FL89" s="169"/>
      <c r="FM89" s="169"/>
      <c r="FN89" s="169"/>
      <c r="FO89" s="169"/>
      <c r="FP89" s="169"/>
      <c r="FQ89" s="169"/>
      <c r="FR89" s="169"/>
      <c r="FS89" s="169"/>
      <c r="FT89" s="169"/>
      <c r="FU89" s="169"/>
      <c r="FV89" s="169"/>
      <c r="FW89" s="169"/>
      <c r="FX89" s="169"/>
      <c r="FY89" s="169"/>
      <c r="FZ89" s="169"/>
      <c r="GA89" s="169"/>
      <c r="GB89" s="169"/>
      <c r="GC89" s="169"/>
      <c r="GD89" s="169"/>
      <c r="GE89" s="169"/>
      <c r="GF89" s="169"/>
      <c r="GG89" s="169"/>
      <c r="GH89" s="169"/>
      <c r="GI89" s="169"/>
      <c r="GJ89" s="169"/>
      <c r="GK89" s="169"/>
      <c r="GL89" s="169"/>
      <c r="GM89" s="169"/>
      <c r="GN89" s="169"/>
      <c r="GO89" s="169"/>
      <c r="GP89" s="169"/>
      <c r="GQ89" s="169"/>
      <c r="GR89" s="169"/>
      <c r="GS89" s="169"/>
      <c r="GT89" s="169"/>
      <c r="GU89" s="169"/>
      <c r="GV89" s="169"/>
      <c r="GW89" s="169"/>
      <c r="GX89" s="169"/>
      <c r="GY89" s="169"/>
      <c r="GZ89" s="169"/>
      <c r="HA89" s="169"/>
      <c r="HB89" s="169"/>
      <c r="HC89" s="169"/>
      <c r="HD89" s="169"/>
      <c r="HE89" s="169"/>
      <c r="HF89" s="169"/>
      <c r="HG89" s="169"/>
      <c r="HH89" s="169"/>
      <c r="HI89" s="169"/>
      <c r="HJ89" s="169"/>
      <c r="HK89" s="169"/>
      <c r="HL89" s="169"/>
      <c r="HM89" s="169"/>
      <c r="HN89" s="169"/>
      <c r="HO89" s="169"/>
      <c r="HP89" s="169"/>
      <c r="HQ89" s="169"/>
      <c r="HR89" s="169"/>
      <c r="HS89" s="169"/>
      <c r="HT89" s="169"/>
      <c r="HU89" s="169"/>
      <c r="HV89" s="169"/>
      <c r="HW89" s="169"/>
      <c r="HX89" s="169"/>
      <c r="HY89" s="169"/>
      <c r="HZ89" s="169"/>
      <c r="IA89" s="169"/>
      <c r="IB89" s="169"/>
      <c r="IC89" s="169"/>
      <c r="ID89" s="169"/>
      <c r="IE89" s="169"/>
      <c r="IF89" s="169"/>
      <c r="IG89" s="169"/>
      <c r="IH89" s="169"/>
      <c r="II89" s="169"/>
      <c r="IJ89" s="169"/>
      <c r="IK89" s="169"/>
      <c r="IL89" s="169"/>
      <c r="IM89" s="169"/>
      <c r="IN89" s="169"/>
      <c r="IO89" s="169"/>
      <c r="IP89" s="169"/>
      <c r="IQ89" s="169"/>
      <c r="IR89" s="169"/>
      <c r="IS89" s="169"/>
      <c r="IT89" s="169"/>
      <c r="IU89" s="169"/>
      <c r="IV89" s="169"/>
    </row>
    <row r="90" spans="1:256" x14ac:dyDescent="0.25">
      <c r="E90" s="504" t="s">
        <v>1800</v>
      </c>
      <c r="M90" s="591">
        <f>+M89</f>
        <v>-94545.55</v>
      </c>
    </row>
    <row r="91" spans="1:256" x14ac:dyDescent="0.25">
      <c r="E91" s="504" t="s">
        <v>1803</v>
      </c>
      <c r="M91" s="591">
        <v>-81657.77</v>
      </c>
    </row>
    <row r="92" spans="1:256" x14ac:dyDescent="0.25">
      <c r="E92" s="502" t="s">
        <v>1802</v>
      </c>
      <c r="M92" s="1464">
        <f>+M90-M91</f>
        <v>-12887.779999999999</v>
      </c>
    </row>
  </sheetData>
  <mergeCells count="30">
    <mergeCell ref="A1:E1"/>
    <mergeCell ref="A32:C32"/>
    <mergeCell ref="D32:E32"/>
    <mergeCell ref="F32:G32"/>
    <mergeCell ref="H32:J32"/>
    <mergeCell ref="A3:D3"/>
    <mergeCell ref="A4:M4"/>
    <mergeCell ref="A5:M5"/>
    <mergeCell ref="A6:M6"/>
    <mergeCell ref="E8:M9"/>
    <mergeCell ref="E10:H10"/>
    <mergeCell ref="E11:H11"/>
    <mergeCell ref="E13:F13"/>
    <mergeCell ref="E14:F14"/>
    <mergeCell ref="A17:C17"/>
    <mergeCell ref="D17:E17"/>
    <mergeCell ref="F17:G17"/>
    <mergeCell ref="H17:J17"/>
    <mergeCell ref="A47:C47"/>
    <mergeCell ref="D47:E47"/>
    <mergeCell ref="F47:G47"/>
    <mergeCell ref="H47:J47"/>
    <mergeCell ref="A61:C61"/>
    <mergeCell ref="D61:E61"/>
    <mergeCell ref="F61:G61"/>
    <mergeCell ref="H61:J61"/>
    <mergeCell ref="A75:C75"/>
    <mergeCell ref="D75:E75"/>
    <mergeCell ref="F75:G75"/>
    <mergeCell ref="H75:J75"/>
  </mergeCells>
  <hyperlinks>
    <hyperlink ref="A7" r:id="rId1" display=" L.P.I.N  °"/>
  </hyperlinks>
  <printOptions horizontalCentered="1"/>
  <pageMargins left="0.59055118110236227" right="0.19685039370078741" top="0.52" bottom="0.39370078740157483" header="0.51181102362204722" footer="0.47244094488188981"/>
  <pageSetup paperSize="9" scale="58" firstPageNumber="0" orientation="portrait" horizontalDpi="4294967294" verticalDpi="300" r:id="rId2"/>
  <headerFooter alignWithMargins="0"/>
  <legacyDrawing r:id="rId3"/>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39997558519241921"/>
  </sheetPr>
  <dimension ref="A1:IR37"/>
  <sheetViews>
    <sheetView view="pageBreakPreview" zoomScaleNormal="85" zoomScaleSheetLayoutView="100" workbookViewId="0">
      <selection activeCell="H29" sqref="H29"/>
    </sheetView>
  </sheetViews>
  <sheetFormatPr baseColWidth="10" defaultColWidth="10.5546875" defaultRowHeight="13.2" x14ac:dyDescent="0.25"/>
  <cols>
    <col min="1" max="1" width="6" style="193" customWidth="1"/>
    <col min="2" max="2" width="12.33203125" style="193" customWidth="1"/>
    <col min="3" max="3" width="13.44140625" style="193" customWidth="1"/>
    <col min="4" max="4" width="14.33203125" style="622" customWidth="1"/>
    <col min="5" max="5" width="14.109375" style="622" customWidth="1"/>
    <col min="6" max="6" width="10.5546875" style="193" customWidth="1"/>
    <col min="7" max="8" width="10.33203125" style="193" customWidth="1"/>
    <col min="9" max="9" width="14.6640625" style="193" customWidth="1"/>
    <col min="10" max="10" width="10.5546875" style="193"/>
    <col min="11" max="11" width="13.6640625" style="193" customWidth="1"/>
    <col min="12" max="12" width="8.88671875" style="193" customWidth="1"/>
    <col min="13" max="16384" width="10.5546875" style="193"/>
  </cols>
  <sheetData>
    <row r="1" spans="1:252" x14ac:dyDescent="0.25">
      <c r="A1" s="2021" t="str">
        <f>RESUM_VAL_!A1</f>
        <v>GOBIERNO REGIONAL AYACUCHO</v>
      </c>
      <c r="B1" s="2021"/>
      <c r="C1" s="2021"/>
      <c r="D1" s="2021"/>
      <c r="E1" s="1344"/>
      <c r="F1" s="169"/>
      <c r="G1" s="169"/>
      <c r="H1" s="169"/>
      <c r="I1" s="169"/>
      <c r="J1" s="169"/>
      <c r="K1" s="169"/>
      <c r="L1" s="169"/>
      <c r="M1" s="169"/>
      <c r="N1" s="169"/>
      <c r="O1" s="169"/>
      <c r="P1" s="169"/>
      <c r="Q1" s="169"/>
      <c r="R1" s="169"/>
      <c r="S1" s="169"/>
      <c r="T1" s="169"/>
      <c r="U1" s="169"/>
      <c r="V1" s="169"/>
      <c r="W1" s="169"/>
      <c r="X1" s="169"/>
      <c r="Y1" s="169"/>
      <c r="Z1" s="169"/>
      <c r="AA1" s="169"/>
      <c r="AB1" s="169"/>
      <c r="AC1" s="169"/>
      <c r="AD1" s="169"/>
      <c r="AE1" s="169"/>
      <c r="AF1" s="169"/>
      <c r="AG1" s="169"/>
      <c r="AH1" s="169"/>
      <c r="AI1" s="169"/>
      <c r="AJ1" s="169"/>
      <c r="AK1" s="169"/>
      <c r="AL1" s="169"/>
      <c r="AM1" s="169"/>
      <c r="AN1" s="169"/>
      <c r="AO1" s="169"/>
      <c r="AP1" s="169"/>
      <c r="AQ1" s="169"/>
      <c r="AR1" s="169"/>
      <c r="AS1" s="169"/>
      <c r="AT1" s="169"/>
      <c r="AU1" s="169"/>
      <c r="AV1" s="169"/>
      <c r="AW1" s="169"/>
      <c r="AX1" s="169"/>
      <c r="AY1" s="169"/>
      <c r="AZ1" s="169"/>
      <c r="BA1" s="169"/>
      <c r="BB1" s="169"/>
      <c r="BC1" s="169"/>
      <c r="BD1" s="169"/>
      <c r="BE1" s="169"/>
      <c r="BF1" s="169"/>
      <c r="BG1" s="169"/>
      <c r="BH1" s="169"/>
      <c r="BI1" s="169"/>
      <c r="BJ1" s="169"/>
      <c r="BK1" s="169"/>
      <c r="BL1" s="169"/>
      <c r="BM1" s="169"/>
      <c r="BN1" s="169"/>
      <c r="BO1" s="169"/>
      <c r="BP1" s="169"/>
      <c r="BQ1" s="169"/>
      <c r="BR1" s="169"/>
      <c r="BS1" s="169"/>
      <c r="BT1" s="169"/>
      <c r="BU1" s="169"/>
      <c r="BV1" s="169"/>
      <c r="BW1" s="169"/>
      <c r="BX1" s="169"/>
      <c r="BY1" s="169"/>
      <c r="BZ1" s="169"/>
      <c r="CA1" s="169"/>
      <c r="CB1" s="169"/>
      <c r="CC1" s="169"/>
      <c r="CD1" s="169"/>
      <c r="CE1" s="169"/>
      <c r="CF1" s="169"/>
      <c r="CG1" s="169"/>
      <c r="CH1" s="169"/>
      <c r="CI1" s="169"/>
      <c r="CJ1" s="169"/>
      <c r="CK1" s="169"/>
      <c r="CL1" s="169"/>
      <c r="CM1" s="169"/>
      <c r="CN1" s="169"/>
      <c r="CO1" s="169"/>
      <c r="CP1" s="169"/>
      <c r="CQ1" s="169"/>
      <c r="CR1" s="169"/>
      <c r="CS1" s="169"/>
      <c r="CT1" s="169"/>
      <c r="CU1" s="169"/>
      <c r="CV1" s="169"/>
      <c r="CW1" s="169"/>
      <c r="CX1" s="169"/>
      <c r="CY1" s="169"/>
      <c r="CZ1" s="169"/>
      <c r="DA1" s="169"/>
      <c r="DB1" s="169"/>
      <c r="DC1" s="169"/>
      <c r="DD1" s="169"/>
      <c r="DE1" s="169"/>
      <c r="DF1" s="169"/>
      <c r="DG1" s="169"/>
      <c r="DH1" s="169"/>
      <c r="DI1" s="169"/>
      <c r="DJ1" s="169"/>
      <c r="DK1" s="169"/>
      <c r="DL1" s="169"/>
      <c r="DM1" s="169"/>
      <c r="DN1" s="169"/>
      <c r="DO1" s="169"/>
      <c r="DP1" s="169"/>
      <c r="DQ1" s="169"/>
      <c r="DR1" s="169"/>
      <c r="DS1" s="169"/>
      <c r="DT1" s="169"/>
      <c r="DU1" s="169"/>
      <c r="DV1" s="169"/>
      <c r="DW1" s="169"/>
      <c r="DX1" s="169"/>
      <c r="DY1" s="169"/>
      <c r="DZ1" s="169"/>
      <c r="EA1" s="169"/>
      <c r="EB1" s="169"/>
      <c r="EC1" s="169"/>
      <c r="ED1" s="169"/>
      <c r="EE1" s="169"/>
      <c r="EF1" s="169"/>
      <c r="EG1" s="169"/>
      <c r="EH1" s="169"/>
      <c r="EI1" s="169"/>
      <c r="EJ1" s="169"/>
      <c r="EK1" s="169"/>
      <c r="EL1" s="169"/>
      <c r="EM1" s="169"/>
      <c r="EN1" s="169"/>
      <c r="EO1" s="169"/>
      <c r="EP1" s="169"/>
      <c r="EQ1" s="169"/>
      <c r="ER1" s="169"/>
      <c r="ES1" s="169"/>
      <c r="ET1" s="169"/>
      <c r="EU1" s="169"/>
      <c r="EV1" s="169"/>
      <c r="EW1" s="169"/>
      <c r="EX1" s="169"/>
      <c r="EY1" s="169"/>
      <c r="EZ1" s="169"/>
      <c r="FA1" s="169"/>
      <c r="FB1" s="169"/>
      <c r="FC1" s="169"/>
      <c r="FD1" s="169"/>
      <c r="FE1" s="169"/>
      <c r="FF1" s="169"/>
      <c r="FG1" s="169"/>
      <c r="FH1" s="169"/>
      <c r="FI1" s="169"/>
      <c r="FJ1" s="169"/>
      <c r="FK1" s="169"/>
      <c r="FL1" s="169"/>
      <c r="FM1" s="169"/>
      <c r="FN1" s="169"/>
      <c r="FO1" s="169"/>
      <c r="FP1" s="169"/>
      <c r="FQ1" s="169"/>
      <c r="FR1" s="169"/>
      <c r="FS1" s="169"/>
      <c r="FT1" s="169"/>
      <c r="FU1" s="169"/>
      <c r="FV1" s="169"/>
      <c r="FW1" s="169"/>
      <c r="FX1" s="169"/>
      <c r="FY1" s="169"/>
      <c r="FZ1" s="169"/>
      <c r="GA1" s="169"/>
      <c r="GB1" s="169"/>
      <c r="GC1" s="169"/>
      <c r="GD1" s="169"/>
      <c r="GE1" s="169"/>
      <c r="GF1" s="169"/>
      <c r="GG1" s="169"/>
      <c r="GH1" s="169"/>
      <c r="GI1" s="169"/>
      <c r="GJ1" s="169"/>
      <c r="GK1" s="169"/>
      <c r="GL1" s="169"/>
      <c r="GM1" s="169"/>
      <c r="GN1" s="169"/>
      <c r="GO1" s="169"/>
      <c r="GP1" s="169"/>
      <c r="GQ1" s="169"/>
      <c r="GR1" s="169"/>
      <c r="GS1" s="169"/>
      <c r="GT1" s="169"/>
      <c r="GU1" s="169"/>
      <c r="GV1" s="169"/>
      <c r="GW1" s="169"/>
      <c r="GX1" s="169"/>
      <c r="GY1" s="169"/>
      <c r="GZ1" s="169"/>
      <c r="HA1" s="169"/>
      <c r="HB1" s="169"/>
      <c r="HC1" s="169"/>
      <c r="HD1" s="169"/>
      <c r="HE1" s="169"/>
      <c r="HF1" s="169"/>
      <c r="HG1" s="169"/>
      <c r="HH1" s="169"/>
      <c r="HI1" s="169"/>
      <c r="HJ1" s="169"/>
      <c r="HK1" s="169"/>
      <c r="HL1" s="169"/>
      <c r="HM1" s="169"/>
      <c r="HN1" s="169"/>
      <c r="HO1" s="169"/>
      <c r="HP1" s="169"/>
      <c r="HQ1" s="169"/>
      <c r="HR1" s="169"/>
      <c r="HS1" s="169"/>
      <c r="HT1" s="169"/>
      <c r="HU1" s="169"/>
      <c r="HV1" s="169"/>
      <c r="HW1" s="169"/>
      <c r="HX1" s="169"/>
      <c r="HY1" s="169"/>
      <c r="HZ1" s="169"/>
      <c r="IA1" s="169"/>
      <c r="IB1" s="169"/>
      <c r="IC1" s="169"/>
      <c r="ID1" s="169"/>
      <c r="IE1" s="169"/>
      <c r="IF1" s="169"/>
      <c r="IG1" s="169"/>
      <c r="IH1" s="169"/>
      <c r="II1" s="169"/>
      <c r="IJ1" s="169"/>
      <c r="IK1" s="169"/>
      <c r="IL1" s="169"/>
      <c r="IM1" s="169"/>
      <c r="IN1" s="169"/>
      <c r="IO1" s="169"/>
      <c r="IP1" s="169"/>
      <c r="IQ1" s="169"/>
      <c r="IR1" s="169"/>
    </row>
    <row r="2" spans="1:252" x14ac:dyDescent="0.25">
      <c r="A2" s="2021" t="str">
        <f>RESUM_VAL_!A2</f>
        <v>SUBGERENCIA DE SUPERVISION Y LIQUIDACION</v>
      </c>
      <c r="B2" s="2021"/>
      <c r="C2" s="2021"/>
      <c r="D2" s="2021"/>
      <c r="E2" s="492"/>
      <c r="F2" s="169"/>
      <c r="G2" s="169"/>
      <c r="H2" s="169"/>
      <c r="I2" s="169"/>
      <c r="J2" s="169"/>
      <c r="K2" s="169"/>
      <c r="L2" s="169"/>
      <c r="M2" s="169"/>
      <c r="N2" s="169"/>
      <c r="O2" s="169"/>
      <c r="P2" s="169"/>
      <c r="Q2" s="169"/>
      <c r="R2" s="169"/>
      <c r="S2" s="169"/>
      <c r="T2" s="169"/>
      <c r="U2" s="169"/>
      <c r="V2" s="169"/>
      <c r="W2" s="169"/>
      <c r="X2" s="169"/>
      <c r="Y2" s="169"/>
      <c r="Z2" s="169"/>
      <c r="AA2" s="169"/>
      <c r="AB2" s="169"/>
      <c r="AC2" s="169"/>
      <c r="AD2" s="169"/>
      <c r="AE2" s="169"/>
      <c r="AF2" s="169"/>
      <c r="AG2" s="169"/>
      <c r="AH2" s="169"/>
      <c r="AI2" s="169"/>
      <c r="AJ2" s="169"/>
      <c r="AK2" s="169"/>
      <c r="AL2" s="169"/>
      <c r="AM2" s="169"/>
      <c r="AN2" s="169"/>
      <c r="AO2" s="169"/>
      <c r="AP2" s="169"/>
      <c r="AQ2" s="169"/>
      <c r="AR2" s="169"/>
      <c r="AS2" s="169"/>
      <c r="AT2" s="169"/>
      <c r="AU2" s="169"/>
      <c r="AV2" s="169"/>
      <c r="AW2" s="169"/>
      <c r="AX2" s="169"/>
      <c r="AY2" s="169"/>
      <c r="AZ2" s="169"/>
      <c r="BA2" s="169"/>
      <c r="BB2" s="169"/>
      <c r="BC2" s="169"/>
      <c r="BD2" s="169"/>
      <c r="BE2" s="169"/>
      <c r="BF2" s="169"/>
      <c r="BG2" s="169"/>
      <c r="BH2" s="169"/>
      <c r="BI2" s="169"/>
      <c r="BJ2" s="169"/>
      <c r="BK2" s="169"/>
      <c r="BL2" s="169"/>
      <c r="BM2" s="169"/>
      <c r="BN2" s="169"/>
      <c r="BO2" s="169"/>
      <c r="BP2" s="169"/>
      <c r="BQ2" s="169"/>
      <c r="BR2" s="169"/>
      <c r="BS2" s="169"/>
      <c r="BT2" s="169"/>
      <c r="BU2" s="169"/>
      <c r="BV2" s="169"/>
      <c r="BW2" s="169"/>
      <c r="BX2" s="169"/>
      <c r="BY2" s="169"/>
      <c r="BZ2" s="169"/>
      <c r="CA2" s="169"/>
      <c r="CB2" s="169"/>
      <c r="CC2" s="169"/>
      <c r="CD2" s="169"/>
      <c r="CE2" s="169"/>
      <c r="CF2" s="169"/>
      <c r="CG2" s="169"/>
      <c r="CH2" s="169"/>
      <c r="CI2" s="169"/>
      <c r="CJ2" s="169"/>
      <c r="CK2" s="169"/>
      <c r="CL2" s="169"/>
      <c r="CM2" s="169"/>
      <c r="CN2" s="169"/>
      <c r="CO2" s="169"/>
      <c r="CP2" s="169"/>
      <c r="CQ2" s="169"/>
      <c r="CR2" s="169"/>
      <c r="CS2" s="169"/>
      <c r="CT2" s="169"/>
      <c r="CU2" s="169"/>
      <c r="CV2" s="169"/>
      <c r="CW2" s="169"/>
      <c r="CX2" s="169"/>
      <c r="CY2" s="169"/>
      <c r="CZ2" s="169"/>
      <c r="DA2" s="169"/>
      <c r="DB2" s="169"/>
      <c r="DC2" s="169"/>
      <c r="DD2" s="169"/>
      <c r="DE2" s="169"/>
      <c r="DF2" s="169"/>
      <c r="DG2" s="169"/>
      <c r="DH2" s="169"/>
      <c r="DI2" s="169"/>
      <c r="DJ2" s="169"/>
      <c r="DK2" s="169"/>
      <c r="DL2" s="169"/>
      <c r="DM2" s="169"/>
      <c r="DN2" s="169"/>
      <c r="DO2" s="169"/>
      <c r="DP2" s="169"/>
      <c r="DQ2" s="169"/>
      <c r="DR2" s="169"/>
      <c r="DS2" s="169"/>
      <c r="DT2" s="169"/>
      <c r="DU2" s="169"/>
      <c r="DV2" s="169"/>
      <c r="DW2" s="169"/>
      <c r="DX2" s="169"/>
      <c r="DY2" s="169"/>
      <c r="DZ2" s="169"/>
      <c r="EA2" s="169"/>
      <c r="EB2" s="169"/>
      <c r="EC2" s="169"/>
      <c r="ED2" s="169"/>
      <c r="EE2" s="169"/>
      <c r="EF2" s="169"/>
      <c r="EG2" s="169"/>
      <c r="EH2" s="169"/>
      <c r="EI2" s="169"/>
      <c r="EJ2" s="169"/>
      <c r="EK2" s="169"/>
      <c r="EL2" s="169"/>
      <c r="EM2" s="169"/>
      <c r="EN2" s="169"/>
      <c r="EO2" s="169"/>
      <c r="EP2" s="169"/>
      <c r="EQ2" s="169"/>
      <c r="ER2" s="169"/>
      <c r="ES2" s="169"/>
      <c r="ET2" s="169"/>
      <c r="EU2" s="169"/>
      <c r="EV2" s="169"/>
      <c r="EW2" s="169"/>
      <c r="EX2" s="169"/>
      <c r="EY2" s="169"/>
      <c r="EZ2" s="169"/>
      <c r="FA2" s="169"/>
      <c r="FB2" s="169"/>
      <c r="FC2" s="169"/>
      <c r="FD2" s="169"/>
      <c r="FE2" s="169"/>
      <c r="FF2" s="169"/>
      <c r="FG2" s="169"/>
      <c r="FH2" s="169"/>
      <c r="FI2" s="169"/>
      <c r="FJ2" s="169"/>
      <c r="FK2" s="169"/>
      <c r="FL2" s="169"/>
      <c r="FM2" s="169"/>
      <c r="FN2" s="169"/>
      <c r="FO2" s="169"/>
      <c r="FP2" s="169"/>
      <c r="FQ2" s="169"/>
      <c r="FR2" s="169"/>
      <c r="FS2" s="169"/>
      <c r="FT2" s="169"/>
      <c r="FU2" s="169"/>
      <c r="FV2" s="169"/>
      <c r="FW2" s="169"/>
      <c r="FX2" s="169"/>
      <c r="FY2" s="169"/>
      <c r="FZ2" s="169"/>
      <c r="GA2" s="169"/>
      <c r="GB2" s="169"/>
      <c r="GC2" s="169"/>
      <c r="GD2" s="169"/>
      <c r="GE2" s="169"/>
      <c r="GF2" s="169"/>
      <c r="GG2" s="169"/>
      <c r="GH2" s="169"/>
      <c r="GI2" s="169"/>
      <c r="GJ2" s="169"/>
      <c r="GK2" s="169"/>
      <c r="GL2" s="169"/>
      <c r="GM2" s="169"/>
      <c r="GN2" s="169"/>
      <c r="GO2" s="169"/>
      <c r="GP2" s="169"/>
      <c r="GQ2" s="169"/>
      <c r="GR2" s="169"/>
      <c r="GS2" s="169"/>
      <c r="GT2" s="169"/>
      <c r="GU2" s="169"/>
      <c r="GV2" s="169"/>
      <c r="GW2" s="169"/>
      <c r="GX2" s="169"/>
      <c r="GY2" s="169"/>
      <c r="GZ2" s="169"/>
      <c r="HA2" s="169"/>
      <c r="HB2" s="169"/>
      <c r="HC2" s="169"/>
      <c r="HD2" s="169"/>
      <c r="HE2" s="169"/>
      <c r="HF2" s="169"/>
      <c r="HG2" s="169"/>
      <c r="HH2" s="169"/>
      <c r="HI2" s="169"/>
      <c r="HJ2" s="169"/>
      <c r="HK2" s="169"/>
      <c r="HL2" s="169"/>
      <c r="HM2" s="169"/>
      <c r="HN2" s="169"/>
      <c r="HO2" s="169"/>
      <c r="HP2" s="169"/>
      <c r="HQ2" s="169"/>
      <c r="HR2" s="169"/>
      <c r="HS2" s="169"/>
      <c r="HT2" s="169"/>
      <c r="HU2" s="169"/>
      <c r="HV2" s="169"/>
      <c r="HW2" s="169"/>
      <c r="HX2" s="169"/>
      <c r="HY2" s="169"/>
      <c r="HZ2" s="169"/>
      <c r="IA2" s="169"/>
      <c r="IB2" s="169"/>
      <c r="IC2" s="169"/>
      <c r="ID2" s="169"/>
      <c r="IE2" s="169"/>
      <c r="IF2" s="169"/>
      <c r="IG2" s="169"/>
      <c r="IH2" s="169"/>
      <c r="II2" s="169"/>
      <c r="IJ2" s="169"/>
      <c r="IK2" s="169"/>
      <c r="IL2" s="169"/>
      <c r="IM2" s="169"/>
      <c r="IN2" s="169"/>
      <c r="IO2" s="169"/>
      <c r="IP2" s="169"/>
      <c r="IQ2" s="169"/>
      <c r="IR2" s="169"/>
    </row>
    <row r="3" spans="1:252" s="169" customFormat="1" x14ac:dyDescent="0.25">
      <c r="A3" s="2021"/>
      <c r="B3" s="2021"/>
      <c r="C3" s="2021"/>
      <c r="D3" s="492"/>
      <c r="E3" s="492"/>
    </row>
    <row r="4" spans="1:252" ht="19.5" customHeight="1" x14ac:dyDescent="0.3">
      <c r="A4" s="2279" t="s">
        <v>1399</v>
      </c>
      <c r="B4" s="2279"/>
      <c r="C4" s="2279"/>
      <c r="D4" s="2279"/>
      <c r="E4" s="2279"/>
      <c r="F4" s="2279"/>
      <c r="G4" s="2279"/>
      <c r="H4" s="2279"/>
      <c r="I4" s="2279"/>
      <c r="J4" s="169"/>
      <c r="K4" s="169"/>
      <c r="L4" s="169"/>
      <c r="M4" s="169"/>
      <c r="N4" s="169"/>
      <c r="O4" s="169"/>
      <c r="P4" s="169"/>
      <c r="Q4" s="169"/>
      <c r="R4" s="169"/>
      <c r="S4" s="169"/>
      <c r="T4" s="169"/>
      <c r="U4" s="169"/>
      <c r="V4" s="169"/>
      <c r="W4" s="169"/>
      <c r="X4" s="169"/>
      <c r="Y4" s="169"/>
      <c r="Z4" s="169"/>
      <c r="AA4" s="169"/>
      <c r="AB4" s="169"/>
      <c r="AC4" s="169"/>
      <c r="AD4" s="169"/>
      <c r="AE4" s="169"/>
      <c r="AF4" s="169"/>
      <c r="AG4" s="169"/>
      <c r="AH4" s="169"/>
      <c r="AI4" s="169"/>
      <c r="AJ4" s="169"/>
      <c r="AK4" s="169"/>
      <c r="AL4" s="169"/>
      <c r="AM4" s="169"/>
      <c r="AN4" s="169"/>
      <c r="AO4" s="169"/>
      <c r="AP4" s="169"/>
      <c r="AQ4" s="169"/>
      <c r="AR4" s="169"/>
      <c r="AS4" s="169"/>
      <c r="AT4" s="169"/>
      <c r="AU4" s="169"/>
      <c r="AV4" s="169"/>
      <c r="AW4" s="169"/>
      <c r="AX4" s="169"/>
      <c r="AY4" s="169"/>
      <c r="AZ4" s="169"/>
      <c r="BA4" s="169"/>
      <c r="BB4" s="169"/>
      <c r="BC4" s="169"/>
      <c r="BD4" s="169"/>
      <c r="BE4" s="169"/>
      <c r="BF4" s="169"/>
      <c r="BG4" s="169"/>
      <c r="BH4" s="169"/>
      <c r="BI4" s="169"/>
      <c r="BJ4" s="169"/>
      <c r="BK4" s="169"/>
      <c r="BL4" s="169"/>
      <c r="BM4" s="169"/>
      <c r="BN4" s="169"/>
      <c r="BO4" s="169"/>
      <c r="BP4" s="169"/>
      <c r="BQ4" s="169"/>
      <c r="BR4" s="169"/>
      <c r="BS4" s="169"/>
      <c r="BT4" s="169"/>
      <c r="BU4" s="169"/>
      <c r="BV4" s="169"/>
      <c r="BW4" s="169"/>
      <c r="BX4" s="169"/>
      <c r="BY4" s="169"/>
      <c r="BZ4" s="169"/>
      <c r="CA4" s="169"/>
      <c r="CB4" s="169"/>
      <c r="CC4" s="169"/>
      <c r="CD4" s="169"/>
      <c r="CE4" s="169"/>
      <c r="CF4" s="169"/>
      <c r="CG4" s="169"/>
      <c r="CH4" s="169"/>
      <c r="CI4" s="169"/>
      <c r="CJ4" s="169"/>
      <c r="CK4" s="169"/>
      <c r="CL4" s="169"/>
      <c r="CM4" s="169"/>
      <c r="CN4" s="169"/>
      <c r="CO4" s="169"/>
      <c r="CP4" s="169"/>
      <c r="CQ4" s="169"/>
      <c r="CR4" s="169"/>
      <c r="CS4" s="169"/>
      <c r="CT4" s="169"/>
      <c r="CU4" s="169"/>
      <c r="CV4" s="169"/>
      <c r="CW4" s="169"/>
      <c r="CX4" s="169"/>
      <c r="CY4" s="169"/>
      <c r="CZ4" s="169"/>
      <c r="DA4" s="169"/>
      <c r="DB4" s="169"/>
      <c r="DC4" s="169"/>
      <c r="DD4" s="169"/>
      <c r="DE4" s="169"/>
      <c r="DF4" s="169"/>
      <c r="DG4" s="169"/>
      <c r="DH4" s="169"/>
      <c r="DI4" s="169"/>
      <c r="DJ4" s="169"/>
      <c r="DK4" s="169"/>
      <c r="DL4" s="169"/>
      <c r="DM4" s="169"/>
      <c r="DN4" s="169"/>
      <c r="DO4" s="169"/>
      <c r="DP4" s="169"/>
      <c r="DQ4" s="169"/>
      <c r="DR4" s="169"/>
      <c r="DS4" s="169"/>
      <c r="DT4" s="169"/>
      <c r="DU4" s="169"/>
      <c r="DV4" s="169"/>
      <c r="DW4" s="169"/>
      <c r="DX4" s="169"/>
      <c r="DY4" s="169"/>
      <c r="DZ4" s="169"/>
      <c r="EA4" s="169"/>
      <c r="EB4" s="169"/>
      <c r="EC4" s="169"/>
      <c r="ED4" s="169"/>
      <c r="EE4" s="169"/>
      <c r="EF4" s="169"/>
      <c r="EG4" s="169"/>
      <c r="EH4" s="169"/>
      <c r="EI4" s="169"/>
      <c r="EJ4" s="169"/>
      <c r="EK4" s="169"/>
      <c r="EL4" s="169"/>
      <c r="EM4" s="169"/>
      <c r="EN4" s="169"/>
      <c r="EO4" s="169"/>
      <c r="EP4" s="169"/>
      <c r="EQ4" s="169"/>
      <c r="ER4" s="169"/>
      <c r="ES4" s="169"/>
      <c r="ET4" s="169"/>
      <c r="EU4" s="169"/>
      <c r="EV4" s="169"/>
      <c r="EW4" s="169"/>
      <c r="EX4" s="169"/>
      <c r="EY4" s="169"/>
      <c r="EZ4" s="169"/>
      <c r="FA4" s="169"/>
      <c r="FB4" s="169"/>
      <c r="FC4" s="169"/>
      <c r="FD4" s="169"/>
      <c r="FE4" s="169"/>
      <c r="FF4" s="169"/>
      <c r="FG4" s="169"/>
      <c r="FH4" s="169"/>
      <c r="FI4" s="169"/>
      <c r="FJ4" s="169"/>
      <c r="FK4" s="169"/>
      <c r="FL4" s="169"/>
      <c r="FM4" s="169"/>
      <c r="FN4" s="169"/>
      <c r="FO4" s="169"/>
      <c r="FP4" s="169"/>
      <c r="FQ4" s="169"/>
      <c r="FR4" s="169"/>
      <c r="FS4" s="169"/>
      <c r="FT4" s="169"/>
      <c r="FU4" s="169"/>
      <c r="FV4" s="169"/>
      <c r="FW4" s="169"/>
      <c r="FX4" s="169"/>
      <c r="FY4" s="169"/>
      <c r="FZ4" s="169"/>
      <c r="GA4" s="169"/>
      <c r="GB4" s="169"/>
      <c r="GC4" s="169"/>
      <c r="GD4" s="169"/>
      <c r="GE4" s="169"/>
      <c r="GF4" s="169"/>
      <c r="GG4" s="169"/>
      <c r="GH4" s="169"/>
      <c r="GI4" s="169"/>
      <c r="GJ4" s="169"/>
      <c r="GK4" s="169"/>
      <c r="GL4" s="169"/>
      <c r="GM4" s="169"/>
      <c r="GN4" s="169"/>
      <c r="GO4" s="169"/>
      <c r="GP4" s="169"/>
      <c r="GQ4" s="169"/>
      <c r="GR4" s="169"/>
      <c r="GS4" s="169"/>
      <c r="GT4" s="169"/>
      <c r="GU4" s="169"/>
      <c r="GV4" s="169"/>
      <c r="GW4" s="169"/>
      <c r="GX4" s="169"/>
      <c r="GY4" s="169"/>
      <c r="GZ4" s="169"/>
      <c r="HA4" s="169"/>
      <c r="HB4" s="169"/>
      <c r="HC4" s="169"/>
      <c r="HD4" s="169"/>
      <c r="HE4" s="169"/>
      <c r="HF4" s="169"/>
      <c r="HG4" s="169"/>
      <c r="HH4" s="169"/>
      <c r="HI4" s="169"/>
      <c r="HJ4" s="169"/>
      <c r="HK4" s="169"/>
      <c r="HL4" s="169"/>
      <c r="HM4" s="169"/>
      <c r="HN4" s="169"/>
      <c r="HO4" s="169"/>
      <c r="HP4" s="169"/>
      <c r="HQ4" s="169"/>
      <c r="HR4" s="169"/>
      <c r="HS4" s="169"/>
      <c r="HT4" s="169"/>
      <c r="HU4" s="169"/>
      <c r="HV4" s="169"/>
      <c r="HW4" s="169"/>
      <c r="HX4" s="169"/>
      <c r="HY4" s="169"/>
      <c r="HZ4" s="169"/>
      <c r="IA4" s="169"/>
      <c r="IB4" s="169"/>
      <c r="IC4" s="169"/>
      <c r="ID4" s="169"/>
      <c r="IE4" s="169"/>
      <c r="IF4" s="169"/>
      <c r="IG4" s="169"/>
      <c r="IH4" s="169"/>
      <c r="II4" s="169"/>
      <c r="IJ4" s="169"/>
      <c r="IK4" s="169"/>
      <c r="IL4" s="169"/>
      <c r="IM4" s="169"/>
      <c r="IN4" s="169"/>
      <c r="IO4" s="169"/>
      <c r="IP4" s="169"/>
      <c r="IQ4" s="169"/>
      <c r="IR4" s="169"/>
    </row>
    <row r="5" spans="1:252" ht="12.75" customHeight="1" x14ac:dyDescent="0.25">
      <c r="A5" s="2298" t="s">
        <v>39</v>
      </c>
      <c r="B5" s="2298"/>
      <c r="C5" s="2298"/>
      <c r="D5" s="2298"/>
      <c r="E5" s="2298"/>
      <c r="F5" s="2298"/>
      <c r="G5" s="2298"/>
      <c r="H5" s="2298"/>
      <c r="I5" s="2298"/>
      <c r="J5" s="169"/>
      <c r="K5" s="169"/>
      <c r="L5" s="169"/>
      <c r="M5" s="169"/>
      <c r="N5" s="169"/>
      <c r="O5" s="169"/>
      <c r="P5" s="169"/>
      <c r="Q5" s="169"/>
      <c r="R5" s="169"/>
      <c r="S5" s="169"/>
      <c r="T5" s="169"/>
      <c r="U5" s="169"/>
      <c r="V5" s="169"/>
      <c r="W5" s="169"/>
      <c r="X5" s="169"/>
      <c r="Y5" s="169"/>
      <c r="Z5" s="169"/>
      <c r="AA5" s="169"/>
      <c r="AB5" s="169"/>
      <c r="AC5" s="169"/>
      <c r="AD5" s="169"/>
      <c r="AE5" s="169"/>
      <c r="AF5" s="169"/>
      <c r="AG5" s="169"/>
      <c r="AH5" s="169"/>
      <c r="AI5" s="169"/>
      <c r="AJ5" s="169"/>
      <c r="AK5" s="169"/>
      <c r="AL5" s="169"/>
      <c r="AM5" s="169"/>
      <c r="AN5" s="169"/>
      <c r="AO5" s="169"/>
      <c r="AP5" s="169"/>
      <c r="AQ5" s="169"/>
      <c r="AR5" s="169"/>
      <c r="AS5" s="169"/>
      <c r="AT5" s="169"/>
      <c r="AU5" s="169"/>
      <c r="AV5" s="169"/>
      <c r="AW5" s="169"/>
      <c r="AX5" s="169"/>
      <c r="AY5" s="169"/>
      <c r="AZ5" s="169"/>
      <c r="BA5" s="169"/>
      <c r="BB5" s="169"/>
      <c r="BC5" s="169"/>
      <c r="BD5" s="169"/>
      <c r="BE5" s="169"/>
      <c r="BF5" s="169"/>
      <c r="BG5" s="169"/>
      <c r="BH5" s="169"/>
      <c r="BI5" s="169"/>
      <c r="BJ5" s="169"/>
      <c r="BK5" s="169"/>
      <c r="BL5" s="169"/>
      <c r="BM5" s="169"/>
      <c r="BN5" s="169"/>
      <c r="BO5" s="169"/>
      <c r="BP5" s="169"/>
      <c r="BQ5" s="169"/>
      <c r="BR5" s="169"/>
      <c r="BS5" s="169"/>
      <c r="BT5" s="169"/>
      <c r="BU5" s="169"/>
      <c r="BV5" s="169"/>
      <c r="BW5" s="169"/>
      <c r="BX5" s="169"/>
      <c r="BY5" s="169"/>
      <c r="BZ5" s="169"/>
      <c r="CA5" s="169"/>
      <c r="CB5" s="169"/>
      <c r="CC5" s="169"/>
      <c r="CD5" s="169"/>
      <c r="CE5" s="169"/>
      <c r="CF5" s="169"/>
      <c r="CG5" s="169"/>
      <c r="CH5" s="169"/>
      <c r="CI5" s="169"/>
      <c r="CJ5" s="169"/>
      <c r="CK5" s="169"/>
      <c r="CL5" s="169"/>
      <c r="CM5" s="169"/>
      <c r="CN5" s="169"/>
      <c r="CO5" s="169"/>
      <c r="CP5" s="169"/>
      <c r="CQ5" s="169"/>
      <c r="CR5" s="169"/>
      <c r="CS5" s="169"/>
      <c r="CT5" s="169"/>
      <c r="CU5" s="169"/>
      <c r="CV5" s="169"/>
      <c r="CW5" s="169"/>
      <c r="CX5" s="169"/>
      <c r="CY5" s="169"/>
      <c r="CZ5" s="169"/>
      <c r="DA5" s="169"/>
      <c r="DB5" s="169"/>
      <c r="DC5" s="169"/>
      <c r="DD5" s="169"/>
      <c r="DE5" s="169"/>
      <c r="DF5" s="169"/>
      <c r="DG5" s="169"/>
      <c r="DH5" s="169"/>
      <c r="DI5" s="169"/>
      <c r="DJ5" s="169"/>
      <c r="DK5" s="169"/>
      <c r="DL5" s="169"/>
      <c r="DM5" s="169"/>
      <c r="DN5" s="169"/>
      <c r="DO5" s="169"/>
      <c r="DP5" s="169"/>
      <c r="DQ5" s="169"/>
      <c r="DR5" s="169"/>
      <c r="DS5" s="169"/>
      <c r="DT5" s="169"/>
      <c r="DU5" s="169"/>
      <c r="DV5" s="169"/>
      <c r="DW5" s="169"/>
      <c r="DX5" s="169"/>
      <c r="DY5" s="169"/>
      <c r="DZ5" s="169"/>
      <c r="EA5" s="169"/>
      <c r="EB5" s="169"/>
      <c r="EC5" s="169"/>
      <c r="ED5" s="169"/>
      <c r="EE5" s="169"/>
      <c r="EF5" s="169"/>
      <c r="EG5" s="169"/>
      <c r="EH5" s="169"/>
      <c r="EI5" s="169"/>
      <c r="EJ5" s="169"/>
      <c r="EK5" s="169"/>
      <c r="EL5" s="169"/>
      <c r="EM5" s="169"/>
      <c r="EN5" s="169"/>
      <c r="EO5" s="169"/>
      <c r="EP5" s="169"/>
      <c r="EQ5" s="169"/>
      <c r="ER5" s="169"/>
      <c r="ES5" s="169"/>
      <c r="ET5" s="169"/>
      <c r="EU5" s="169"/>
      <c r="EV5" s="169"/>
      <c r="EW5" s="169"/>
      <c r="EX5" s="169"/>
      <c r="EY5" s="169"/>
      <c r="EZ5" s="169"/>
      <c r="FA5" s="169"/>
      <c r="FB5" s="169"/>
      <c r="FC5" s="169"/>
      <c r="FD5" s="169"/>
      <c r="FE5" s="169"/>
      <c r="FF5" s="169"/>
      <c r="FG5" s="169"/>
      <c r="FH5" s="169"/>
      <c r="FI5" s="169"/>
      <c r="FJ5" s="169"/>
      <c r="FK5" s="169"/>
      <c r="FL5" s="169"/>
      <c r="FM5" s="169"/>
      <c r="FN5" s="169"/>
      <c r="FO5" s="169"/>
      <c r="FP5" s="169"/>
      <c r="FQ5" s="169"/>
      <c r="FR5" s="169"/>
      <c r="FS5" s="169"/>
      <c r="FT5" s="169"/>
      <c r="FU5" s="169"/>
      <c r="FV5" s="169"/>
      <c r="FW5" s="169"/>
      <c r="FX5" s="169"/>
      <c r="FY5" s="169"/>
      <c r="FZ5" s="169"/>
      <c r="GA5" s="169"/>
      <c r="GB5" s="169"/>
      <c r="GC5" s="169"/>
      <c r="GD5" s="169"/>
      <c r="GE5" s="169"/>
      <c r="GF5" s="169"/>
      <c r="GG5" s="169"/>
      <c r="GH5" s="169"/>
      <c r="GI5" s="169"/>
      <c r="GJ5" s="169"/>
      <c r="GK5" s="169"/>
      <c r="GL5" s="169"/>
      <c r="GM5" s="169"/>
      <c r="GN5" s="169"/>
      <c r="GO5" s="169"/>
      <c r="GP5" s="169"/>
      <c r="GQ5" s="169"/>
      <c r="GR5" s="169"/>
      <c r="GS5" s="169"/>
      <c r="GT5" s="169"/>
      <c r="GU5" s="169"/>
      <c r="GV5" s="169"/>
      <c r="GW5" s="169"/>
      <c r="GX5" s="169"/>
      <c r="GY5" s="169"/>
      <c r="GZ5" s="169"/>
      <c r="HA5" s="169"/>
      <c r="HB5" s="169"/>
      <c r="HC5" s="169"/>
      <c r="HD5" s="169"/>
      <c r="HE5" s="169"/>
      <c r="HF5" s="169"/>
      <c r="HG5" s="169"/>
      <c r="HH5" s="169"/>
      <c r="HI5" s="169"/>
      <c r="HJ5" s="169"/>
      <c r="HK5" s="169"/>
      <c r="HL5" s="169"/>
      <c r="HM5" s="169"/>
      <c r="HN5" s="169"/>
      <c r="HO5" s="169"/>
      <c r="HP5" s="169"/>
      <c r="HQ5" s="169"/>
      <c r="HR5" s="169"/>
      <c r="HS5" s="169"/>
      <c r="HT5" s="169"/>
      <c r="HU5" s="169"/>
      <c r="HV5" s="169"/>
      <c r="HW5" s="169"/>
      <c r="HX5" s="169"/>
      <c r="HY5" s="169"/>
      <c r="HZ5" s="169"/>
      <c r="IA5" s="169"/>
      <c r="IB5" s="169"/>
      <c r="IC5" s="169"/>
      <c r="ID5" s="169"/>
      <c r="IE5" s="169"/>
      <c r="IF5" s="169"/>
      <c r="IG5" s="169"/>
      <c r="IH5" s="169"/>
      <c r="II5" s="169"/>
      <c r="IJ5" s="169"/>
      <c r="IK5" s="169"/>
      <c r="IL5" s="169"/>
      <c r="IM5" s="169"/>
      <c r="IN5" s="169"/>
      <c r="IO5" s="169"/>
      <c r="IP5" s="169"/>
      <c r="IQ5" s="169"/>
      <c r="IR5" s="169"/>
    </row>
    <row r="6" spans="1:252" ht="12.75" customHeight="1" x14ac:dyDescent="0.25">
      <c r="A6" s="2298"/>
      <c r="B6" s="2298"/>
      <c r="C6" s="2298"/>
      <c r="D6" s="2298"/>
      <c r="E6" s="2298"/>
      <c r="F6" s="2298"/>
      <c r="G6" s="2298"/>
      <c r="H6" s="2298"/>
      <c r="I6" s="2298"/>
      <c r="J6" s="169"/>
      <c r="K6" s="169"/>
      <c r="L6" s="169"/>
      <c r="M6" s="169"/>
      <c r="N6" s="169"/>
      <c r="O6" s="169"/>
      <c r="P6" s="169"/>
      <c r="Q6" s="169"/>
      <c r="R6" s="169"/>
      <c r="S6" s="169"/>
      <c r="T6" s="169"/>
      <c r="U6" s="169"/>
      <c r="V6" s="169"/>
      <c r="W6" s="169"/>
      <c r="X6" s="169"/>
      <c r="Y6" s="169"/>
      <c r="Z6" s="169"/>
      <c r="AA6" s="169"/>
      <c r="AB6" s="169"/>
      <c r="AC6" s="169"/>
      <c r="AD6" s="169"/>
      <c r="AE6" s="169"/>
      <c r="AF6" s="169"/>
      <c r="AG6" s="169"/>
      <c r="AH6" s="169"/>
      <c r="AI6" s="169"/>
      <c r="AJ6" s="169"/>
      <c r="AK6" s="169"/>
      <c r="AL6" s="169"/>
      <c r="AM6" s="169"/>
      <c r="AN6" s="169"/>
      <c r="AO6" s="169"/>
      <c r="AP6" s="169"/>
      <c r="AQ6" s="169"/>
      <c r="AR6" s="169"/>
      <c r="AS6" s="169"/>
      <c r="AT6" s="169"/>
      <c r="AU6" s="169"/>
      <c r="AV6" s="169"/>
      <c r="AW6" s="169"/>
      <c r="AX6" s="169"/>
      <c r="AY6" s="169"/>
      <c r="AZ6" s="169"/>
      <c r="BA6" s="169"/>
      <c r="BB6" s="169"/>
      <c r="BC6" s="169"/>
      <c r="BD6" s="169"/>
      <c r="BE6" s="169"/>
      <c r="BF6" s="169"/>
      <c r="BG6" s="169"/>
      <c r="BH6" s="169"/>
      <c r="BI6" s="169"/>
      <c r="BJ6" s="169"/>
      <c r="BK6" s="169"/>
      <c r="BL6" s="169"/>
      <c r="BM6" s="169"/>
      <c r="BN6" s="169"/>
      <c r="BO6" s="169"/>
      <c r="BP6" s="169"/>
      <c r="BQ6" s="169"/>
      <c r="BR6" s="169"/>
      <c r="BS6" s="169"/>
      <c r="BT6" s="169"/>
      <c r="BU6" s="169"/>
      <c r="BV6" s="169"/>
      <c r="BW6" s="169"/>
      <c r="BX6" s="169"/>
      <c r="BY6" s="169"/>
      <c r="BZ6" s="169"/>
      <c r="CA6" s="169"/>
      <c r="CB6" s="169"/>
      <c r="CC6" s="169"/>
      <c r="CD6" s="169"/>
      <c r="CE6" s="169"/>
      <c r="CF6" s="169"/>
      <c r="CG6" s="169"/>
      <c r="CH6" s="169"/>
      <c r="CI6" s="169"/>
      <c r="CJ6" s="169"/>
      <c r="CK6" s="169"/>
      <c r="CL6" s="169"/>
      <c r="CM6" s="169"/>
      <c r="CN6" s="169"/>
      <c r="CO6" s="169"/>
      <c r="CP6" s="169"/>
      <c r="CQ6" s="169"/>
      <c r="CR6" s="169"/>
      <c r="CS6" s="169"/>
      <c r="CT6" s="169"/>
      <c r="CU6" s="169"/>
      <c r="CV6" s="169"/>
      <c r="CW6" s="169"/>
      <c r="CX6" s="169"/>
      <c r="CY6" s="169"/>
      <c r="CZ6" s="169"/>
      <c r="DA6" s="169"/>
      <c r="DB6" s="169"/>
      <c r="DC6" s="169"/>
      <c r="DD6" s="169"/>
      <c r="DE6" s="169"/>
      <c r="DF6" s="169"/>
      <c r="DG6" s="169"/>
      <c r="DH6" s="169"/>
      <c r="DI6" s="169"/>
      <c r="DJ6" s="169"/>
      <c r="DK6" s="169"/>
      <c r="DL6" s="169"/>
      <c r="DM6" s="169"/>
      <c r="DN6" s="169"/>
      <c r="DO6" s="169"/>
      <c r="DP6" s="169"/>
      <c r="DQ6" s="169"/>
      <c r="DR6" s="169"/>
      <c r="DS6" s="169"/>
      <c r="DT6" s="169"/>
      <c r="DU6" s="169"/>
      <c r="DV6" s="169"/>
      <c r="DW6" s="169"/>
      <c r="DX6" s="169"/>
      <c r="DY6" s="169"/>
      <c r="DZ6" s="169"/>
      <c r="EA6" s="169"/>
      <c r="EB6" s="169"/>
      <c r="EC6" s="169"/>
      <c r="ED6" s="169"/>
      <c r="EE6" s="169"/>
      <c r="EF6" s="169"/>
      <c r="EG6" s="169"/>
      <c r="EH6" s="169"/>
      <c r="EI6" s="169"/>
      <c r="EJ6" s="169"/>
      <c r="EK6" s="169"/>
      <c r="EL6" s="169"/>
      <c r="EM6" s="169"/>
      <c r="EN6" s="169"/>
      <c r="EO6" s="169"/>
      <c r="EP6" s="169"/>
      <c r="EQ6" s="169"/>
      <c r="ER6" s="169"/>
      <c r="ES6" s="169"/>
      <c r="ET6" s="169"/>
      <c r="EU6" s="169"/>
      <c r="EV6" s="169"/>
      <c r="EW6" s="169"/>
      <c r="EX6" s="169"/>
      <c r="EY6" s="169"/>
      <c r="EZ6" s="169"/>
      <c r="FA6" s="169"/>
      <c r="FB6" s="169"/>
      <c r="FC6" s="169"/>
      <c r="FD6" s="169"/>
      <c r="FE6" s="169"/>
      <c r="FF6" s="169"/>
      <c r="FG6" s="169"/>
      <c r="FH6" s="169"/>
      <c r="FI6" s="169"/>
      <c r="FJ6" s="169"/>
      <c r="FK6" s="169"/>
      <c r="FL6" s="169"/>
      <c r="FM6" s="169"/>
      <c r="FN6" s="169"/>
      <c r="FO6" s="169"/>
      <c r="FP6" s="169"/>
      <c r="FQ6" s="169"/>
      <c r="FR6" s="169"/>
      <c r="FS6" s="169"/>
      <c r="FT6" s="169"/>
      <c r="FU6" s="169"/>
      <c r="FV6" s="169"/>
      <c r="FW6" s="169"/>
      <c r="FX6" s="169"/>
      <c r="FY6" s="169"/>
      <c r="FZ6" s="169"/>
      <c r="GA6" s="169"/>
      <c r="GB6" s="169"/>
      <c r="GC6" s="169"/>
      <c r="GD6" s="169"/>
      <c r="GE6" s="169"/>
      <c r="GF6" s="169"/>
      <c r="GG6" s="169"/>
      <c r="GH6" s="169"/>
      <c r="GI6" s="169"/>
      <c r="GJ6" s="169"/>
      <c r="GK6" s="169"/>
      <c r="GL6" s="169"/>
      <c r="GM6" s="169"/>
      <c r="GN6" s="169"/>
      <c r="GO6" s="169"/>
      <c r="GP6" s="169"/>
      <c r="GQ6" s="169"/>
      <c r="GR6" s="169"/>
      <c r="GS6" s="169"/>
      <c r="GT6" s="169"/>
      <c r="GU6" s="169"/>
      <c r="GV6" s="169"/>
      <c r="GW6" s="169"/>
      <c r="GX6" s="169"/>
      <c r="GY6" s="169"/>
      <c r="GZ6" s="169"/>
      <c r="HA6" s="169"/>
      <c r="HB6" s="169"/>
      <c r="HC6" s="169"/>
      <c r="HD6" s="169"/>
      <c r="HE6" s="169"/>
      <c r="HF6" s="169"/>
      <c r="HG6" s="169"/>
      <c r="HH6" s="169"/>
      <c r="HI6" s="169"/>
      <c r="HJ6" s="169"/>
      <c r="HK6" s="169"/>
      <c r="HL6" s="169"/>
      <c r="HM6" s="169"/>
      <c r="HN6" s="169"/>
      <c r="HO6" s="169"/>
      <c r="HP6" s="169"/>
      <c r="HQ6" s="169"/>
      <c r="HR6" s="169"/>
      <c r="HS6" s="169"/>
      <c r="HT6" s="169"/>
      <c r="HU6" s="169"/>
      <c r="HV6" s="169"/>
      <c r="HW6" s="169"/>
      <c r="HX6" s="169"/>
      <c r="HY6" s="169"/>
      <c r="HZ6" s="169"/>
      <c r="IA6" s="169"/>
      <c r="IB6" s="169"/>
      <c r="IC6" s="169"/>
      <c r="ID6" s="169"/>
      <c r="IE6" s="169"/>
      <c r="IF6" s="169"/>
      <c r="IG6" s="169"/>
      <c r="IH6" s="169"/>
      <c r="II6" s="169"/>
      <c r="IJ6" s="169"/>
      <c r="IK6" s="169"/>
      <c r="IL6" s="169"/>
      <c r="IM6" s="169"/>
      <c r="IN6" s="169"/>
      <c r="IO6" s="169"/>
      <c r="IP6" s="169"/>
      <c r="IQ6" s="169"/>
      <c r="IR6" s="169"/>
    </row>
    <row r="7" spans="1:252" x14ac:dyDescent="0.25">
      <c r="A7" s="172" t="s">
        <v>1481</v>
      </c>
      <c r="B7" s="170"/>
      <c r="C7" s="170"/>
      <c r="D7" s="625" t="str">
        <f>CARAT_!$F$47</f>
        <v>ESPECIFICO Nº SP-2022-012</v>
      </c>
      <c r="E7" s="623"/>
      <c r="F7" s="173"/>
      <c r="G7" s="479"/>
      <c r="H7" s="479"/>
      <c r="I7" s="480"/>
      <c r="J7" s="169"/>
      <c r="K7" s="169"/>
      <c r="L7" s="169"/>
      <c r="M7" s="169"/>
      <c r="N7" s="169"/>
      <c r="O7" s="169"/>
      <c r="P7" s="169"/>
      <c r="Q7" s="169"/>
      <c r="R7" s="169"/>
      <c r="S7" s="169"/>
      <c r="T7" s="169"/>
      <c r="U7" s="169"/>
      <c r="V7" s="169"/>
      <c r="W7" s="169"/>
      <c r="X7" s="169"/>
      <c r="Y7" s="169"/>
      <c r="Z7" s="169"/>
      <c r="AA7" s="169"/>
      <c r="AB7" s="169"/>
      <c r="AC7" s="169"/>
      <c r="AD7" s="169"/>
      <c r="AE7" s="169"/>
      <c r="AF7" s="169"/>
      <c r="AG7" s="169"/>
      <c r="AH7" s="169"/>
      <c r="AI7" s="169"/>
      <c r="AJ7" s="169"/>
      <c r="AK7" s="169"/>
      <c r="AL7" s="169"/>
      <c r="AM7" s="169"/>
      <c r="AN7" s="169"/>
      <c r="AO7" s="169"/>
      <c r="AP7" s="169"/>
      <c r="AQ7" s="169"/>
      <c r="AR7" s="169"/>
      <c r="AS7" s="169"/>
      <c r="AT7" s="169"/>
      <c r="AU7" s="169"/>
      <c r="AV7" s="169"/>
      <c r="AW7" s="169"/>
      <c r="AX7" s="169"/>
      <c r="AY7" s="169"/>
      <c r="AZ7" s="169"/>
      <c r="BA7" s="169"/>
      <c r="BB7" s="169"/>
      <c r="BC7" s="169"/>
      <c r="BD7" s="169"/>
      <c r="BE7" s="169"/>
      <c r="BF7" s="169"/>
      <c r="BG7" s="169"/>
      <c r="BH7" s="169"/>
      <c r="BI7" s="169"/>
      <c r="BJ7" s="169"/>
      <c r="BK7" s="169"/>
      <c r="BL7" s="169"/>
      <c r="BM7" s="169"/>
      <c r="BN7" s="169"/>
      <c r="BO7" s="169"/>
      <c r="BP7" s="169"/>
      <c r="BQ7" s="169"/>
      <c r="BR7" s="169"/>
      <c r="BS7" s="169"/>
      <c r="BT7" s="169"/>
      <c r="BU7" s="169"/>
      <c r="BV7" s="169"/>
      <c r="BW7" s="169"/>
      <c r="BX7" s="169"/>
      <c r="BY7" s="169"/>
      <c r="BZ7" s="169"/>
      <c r="CA7" s="169"/>
      <c r="CB7" s="169"/>
      <c r="CC7" s="169"/>
      <c r="CD7" s="169"/>
      <c r="CE7" s="169"/>
      <c r="CF7" s="169"/>
      <c r="CG7" s="169"/>
      <c r="CH7" s="169"/>
      <c r="CI7" s="169"/>
      <c r="CJ7" s="169"/>
      <c r="CK7" s="169"/>
      <c r="CL7" s="169"/>
      <c r="CM7" s="169"/>
      <c r="CN7" s="169"/>
      <c r="CO7" s="169"/>
      <c r="CP7" s="169"/>
      <c r="CQ7" s="169"/>
      <c r="CR7" s="169"/>
      <c r="CS7" s="169"/>
      <c r="CT7" s="169"/>
      <c r="CU7" s="169"/>
      <c r="CV7" s="169"/>
      <c r="CW7" s="169"/>
      <c r="CX7" s="169"/>
      <c r="CY7" s="169"/>
      <c r="CZ7" s="169"/>
      <c r="DA7" s="169"/>
      <c r="DB7" s="169"/>
      <c r="DC7" s="169"/>
      <c r="DD7" s="169"/>
      <c r="DE7" s="169"/>
      <c r="DF7" s="169"/>
      <c r="DG7" s="169"/>
      <c r="DH7" s="169"/>
      <c r="DI7" s="169"/>
      <c r="DJ7" s="169"/>
      <c r="DK7" s="169"/>
      <c r="DL7" s="169"/>
      <c r="DM7" s="169"/>
      <c r="DN7" s="169"/>
      <c r="DO7" s="169"/>
      <c r="DP7" s="169"/>
      <c r="DQ7" s="169"/>
      <c r="DR7" s="169"/>
      <c r="DS7" s="169"/>
      <c r="DT7" s="169"/>
      <c r="DU7" s="169"/>
      <c r="DV7" s="169"/>
      <c r="DW7" s="169"/>
      <c r="DX7" s="169"/>
      <c r="DY7" s="169"/>
      <c r="DZ7" s="169"/>
      <c r="EA7" s="169"/>
      <c r="EB7" s="169"/>
      <c r="EC7" s="169"/>
      <c r="ED7" s="169"/>
      <c r="EE7" s="169"/>
      <c r="EF7" s="169"/>
      <c r="EG7" s="169"/>
      <c r="EH7" s="169"/>
      <c r="EI7" s="169"/>
      <c r="EJ7" s="169"/>
      <c r="EK7" s="169"/>
      <c r="EL7" s="169"/>
      <c r="EM7" s="169"/>
      <c r="EN7" s="169"/>
      <c r="EO7" s="169"/>
      <c r="EP7" s="169"/>
      <c r="EQ7" s="169"/>
      <c r="ER7" s="169"/>
      <c r="ES7" s="169"/>
      <c r="ET7" s="169"/>
      <c r="EU7" s="169"/>
      <c r="EV7" s="169"/>
      <c r="EW7" s="169"/>
      <c r="EX7" s="169"/>
      <c r="EY7" s="169"/>
      <c r="EZ7" s="169"/>
      <c r="FA7" s="169"/>
      <c r="FB7" s="169"/>
      <c r="FC7" s="169"/>
      <c r="FD7" s="169"/>
      <c r="FE7" s="169"/>
      <c r="FF7" s="169"/>
      <c r="FG7" s="169"/>
      <c r="FH7" s="169"/>
      <c r="FI7" s="169"/>
      <c r="FJ7" s="169"/>
      <c r="FK7" s="169"/>
      <c r="FL7" s="169"/>
      <c r="FM7" s="169"/>
      <c r="FN7" s="169"/>
      <c r="FO7" s="169"/>
      <c r="FP7" s="169"/>
      <c r="FQ7" s="169"/>
      <c r="FR7" s="169"/>
      <c r="FS7" s="169"/>
      <c r="FT7" s="169"/>
      <c r="FU7" s="169"/>
      <c r="FV7" s="169"/>
      <c r="FW7" s="169"/>
      <c r="FX7" s="169"/>
      <c r="FY7" s="169"/>
      <c r="FZ7" s="169"/>
      <c r="GA7" s="169"/>
      <c r="GB7" s="169"/>
      <c r="GC7" s="169"/>
      <c r="GD7" s="169"/>
      <c r="GE7" s="169"/>
      <c r="GF7" s="169"/>
      <c r="GG7" s="169"/>
      <c r="GH7" s="169"/>
      <c r="GI7" s="169"/>
      <c r="GJ7" s="169"/>
      <c r="GK7" s="169"/>
      <c r="GL7" s="169"/>
      <c r="GM7" s="169"/>
      <c r="GN7" s="169"/>
      <c r="GO7" s="169"/>
      <c r="GP7" s="169"/>
      <c r="GQ7" s="169"/>
      <c r="GR7" s="169"/>
      <c r="GS7" s="169"/>
      <c r="GT7" s="169"/>
      <c r="GU7" s="169"/>
      <c r="GV7" s="169"/>
      <c r="GW7" s="169"/>
      <c r="GX7" s="169"/>
      <c r="GY7" s="169"/>
      <c r="GZ7" s="169"/>
      <c r="HA7" s="169"/>
      <c r="HB7" s="169"/>
      <c r="HC7" s="169"/>
      <c r="HD7" s="169"/>
      <c r="HE7" s="169"/>
      <c r="HF7" s="169"/>
      <c r="HG7" s="169"/>
      <c r="HH7" s="169"/>
      <c r="HI7" s="169"/>
      <c r="HJ7" s="169"/>
      <c r="HK7" s="169"/>
      <c r="HL7" s="169"/>
      <c r="HM7" s="169"/>
      <c r="HN7" s="169"/>
      <c r="HO7" s="169"/>
      <c r="HP7" s="169"/>
      <c r="HQ7" s="169"/>
      <c r="HR7" s="169"/>
      <c r="HS7" s="169"/>
      <c r="HT7" s="169"/>
      <c r="HU7" s="169"/>
      <c r="HV7" s="169"/>
      <c r="HW7" s="169"/>
      <c r="HX7" s="169"/>
      <c r="HY7" s="169"/>
      <c r="HZ7" s="169"/>
      <c r="IA7" s="169"/>
      <c r="IB7" s="169"/>
      <c r="IC7" s="169"/>
      <c r="ID7" s="169"/>
      <c r="IE7" s="169"/>
      <c r="IF7" s="169"/>
      <c r="IG7" s="169"/>
      <c r="IH7" s="169"/>
      <c r="II7" s="169"/>
      <c r="IJ7" s="169"/>
      <c r="IK7" s="169"/>
      <c r="IL7" s="169"/>
      <c r="IM7" s="169"/>
      <c r="IN7" s="169"/>
      <c r="IO7" s="169"/>
      <c r="IP7" s="169"/>
      <c r="IQ7" s="169"/>
      <c r="IR7" s="169"/>
    </row>
    <row r="8" spans="1:252" x14ac:dyDescent="0.25">
      <c r="A8" s="172" t="s">
        <v>1480</v>
      </c>
      <c r="B8" s="170"/>
      <c r="C8" s="170"/>
      <c r="D8" s="2277" t="str">
        <f>CARAT_!F48</f>
        <v>“CREACION DEL PUENTE VEHICULAR CCANCHIS SOBRE EL RIO PAMPAS, DISTRITO DE CHUNGUI - PROVINCIA LA MAR - DEPARTAMENTO AYACUCHO”.</v>
      </c>
      <c r="E8" s="2277"/>
      <c r="F8" s="2277"/>
      <c r="G8" s="2277"/>
      <c r="H8" s="2277"/>
      <c r="I8" s="2277"/>
      <c r="J8" s="169"/>
      <c r="K8" s="169"/>
      <c r="L8" s="169"/>
      <c r="M8" s="169"/>
      <c r="N8" s="169"/>
      <c r="O8" s="169"/>
      <c r="P8" s="169"/>
      <c r="Q8" s="169"/>
      <c r="R8" s="169"/>
      <c r="S8" s="169"/>
      <c r="T8" s="169"/>
      <c r="U8" s="169"/>
      <c r="V8" s="169"/>
      <c r="W8" s="169"/>
      <c r="X8" s="169"/>
      <c r="Y8" s="169"/>
      <c r="Z8" s="169"/>
      <c r="AA8" s="169"/>
      <c r="AB8" s="169"/>
      <c r="AC8" s="169"/>
      <c r="AD8" s="169"/>
      <c r="AE8" s="169"/>
      <c r="AF8" s="169"/>
      <c r="AG8" s="169"/>
      <c r="AH8" s="169"/>
      <c r="AI8" s="169"/>
      <c r="AJ8" s="169"/>
      <c r="AK8" s="169"/>
      <c r="AL8" s="169"/>
      <c r="AM8" s="169"/>
      <c r="AN8" s="169"/>
      <c r="AO8" s="169"/>
      <c r="AP8" s="169"/>
      <c r="AQ8" s="169"/>
      <c r="AR8" s="169"/>
      <c r="AS8" s="169"/>
      <c r="AT8" s="169"/>
      <c r="AU8" s="169"/>
      <c r="AV8" s="169"/>
      <c r="AW8" s="169"/>
      <c r="AX8" s="169"/>
      <c r="AY8" s="169"/>
      <c r="AZ8" s="169"/>
      <c r="BA8" s="169"/>
      <c r="BB8" s="169"/>
      <c r="BC8" s="169"/>
      <c r="BD8" s="169"/>
      <c r="BE8" s="169"/>
      <c r="BF8" s="169"/>
      <c r="BG8" s="169"/>
      <c r="BH8" s="169"/>
      <c r="BI8" s="169"/>
      <c r="BJ8" s="169"/>
      <c r="BK8" s="169"/>
      <c r="BL8" s="169"/>
      <c r="BM8" s="169"/>
      <c r="BN8" s="169"/>
      <c r="BO8" s="169"/>
      <c r="BP8" s="169"/>
      <c r="BQ8" s="169"/>
      <c r="BR8" s="169"/>
      <c r="BS8" s="169"/>
      <c r="BT8" s="169"/>
      <c r="BU8" s="169"/>
      <c r="BV8" s="169"/>
      <c r="BW8" s="169"/>
      <c r="BX8" s="169"/>
      <c r="BY8" s="169"/>
      <c r="BZ8" s="169"/>
      <c r="CA8" s="169"/>
      <c r="CB8" s="169"/>
      <c r="CC8" s="169"/>
      <c r="CD8" s="169"/>
      <c r="CE8" s="169"/>
      <c r="CF8" s="169"/>
      <c r="CG8" s="169"/>
      <c r="CH8" s="169"/>
      <c r="CI8" s="169"/>
      <c r="CJ8" s="169"/>
      <c r="CK8" s="169"/>
      <c r="CL8" s="169"/>
      <c r="CM8" s="169"/>
      <c r="CN8" s="169"/>
      <c r="CO8" s="169"/>
      <c r="CP8" s="169"/>
      <c r="CQ8" s="169"/>
      <c r="CR8" s="169"/>
      <c r="CS8" s="169"/>
      <c r="CT8" s="169"/>
      <c r="CU8" s="169"/>
      <c r="CV8" s="169"/>
      <c r="CW8" s="169"/>
      <c r="CX8" s="169"/>
      <c r="CY8" s="169"/>
      <c r="CZ8" s="169"/>
      <c r="DA8" s="169"/>
      <c r="DB8" s="169"/>
      <c r="DC8" s="169"/>
      <c r="DD8" s="169"/>
      <c r="DE8" s="169"/>
      <c r="DF8" s="169"/>
      <c r="DG8" s="169"/>
      <c r="DH8" s="169"/>
      <c r="DI8" s="169"/>
      <c r="DJ8" s="169"/>
      <c r="DK8" s="169"/>
      <c r="DL8" s="169"/>
      <c r="DM8" s="169"/>
      <c r="DN8" s="169"/>
      <c r="DO8" s="169"/>
      <c r="DP8" s="169"/>
      <c r="DQ8" s="169"/>
      <c r="DR8" s="169"/>
      <c r="DS8" s="169"/>
      <c r="DT8" s="169"/>
      <c r="DU8" s="169"/>
      <c r="DV8" s="169"/>
      <c r="DW8" s="169"/>
      <c r="DX8" s="169"/>
      <c r="DY8" s="169"/>
      <c r="DZ8" s="169"/>
      <c r="EA8" s="169"/>
      <c r="EB8" s="169"/>
      <c r="EC8" s="169"/>
      <c r="ED8" s="169"/>
      <c r="EE8" s="169"/>
      <c r="EF8" s="169"/>
      <c r="EG8" s="169"/>
      <c r="EH8" s="169"/>
      <c r="EI8" s="169"/>
      <c r="EJ8" s="169"/>
      <c r="EK8" s="169"/>
      <c r="EL8" s="169"/>
      <c r="EM8" s="169"/>
      <c r="EN8" s="169"/>
      <c r="EO8" s="169"/>
      <c r="EP8" s="169"/>
      <c r="EQ8" s="169"/>
      <c r="ER8" s="169"/>
      <c r="ES8" s="169"/>
      <c r="ET8" s="169"/>
      <c r="EU8" s="169"/>
      <c r="EV8" s="169"/>
      <c r="EW8" s="169"/>
      <c r="EX8" s="169"/>
      <c r="EY8" s="169"/>
      <c r="EZ8" s="169"/>
      <c r="FA8" s="169"/>
      <c r="FB8" s="169"/>
      <c r="FC8" s="169"/>
      <c r="FD8" s="169"/>
      <c r="FE8" s="169"/>
      <c r="FF8" s="169"/>
      <c r="FG8" s="169"/>
      <c r="FH8" s="169"/>
      <c r="FI8" s="169"/>
      <c r="FJ8" s="169"/>
      <c r="FK8" s="169"/>
      <c r="FL8" s="169"/>
      <c r="FM8" s="169"/>
      <c r="FN8" s="169"/>
      <c r="FO8" s="169"/>
      <c r="FP8" s="169"/>
      <c r="FQ8" s="169"/>
      <c r="FR8" s="169"/>
      <c r="FS8" s="169"/>
      <c r="FT8" s="169"/>
      <c r="FU8" s="169"/>
      <c r="FV8" s="169"/>
      <c r="FW8" s="169"/>
      <c r="FX8" s="169"/>
      <c r="FY8" s="169"/>
      <c r="FZ8" s="169"/>
      <c r="GA8" s="169"/>
      <c r="GB8" s="169"/>
      <c r="GC8" s="169"/>
      <c r="GD8" s="169"/>
      <c r="GE8" s="169"/>
      <c r="GF8" s="169"/>
      <c r="GG8" s="169"/>
      <c r="GH8" s="169"/>
      <c r="GI8" s="169"/>
      <c r="GJ8" s="169"/>
      <c r="GK8" s="169"/>
      <c r="GL8" s="169"/>
      <c r="GM8" s="169"/>
      <c r="GN8" s="169"/>
      <c r="GO8" s="169"/>
      <c r="GP8" s="169"/>
      <c r="GQ8" s="169"/>
      <c r="GR8" s="169"/>
      <c r="GS8" s="169"/>
      <c r="GT8" s="169"/>
      <c r="GU8" s="169"/>
      <c r="GV8" s="169"/>
      <c r="GW8" s="169"/>
      <c r="GX8" s="169"/>
      <c r="GY8" s="169"/>
      <c r="GZ8" s="169"/>
      <c r="HA8" s="169"/>
      <c r="HB8" s="169"/>
      <c r="HC8" s="169"/>
      <c r="HD8" s="169"/>
      <c r="HE8" s="169"/>
      <c r="HF8" s="169"/>
      <c r="HG8" s="169"/>
      <c r="HH8" s="169"/>
      <c r="HI8" s="169"/>
      <c r="HJ8" s="169"/>
      <c r="HK8" s="169"/>
      <c r="HL8" s="169"/>
      <c r="HM8" s="169"/>
      <c r="HN8" s="169"/>
      <c r="HO8" s="169"/>
      <c r="HP8" s="169"/>
      <c r="HQ8" s="169"/>
      <c r="HR8" s="169"/>
      <c r="HS8" s="169"/>
      <c r="HT8" s="169"/>
      <c r="HU8" s="169"/>
      <c r="HV8" s="169"/>
      <c r="HW8" s="169"/>
      <c r="HX8" s="169"/>
      <c r="HY8" s="169"/>
      <c r="HZ8" s="169"/>
      <c r="IA8" s="169"/>
      <c r="IB8" s="169"/>
      <c r="IC8" s="169"/>
      <c r="ID8" s="169"/>
      <c r="IE8" s="169"/>
      <c r="IF8" s="169"/>
      <c r="IG8" s="169"/>
      <c r="IH8" s="169"/>
      <c r="II8" s="169"/>
      <c r="IJ8" s="169"/>
      <c r="IK8" s="169"/>
      <c r="IL8" s="169"/>
      <c r="IM8" s="169"/>
      <c r="IN8" s="169"/>
      <c r="IO8" s="169"/>
      <c r="IP8" s="169"/>
      <c r="IQ8" s="169"/>
      <c r="IR8" s="169"/>
    </row>
    <row r="9" spans="1:252" x14ac:dyDescent="0.25">
      <c r="A9" s="172"/>
      <c r="B9" s="170"/>
      <c r="C9" s="170"/>
      <c r="D9" s="2277"/>
      <c r="E9" s="2277"/>
      <c r="F9" s="2277"/>
      <c r="G9" s="2277"/>
      <c r="H9" s="2277"/>
      <c r="I9" s="2277"/>
      <c r="J9" s="169"/>
      <c r="K9" s="169"/>
      <c r="L9" s="169"/>
      <c r="M9" s="169"/>
      <c r="N9" s="169"/>
      <c r="O9" s="169"/>
      <c r="P9" s="169"/>
      <c r="Q9" s="169"/>
      <c r="R9" s="169"/>
      <c r="S9" s="169"/>
      <c r="T9" s="169"/>
      <c r="U9" s="169"/>
      <c r="V9" s="169"/>
      <c r="W9" s="169"/>
      <c r="X9" s="169"/>
      <c r="Y9" s="169"/>
      <c r="Z9" s="169"/>
      <c r="AA9" s="169"/>
      <c r="AB9" s="169"/>
      <c r="AC9" s="169"/>
      <c r="AD9" s="169"/>
      <c r="AE9" s="169"/>
      <c r="AF9" s="169"/>
      <c r="AG9" s="169"/>
      <c r="AH9" s="169"/>
      <c r="AI9" s="169"/>
      <c r="AJ9" s="169"/>
      <c r="AK9" s="169"/>
      <c r="AL9" s="169"/>
      <c r="AM9" s="169"/>
      <c r="AN9" s="169"/>
      <c r="AO9" s="169"/>
      <c r="AP9" s="169"/>
      <c r="AQ9" s="169"/>
      <c r="AR9" s="169"/>
      <c r="AS9" s="169"/>
      <c r="AT9" s="169"/>
      <c r="AU9" s="169"/>
      <c r="AV9" s="169"/>
      <c r="AW9" s="169"/>
      <c r="AX9" s="169"/>
      <c r="AY9" s="169"/>
      <c r="AZ9" s="169"/>
      <c r="BA9" s="169"/>
      <c r="BB9" s="169"/>
      <c r="BC9" s="169"/>
      <c r="BD9" s="169"/>
      <c r="BE9" s="169"/>
      <c r="BF9" s="169"/>
      <c r="BG9" s="169"/>
      <c r="BH9" s="169"/>
      <c r="BI9" s="169"/>
      <c r="BJ9" s="169"/>
      <c r="BK9" s="169"/>
      <c r="BL9" s="169"/>
      <c r="BM9" s="169"/>
      <c r="BN9" s="169"/>
      <c r="BO9" s="169"/>
      <c r="BP9" s="169"/>
      <c r="BQ9" s="169"/>
      <c r="BR9" s="169"/>
      <c r="BS9" s="169"/>
      <c r="BT9" s="169"/>
      <c r="BU9" s="169"/>
      <c r="BV9" s="169"/>
      <c r="BW9" s="169"/>
      <c r="BX9" s="169"/>
      <c r="BY9" s="169"/>
      <c r="BZ9" s="169"/>
      <c r="CA9" s="169"/>
      <c r="CB9" s="169"/>
      <c r="CC9" s="169"/>
      <c r="CD9" s="169"/>
      <c r="CE9" s="169"/>
      <c r="CF9" s="169"/>
      <c r="CG9" s="169"/>
      <c r="CH9" s="169"/>
      <c r="CI9" s="169"/>
      <c r="CJ9" s="169"/>
      <c r="CK9" s="169"/>
      <c r="CL9" s="169"/>
      <c r="CM9" s="169"/>
      <c r="CN9" s="169"/>
      <c r="CO9" s="169"/>
      <c r="CP9" s="169"/>
      <c r="CQ9" s="169"/>
      <c r="CR9" s="169"/>
      <c r="CS9" s="169"/>
      <c r="CT9" s="169"/>
      <c r="CU9" s="169"/>
      <c r="CV9" s="169"/>
      <c r="CW9" s="169"/>
      <c r="CX9" s="169"/>
      <c r="CY9" s="169"/>
      <c r="CZ9" s="169"/>
      <c r="DA9" s="169"/>
      <c r="DB9" s="169"/>
      <c r="DC9" s="169"/>
      <c r="DD9" s="169"/>
      <c r="DE9" s="169"/>
      <c r="DF9" s="169"/>
      <c r="DG9" s="169"/>
      <c r="DH9" s="169"/>
      <c r="DI9" s="169"/>
      <c r="DJ9" s="169"/>
      <c r="DK9" s="169"/>
      <c r="DL9" s="169"/>
      <c r="DM9" s="169"/>
      <c r="DN9" s="169"/>
      <c r="DO9" s="169"/>
      <c r="DP9" s="169"/>
      <c r="DQ9" s="169"/>
      <c r="DR9" s="169"/>
      <c r="DS9" s="169"/>
      <c r="DT9" s="169"/>
      <c r="DU9" s="169"/>
      <c r="DV9" s="169"/>
      <c r="DW9" s="169"/>
      <c r="DX9" s="169"/>
      <c r="DY9" s="169"/>
      <c r="DZ9" s="169"/>
      <c r="EA9" s="169"/>
      <c r="EB9" s="169"/>
      <c r="EC9" s="169"/>
      <c r="ED9" s="169"/>
      <c r="EE9" s="169"/>
      <c r="EF9" s="169"/>
      <c r="EG9" s="169"/>
      <c r="EH9" s="169"/>
      <c r="EI9" s="169"/>
      <c r="EJ9" s="169"/>
      <c r="EK9" s="169"/>
      <c r="EL9" s="169"/>
      <c r="EM9" s="169"/>
      <c r="EN9" s="169"/>
      <c r="EO9" s="169"/>
      <c r="EP9" s="169"/>
      <c r="EQ9" s="169"/>
      <c r="ER9" s="169"/>
      <c r="ES9" s="169"/>
      <c r="ET9" s="169"/>
      <c r="EU9" s="169"/>
      <c r="EV9" s="169"/>
      <c r="EW9" s="169"/>
      <c r="EX9" s="169"/>
      <c r="EY9" s="169"/>
      <c r="EZ9" s="169"/>
      <c r="FA9" s="169"/>
      <c r="FB9" s="169"/>
      <c r="FC9" s="169"/>
      <c r="FD9" s="169"/>
      <c r="FE9" s="169"/>
      <c r="FF9" s="169"/>
      <c r="FG9" s="169"/>
      <c r="FH9" s="169"/>
      <c r="FI9" s="169"/>
      <c r="FJ9" s="169"/>
      <c r="FK9" s="169"/>
      <c r="FL9" s="169"/>
      <c r="FM9" s="169"/>
      <c r="FN9" s="169"/>
      <c r="FO9" s="169"/>
      <c r="FP9" s="169"/>
      <c r="FQ9" s="169"/>
      <c r="FR9" s="169"/>
      <c r="FS9" s="169"/>
      <c r="FT9" s="169"/>
      <c r="FU9" s="169"/>
      <c r="FV9" s="169"/>
      <c r="FW9" s="169"/>
      <c r="FX9" s="169"/>
      <c r="FY9" s="169"/>
      <c r="FZ9" s="169"/>
      <c r="GA9" s="169"/>
      <c r="GB9" s="169"/>
      <c r="GC9" s="169"/>
      <c r="GD9" s="169"/>
      <c r="GE9" s="169"/>
      <c r="GF9" s="169"/>
      <c r="GG9" s="169"/>
      <c r="GH9" s="169"/>
      <c r="GI9" s="169"/>
      <c r="GJ9" s="169"/>
      <c r="GK9" s="169"/>
      <c r="GL9" s="169"/>
      <c r="GM9" s="169"/>
      <c r="GN9" s="169"/>
      <c r="GO9" s="169"/>
      <c r="GP9" s="169"/>
      <c r="GQ9" s="169"/>
      <c r="GR9" s="169"/>
      <c r="GS9" s="169"/>
      <c r="GT9" s="169"/>
      <c r="GU9" s="169"/>
      <c r="GV9" s="169"/>
      <c r="GW9" s="169"/>
      <c r="GX9" s="169"/>
      <c r="GY9" s="169"/>
      <c r="GZ9" s="169"/>
      <c r="HA9" s="169"/>
      <c r="HB9" s="169"/>
      <c r="HC9" s="169"/>
      <c r="HD9" s="169"/>
      <c r="HE9" s="169"/>
      <c r="HF9" s="169"/>
      <c r="HG9" s="169"/>
      <c r="HH9" s="169"/>
      <c r="HI9" s="169"/>
      <c r="HJ9" s="169"/>
      <c r="HK9" s="169"/>
      <c r="HL9" s="169"/>
      <c r="HM9" s="169"/>
      <c r="HN9" s="169"/>
      <c r="HO9" s="169"/>
      <c r="HP9" s="169"/>
      <c r="HQ9" s="169"/>
      <c r="HR9" s="169"/>
      <c r="HS9" s="169"/>
      <c r="HT9" s="169"/>
      <c r="HU9" s="169"/>
      <c r="HV9" s="169"/>
      <c r="HW9" s="169"/>
      <c r="HX9" s="169"/>
      <c r="HY9" s="169"/>
      <c r="HZ9" s="169"/>
      <c r="IA9" s="169"/>
      <c r="IB9" s="169"/>
      <c r="IC9" s="169"/>
      <c r="ID9" s="169"/>
      <c r="IE9" s="169"/>
      <c r="IF9" s="169"/>
      <c r="IG9" s="169"/>
      <c r="IH9" s="169"/>
      <c r="II9" s="169"/>
      <c r="IJ9" s="169"/>
      <c r="IK9" s="169"/>
      <c r="IL9" s="169"/>
      <c r="IM9" s="169"/>
      <c r="IN9" s="169"/>
      <c r="IO9" s="169"/>
      <c r="IP9" s="169"/>
      <c r="IQ9" s="169"/>
      <c r="IR9" s="169"/>
    </row>
    <row r="10" spans="1:252" x14ac:dyDescent="0.25">
      <c r="A10" s="170" t="s">
        <v>1484</v>
      </c>
      <c r="B10" s="170"/>
      <c r="C10" s="170"/>
      <c r="D10" s="1216" t="str">
        <f>CARAT_!$F$52</f>
        <v>SIMA PERU S.A.</v>
      </c>
      <c r="E10" s="1216"/>
      <c r="F10" s="173"/>
      <c r="G10" s="173"/>
      <c r="H10" s="173"/>
      <c r="I10" s="173"/>
      <c r="J10" s="169"/>
      <c r="K10" s="169"/>
      <c r="L10" s="169"/>
      <c r="M10" s="169"/>
      <c r="N10" s="169"/>
      <c r="O10" s="169"/>
      <c r="P10" s="169"/>
      <c r="Q10" s="169"/>
      <c r="R10" s="169"/>
      <c r="S10" s="169"/>
      <c r="T10" s="169"/>
      <c r="U10" s="169"/>
      <c r="V10" s="169"/>
      <c r="W10" s="169"/>
      <c r="X10" s="169"/>
      <c r="Y10" s="169"/>
      <c r="Z10" s="169"/>
      <c r="AA10" s="169"/>
      <c r="AB10" s="169"/>
      <c r="AC10" s="169"/>
      <c r="AD10" s="169"/>
      <c r="AE10" s="169"/>
      <c r="AF10" s="169"/>
      <c r="AG10" s="169"/>
      <c r="AH10" s="169"/>
      <c r="AI10" s="169"/>
      <c r="AJ10" s="169"/>
      <c r="AK10" s="169"/>
      <c r="AL10" s="169"/>
      <c r="AM10" s="169"/>
      <c r="AN10" s="169"/>
      <c r="AO10" s="169"/>
      <c r="AP10" s="169"/>
      <c r="AQ10" s="169"/>
      <c r="AR10" s="169"/>
      <c r="AS10" s="169"/>
      <c r="AT10" s="169"/>
      <c r="AU10" s="169"/>
      <c r="AV10" s="169"/>
      <c r="AW10" s="169"/>
      <c r="AX10" s="169"/>
      <c r="AY10" s="169"/>
      <c r="AZ10" s="169"/>
      <c r="BA10" s="169"/>
      <c r="BB10" s="169"/>
      <c r="BC10" s="169"/>
      <c r="BD10" s="169"/>
      <c r="BE10" s="169"/>
      <c r="BF10" s="169"/>
      <c r="BG10" s="169"/>
      <c r="BH10" s="169"/>
      <c r="BI10" s="169"/>
      <c r="BJ10" s="169"/>
      <c r="BK10" s="169"/>
      <c r="BL10" s="169"/>
      <c r="BM10" s="169"/>
      <c r="BN10" s="169"/>
      <c r="BO10" s="169"/>
      <c r="BP10" s="169"/>
      <c r="BQ10" s="169"/>
      <c r="BR10" s="169"/>
      <c r="BS10" s="169"/>
      <c r="BT10" s="169"/>
      <c r="BU10" s="169"/>
      <c r="BV10" s="169"/>
      <c r="BW10" s="169"/>
      <c r="BX10" s="169"/>
      <c r="BY10" s="169"/>
      <c r="BZ10" s="169"/>
      <c r="CA10" s="169"/>
      <c r="CB10" s="169"/>
      <c r="CC10" s="169"/>
      <c r="CD10" s="169"/>
      <c r="CE10" s="169"/>
      <c r="CF10" s="169"/>
      <c r="CG10" s="169"/>
      <c r="CH10" s="169"/>
      <c r="CI10" s="169"/>
      <c r="CJ10" s="169"/>
      <c r="CK10" s="169"/>
      <c r="CL10" s="169"/>
      <c r="CM10" s="169"/>
      <c r="CN10" s="169"/>
      <c r="CO10" s="169"/>
      <c r="CP10" s="169"/>
      <c r="CQ10" s="169"/>
      <c r="CR10" s="169"/>
      <c r="CS10" s="169"/>
      <c r="CT10" s="169"/>
      <c r="CU10" s="169"/>
      <c r="CV10" s="169"/>
      <c r="CW10" s="169"/>
      <c r="CX10" s="169"/>
      <c r="CY10" s="169"/>
      <c r="CZ10" s="169"/>
      <c r="DA10" s="169"/>
      <c r="DB10" s="169"/>
      <c r="DC10" s="169"/>
      <c r="DD10" s="169"/>
      <c r="DE10" s="169"/>
      <c r="DF10" s="169"/>
      <c r="DG10" s="169"/>
      <c r="DH10" s="169"/>
      <c r="DI10" s="169"/>
      <c r="DJ10" s="169"/>
      <c r="DK10" s="169"/>
      <c r="DL10" s="169"/>
      <c r="DM10" s="169"/>
      <c r="DN10" s="169"/>
      <c r="DO10" s="169"/>
      <c r="DP10" s="169"/>
      <c r="DQ10" s="169"/>
      <c r="DR10" s="169"/>
      <c r="DS10" s="169"/>
      <c r="DT10" s="169"/>
      <c r="DU10" s="169"/>
      <c r="DV10" s="169"/>
      <c r="DW10" s="169"/>
      <c r="DX10" s="169"/>
      <c r="DY10" s="169"/>
      <c r="DZ10" s="169"/>
      <c r="EA10" s="169"/>
      <c r="EB10" s="169"/>
      <c r="EC10" s="169"/>
      <c r="ED10" s="169"/>
      <c r="EE10" s="169"/>
      <c r="EF10" s="169"/>
      <c r="EG10" s="169"/>
      <c r="EH10" s="169"/>
      <c r="EI10" s="169"/>
      <c r="EJ10" s="169"/>
      <c r="EK10" s="169"/>
      <c r="EL10" s="169"/>
      <c r="EM10" s="169"/>
      <c r="EN10" s="169"/>
      <c r="EO10" s="169"/>
      <c r="EP10" s="169"/>
      <c r="EQ10" s="169"/>
      <c r="ER10" s="169"/>
      <c r="ES10" s="169"/>
      <c r="ET10" s="169"/>
      <c r="EU10" s="169"/>
      <c r="EV10" s="169"/>
      <c r="EW10" s="169"/>
      <c r="EX10" s="169"/>
      <c r="EY10" s="169"/>
      <c r="EZ10" s="169"/>
      <c r="FA10" s="169"/>
      <c r="FB10" s="169"/>
      <c r="FC10" s="169"/>
      <c r="FD10" s="169"/>
      <c r="FE10" s="169"/>
      <c r="FF10" s="169"/>
      <c r="FG10" s="169"/>
      <c r="FH10" s="169"/>
      <c r="FI10" s="169"/>
      <c r="FJ10" s="169"/>
      <c r="FK10" s="169"/>
      <c r="FL10" s="169"/>
      <c r="FM10" s="169"/>
      <c r="FN10" s="169"/>
      <c r="FO10" s="169"/>
      <c r="FP10" s="169"/>
      <c r="FQ10" s="169"/>
      <c r="FR10" s="169"/>
      <c r="FS10" s="169"/>
      <c r="FT10" s="169"/>
      <c r="FU10" s="169"/>
      <c r="FV10" s="169"/>
      <c r="FW10" s="169"/>
      <c r="FX10" s="169"/>
      <c r="FY10" s="169"/>
      <c r="FZ10" s="169"/>
      <c r="GA10" s="169"/>
      <c r="GB10" s="169"/>
      <c r="GC10" s="169"/>
      <c r="GD10" s="169"/>
      <c r="GE10" s="169"/>
      <c r="GF10" s="169"/>
      <c r="GG10" s="169"/>
      <c r="GH10" s="169"/>
      <c r="GI10" s="169"/>
      <c r="GJ10" s="169"/>
      <c r="GK10" s="169"/>
      <c r="GL10" s="169"/>
      <c r="GM10" s="169"/>
      <c r="GN10" s="169"/>
      <c r="GO10" s="169"/>
      <c r="GP10" s="169"/>
      <c r="GQ10" s="169"/>
      <c r="GR10" s="169"/>
      <c r="GS10" s="169"/>
      <c r="GT10" s="169"/>
      <c r="GU10" s="169"/>
      <c r="GV10" s="169"/>
      <c r="GW10" s="169"/>
      <c r="GX10" s="169"/>
      <c r="GY10" s="169"/>
      <c r="GZ10" s="169"/>
      <c r="HA10" s="169"/>
      <c r="HB10" s="169"/>
      <c r="HC10" s="169"/>
      <c r="HD10" s="169"/>
      <c r="HE10" s="169"/>
      <c r="HF10" s="169"/>
      <c r="HG10" s="169"/>
      <c r="HH10" s="169"/>
      <c r="HI10" s="169"/>
      <c r="HJ10" s="169"/>
      <c r="HK10" s="169"/>
      <c r="HL10" s="169"/>
      <c r="HM10" s="169"/>
      <c r="HN10" s="169"/>
      <c r="HO10" s="169"/>
      <c r="HP10" s="169"/>
      <c r="HQ10" s="169"/>
      <c r="HR10" s="169"/>
      <c r="HS10" s="169"/>
      <c r="HT10" s="169"/>
      <c r="HU10" s="169"/>
      <c r="HV10" s="169"/>
      <c r="HW10" s="169"/>
      <c r="HX10" s="169"/>
      <c r="HY10" s="169"/>
      <c r="HZ10" s="169"/>
      <c r="IA10" s="169"/>
      <c r="IB10" s="169"/>
      <c r="IC10" s="169"/>
      <c r="ID10" s="169"/>
      <c r="IE10" s="169"/>
      <c r="IF10" s="169"/>
      <c r="IG10" s="169"/>
      <c r="IH10" s="169"/>
      <c r="II10" s="169"/>
      <c r="IJ10" s="169"/>
      <c r="IK10" s="169"/>
      <c r="IL10" s="169"/>
      <c r="IM10" s="169"/>
      <c r="IN10" s="169"/>
      <c r="IO10" s="169"/>
      <c r="IP10" s="169"/>
      <c r="IQ10" s="169"/>
      <c r="IR10" s="169"/>
    </row>
    <row r="11" spans="1:252" ht="15.6" customHeight="1" x14ac:dyDescent="0.25">
      <c r="A11" s="170" t="s">
        <v>1478</v>
      </c>
      <c r="B11" s="170"/>
      <c r="C11" s="170"/>
      <c r="D11" s="2299" t="s">
        <v>1461</v>
      </c>
      <c r="E11" s="2299"/>
      <c r="F11" s="173"/>
      <c r="G11" s="173"/>
      <c r="H11" s="173"/>
      <c r="I11" s="173"/>
      <c r="J11" s="169"/>
      <c r="K11" s="169"/>
      <c r="L11" s="169"/>
      <c r="M11" s="169"/>
      <c r="N11" s="169"/>
      <c r="O11" s="169"/>
      <c r="P11" s="169"/>
      <c r="Q11" s="169"/>
      <c r="R11" s="169"/>
      <c r="S11" s="169"/>
      <c r="T11" s="169"/>
      <c r="U11" s="169"/>
      <c r="V11" s="169"/>
      <c r="W11" s="169"/>
      <c r="X11" s="169"/>
      <c r="Y11" s="169"/>
      <c r="Z11" s="169"/>
      <c r="AA11" s="169"/>
      <c r="AB11" s="169"/>
      <c r="AC11" s="169"/>
      <c r="AD11" s="169"/>
      <c r="AE11" s="169"/>
      <c r="AF11" s="169"/>
      <c r="AG11" s="169"/>
      <c r="AH11" s="169"/>
      <c r="AI11" s="169"/>
      <c r="AJ11" s="169"/>
      <c r="AK11" s="169"/>
      <c r="AL11" s="169"/>
      <c r="AM11" s="169"/>
      <c r="AN11" s="169"/>
      <c r="AO11" s="169"/>
      <c r="AP11" s="169"/>
      <c r="AQ11" s="169"/>
      <c r="AR11" s="169"/>
      <c r="AS11" s="169"/>
      <c r="AT11" s="169"/>
      <c r="AU11" s="169"/>
      <c r="AV11" s="169"/>
      <c r="AW11" s="169"/>
      <c r="AX11" s="169"/>
      <c r="AY11" s="169"/>
      <c r="AZ11" s="169"/>
      <c r="BA11" s="169"/>
      <c r="BB11" s="169"/>
      <c r="BC11" s="169"/>
      <c r="BD11" s="169"/>
      <c r="BE11" s="169"/>
      <c r="BF11" s="169"/>
      <c r="BG11" s="169"/>
      <c r="BH11" s="169"/>
      <c r="BI11" s="169"/>
      <c r="BJ11" s="169"/>
      <c r="BK11" s="169"/>
      <c r="BL11" s="169"/>
      <c r="BM11" s="169"/>
      <c r="BN11" s="169"/>
      <c r="BO11" s="169"/>
      <c r="BP11" s="169"/>
      <c r="BQ11" s="169"/>
      <c r="BR11" s="169"/>
      <c r="BS11" s="169"/>
      <c r="BT11" s="169"/>
      <c r="BU11" s="169"/>
      <c r="BV11" s="169"/>
      <c r="BW11" s="169"/>
      <c r="BX11" s="169"/>
      <c r="BY11" s="169"/>
      <c r="BZ11" s="169"/>
      <c r="CA11" s="169"/>
      <c r="CB11" s="169"/>
      <c r="CC11" s="169"/>
      <c r="CD11" s="169"/>
      <c r="CE11" s="169"/>
      <c r="CF11" s="169"/>
      <c r="CG11" s="169"/>
      <c r="CH11" s="169"/>
      <c r="CI11" s="169"/>
      <c r="CJ11" s="169"/>
      <c r="CK11" s="169"/>
      <c r="CL11" s="169"/>
      <c r="CM11" s="169"/>
      <c r="CN11" s="169"/>
      <c r="CO11" s="169"/>
      <c r="CP11" s="169"/>
      <c r="CQ11" s="169"/>
      <c r="CR11" s="169"/>
      <c r="CS11" s="169"/>
      <c r="CT11" s="169"/>
      <c r="CU11" s="169"/>
      <c r="CV11" s="169"/>
      <c r="CW11" s="169"/>
      <c r="CX11" s="169"/>
      <c r="CY11" s="169"/>
      <c r="CZ11" s="169"/>
      <c r="DA11" s="169"/>
      <c r="DB11" s="169"/>
      <c r="DC11" s="169"/>
      <c r="DD11" s="169"/>
      <c r="DE11" s="169"/>
      <c r="DF11" s="169"/>
      <c r="DG11" s="169"/>
      <c r="DH11" s="169"/>
      <c r="DI11" s="169"/>
      <c r="DJ11" s="169"/>
      <c r="DK11" s="169"/>
      <c r="DL11" s="169"/>
      <c r="DM11" s="169"/>
      <c r="DN11" s="169"/>
      <c r="DO11" s="169"/>
      <c r="DP11" s="169"/>
      <c r="DQ11" s="169"/>
      <c r="DR11" s="169"/>
      <c r="DS11" s="169"/>
      <c r="DT11" s="169"/>
      <c r="DU11" s="169"/>
      <c r="DV11" s="169"/>
      <c r="DW11" s="169"/>
      <c r="DX11" s="169"/>
      <c r="DY11" s="169"/>
      <c r="DZ11" s="169"/>
      <c r="EA11" s="169"/>
      <c r="EB11" s="169"/>
      <c r="EC11" s="169"/>
      <c r="ED11" s="169"/>
      <c r="EE11" s="169"/>
      <c r="EF11" s="169"/>
      <c r="EG11" s="169"/>
      <c r="EH11" s="169"/>
      <c r="EI11" s="169"/>
      <c r="EJ11" s="169"/>
      <c r="EK11" s="169"/>
      <c r="EL11" s="169"/>
      <c r="EM11" s="169"/>
      <c r="EN11" s="169"/>
      <c r="EO11" s="169"/>
      <c r="EP11" s="169"/>
      <c r="EQ11" s="169"/>
      <c r="ER11" s="169"/>
      <c r="ES11" s="169"/>
      <c r="ET11" s="169"/>
      <c r="EU11" s="169"/>
      <c r="EV11" s="169"/>
      <c r="EW11" s="169"/>
      <c r="EX11" s="169"/>
      <c r="EY11" s="169"/>
      <c r="EZ11" s="169"/>
      <c r="FA11" s="169"/>
      <c r="FB11" s="169"/>
      <c r="FC11" s="169"/>
      <c r="FD11" s="169"/>
      <c r="FE11" s="169"/>
      <c r="FF11" s="169"/>
      <c r="FG11" s="169"/>
      <c r="FH11" s="169"/>
      <c r="FI11" s="169"/>
      <c r="FJ11" s="169"/>
      <c r="FK11" s="169"/>
      <c r="FL11" s="169"/>
      <c r="FM11" s="169"/>
      <c r="FN11" s="169"/>
      <c r="FO11" s="169"/>
      <c r="FP11" s="169"/>
      <c r="FQ11" s="169"/>
      <c r="FR11" s="169"/>
      <c r="FS11" s="169"/>
      <c r="FT11" s="169"/>
      <c r="FU11" s="169"/>
      <c r="FV11" s="169"/>
      <c r="FW11" s="169"/>
      <c r="FX11" s="169"/>
      <c r="FY11" s="169"/>
      <c r="FZ11" s="169"/>
      <c r="GA11" s="169"/>
      <c r="GB11" s="169"/>
      <c r="GC11" s="169"/>
      <c r="GD11" s="169"/>
      <c r="GE11" s="169"/>
      <c r="GF11" s="169"/>
      <c r="GG11" s="169"/>
      <c r="GH11" s="169"/>
      <c r="GI11" s="169"/>
      <c r="GJ11" s="169"/>
      <c r="GK11" s="169"/>
      <c r="GL11" s="169"/>
      <c r="GM11" s="169"/>
      <c r="GN11" s="169"/>
      <c r="GO11" s="169"/>
      <c r="GP11" s="169"/>
      <c r="GQ11" s="169"/>
      <c r="GR11" s="169"/>
      <c r="GS11" s="169"/>
      <c r="GT11" s="169"/>
      <c r="GU11" s="169"/>
      <c r="GV11" s="169"/>
      <c r="GW11" s="169"/>
      <c r="GX11" s="169"/>
      <c r="GY11" s="169"/>
      <c r="GZ11" s="169"/>
      <c r="HA11" s="169"/>
      <c r="HB11" s="169"/>
      <c r="HC11" s="169"/>
      <c r="HD11" s="169"/>
      <c r="HE11" s="169"/>
      <c r="HF11" s="169"/>
      <c r="HG11" s="169"/>
      <c r="HH11" s="169"/>
      <c r="HI11" s="169"/>
      <c r="HJ11" s="169"/>
      <c r="HK11" s="169"/>
      <c r="HL11" s="169"/>
      <c r="HM11" s="169"/>
      <c r="HN11" s="169"/>
      <c r="HO11" s="169"/>
      <c r="HP11" s="169"/>
      <c r="HQ11" s="169"/>
      <c r="HR11" s="169"/>
      <c r="HS11" s="169"/>
      <c r="HT11" s="169"/>
      <c r="HU11" s="169"/>
      <c r="HV11" s="169"/>
      <c r="HW11" s="169"/>
      <c r="HX11" s="169"/>
      <c r="HY11" s="169"/>
      <c r="HZ11" s="169"/>
      <c r="IA11" s="169"/>
      <c r="IB11" s="169"/>
      <c r="IC11" s="169"/>
      <c r="ID11" s="169"/>
      <c r="IE11" s="169"/>
      <c r="IF11" s="169"/>
      <c r="IG11" s="169"/>
      <c r="IH11" s="169"/>
      <c r="II11" s="169"/>
      <c r="IJ11" s="169"/>
      <c r="IK11" s="169"/>
      <c r="IL11" s="169"/>
      <c r="IM11" s="169"/>
      <c r="IN11" s="169"/>
      <c r="IO11" s="169"/>
      <c r="IP11" s="169"/>
      <c r="IQ11" s="169"/>
      <c r="IR11" s="169"/>
    </row>
    <row r="12" spans="1:252" x14ac:dyDescent="0.25">
      <c r="A12" s="170" t="s">
        <v>1479</v>
      </c>
      <c r="B12" s="170"/>
      <c r="C12" s="170"/>
      <c r="D12" s="625" t="str">
        <f>CARAT_!$F$54</f>
        <v>MES DE DICIEMBRE DE 2022</v>
      </c>
      <c r="E12" s="625"/>
      <c r="F12" s="173"/>
      <c r="G12" s="173"/>
      <c r="H12" s="173"/>
      <c r="I12" s="480"/>
      <c r="J12" s="169"/>
      <c r="K12" s="169"/>
      <c r="L12" s="169"/>
      <c r="M12" s="169"/>
      <c r="N12" s="169"/>
      <c r="O12" s="169"/>
      <c r="P12" s="169"/>
      <c r="Q12" s="169"/>
      <c r="R12" s="169"/>
      <c r="S12" s="169"/>
      <c r="T12" s="169"/>
      <c r="U12" s="169"/>
      <c r="V12" s="169"/>
      <c r="W12" s="169"/>
      <c r="X12" s="169"/>
      <c r="Y12" s="169"/>
      <c r="Z12" s="169"/>
      <c r="AA12" s="169"/>
      <c r="AB12" s="169"/>
      <c r="AC12" s="169"/>
      <c r="AD12" s="169"/>
      <c r="AE12" s="169"/>
      <c r="AF12" s="169"/>
      <c r="AG12" s="169"/>
      <c r="AH12" s="169"/>
      <c r="AI12" s="169"/>
      <c r="AJ12" s="169"/>
      <c r="AK12" s="169"/>
      <c r="AL12" s="169"/>
      <c r="AM12" s="169"/>
      <c r="AN12" s="169"/>
      <c r="AO12" s="169"/>
      <c r="AP12" s="169"/>
      <c r="AQ12" s="169"/>
      <c r="AR12" s="169"/>
      <c r="AS12" s="169"/>
      <c r="AT12" s="169"/>
      <c r="AU12" s="169"/>
      <c r="AV12" s="169"/>
      <c r="AW12" s="169"/>
      <c r="AX12" s="169"/>
      <c r="AY12" s="169"/>
      <c r="AZ12" s="169"/>
      <c r="BA12" s="169"/>
      <c r="BB12" s="169"/>
      <c r="BC12" s="169"/>
      <c r="BD12" s="169"/>
      <c r="BE12" s="169"/>
      <c r="BF12" s="169"/>
      <c r="BG12" s="169"/>
      <c r="BH12" s="169"/>
      <c r="BI12" s="169"/>
      <c r="BJ12" s="169"/>
      <c r="BK12" s="169"/>
      <c r="BL12" s="169"/>
      <c r="BM12" s="169"/>
      <c r="BN12" s="169"/>
      <c r="BO12" s="169"/>
      <c r="BP12" s="169"/>
      <c r="BQ12" s="169"/>
      <c r="BR12" s="169"/>
      <c r="BS12" s="169"/>
      <c r="BT12" s="169"/>
      <c r="BU12" s="169"/>
      <c r="BV12" s="169"/>
      <c r="BW12" s="169"/>
      <c r="BX12" s="169"/>
      <c r="BY12" s="169"/>
      <c r="BZ12" s="169"/>
      <c r="CA12" s="169"/>
      <c r="CB12" s="169"/>
      <c r="CC12" s="169"/>
      <c r="CD12" s="169"/>
      <c r="CE12" s="169"/>
      <c r="CF12" s="169"/>
      <c r="CG12" s="169"/>
      <c r="CH12" s="169"/>
      <c r="CI12" s="169"/>
      <c r="CJ12" s="169"/>
      <c r="CK12" s="169"/>
      <c r="CL12" s="169"/>
      <c r="CM12" s="169"/>
      <c r="CN12" s="169"/>
      <c r="CO12" s="169"/>
      <c r="CP12" s="169"/>
      <c r="CQ12" s="169"/>
      <c r="CR12" s="169"/>
      <c r="CS12" s="169"/>
      <c r="CT12" s="169"/>
      <c r="CU12" s="169"/>
      <c r="CV12" s="169"/>
      <c r="CW12" s="169"/>
      <c r="CX12" s="169"/>
      <c r="CY12" s="169"/>
      <c r="CZ12" s="169"/>
      <c r="DA12" s="169"/>
      <c r="DB12" s="169"/>
      <c r="DC12" s="169"/>
      <c r="DD12" s="169"/>
      <c r="DE12" s="169"/>
      <c r="DF12" s="169"/>
      <c r="DG12" s="169"/>
      <c r="DH12" s="169"/>
      <c r="DI12" s="169"/>
      <c r="DJ12" s="169"/>
      <c r="DK12" s="169"/>
      <c r="DL12" s="169"/>
      <c r="DM12" s="169"/>
      <c r="DN12" s="169"/>
      <c r="DO12" s="169"/>
      <c r="DP12" s="169"/>
      <c r="DQ12" s="169"/>
      <c r="DR12" s="169"/>
      <c r="DS12" s="169"/>
      <c r="DT12" s="169"/>
      <c r="DU12" s="169"/>
      <c r="DV12" s="169"/>
      <c r="DW12" s="169"/>
      <c r="DX12" s="169"/>
      <c r="DY12" s="169"/>
      <c r="DZ12" s="169"/>
      <c r="EA12" s="169"/>
      <c r="EB12" s="169"/>
      <c r="EC12" s="169"/>
      <c r="ED12" s="169"/>
      <c r="EE12" s="169"/>
      <c r="EF12" s="169"/>
      <c r="EG12" s="169"/>
      <c r="EH12" s="169"/>
      <c r="EI12" s="169"/>
      <c r="EJ12" s="169"/>
      <c r="EK12" s="169"/>
      <c r="EL12" s="169"/>
      <c r="EM12" s="169"/>
      <c r="EN12" s="169"/>
      <c r="EO12" s="169"/>
      <c r="EP12" s="169"/>
      <c r="EQ12" s="169"/>
      <c r="ER12" s="169"/>
      <c r="ES12" s="169"/>
      <c r="ET12" s="169"/>
      <c r="EU12" s="169"/>
      <c r="EV12" s="169"/>
      <c r="EW12" s="169"/>
      <c r="EX12" s="169"/>
      <c r="EY12" s="169"/>
      <c r="EZ12" s="169"/>
      <c r="FA12" s="169"/>
      <c r="FB12" s="169"/>
      <c r="FC12" s="169"/>
      <c r="FD12" s="169"/>
      <c r="FE12" s="169"/>
      <c r="FF12" s="169"/>
      <c r="FG12" s="169"/>
      <c r="FH12" s="169"/>
      <c r="FI12" s="169"/>
      <c r="FJ12" s="169"/>
      <c r="FK12" s="169"/>
      <c r="FL12" s="169"/>
      <c r="FM12" s="169"/>
      <c r="FN12" s="169"/>
      <c r="FO12" s="169"/>
      <c r="FP12" s="169"/>
      <c r="FQ12" s="169"/>
      <c r="FR12" s="169"/>
      <c r="FS12" s="169"/>
      <c r="FT12" s="169"/>
      <c r="FU12" s="169"/>
      <c r="FV12" s="169"/>
      <c r="FW12" s="169"/>
      <c r="FX12" s="169"/>
      <c r="FY12" s="169"/>
      <c r="FZ12" s="169"/>
      <c r="GA12" s="169"/>
      <c r="GB12" s="169"/>
      <c r="GC12" s="169"/>
      <c r="GD12" s="169"/>
      <c r="GE12" s="169"/>
      <c r="GF12" s="169"/>
      <c r="GG12" s="169"/>
      <c r="GH12" s="169"/>
      <c r="GI12" s="169"/>
      <c r="GJ12" s="169"/>
      <c r="GK12" s="169"/>
      <c r="GL12" s="169"/>
      <c r="GM12" s="169"/>
      <c r="GN12" s="169"/>
      <c r="GO12" s="169"/>
      <c r="GP12" s="169"/>
      <c r="GQ12" s="169"/>
      <c r="GR12" s="169"/>
      <c r="GS12" s="169"/>
      <c r="GT12" s="169"/>
      <c r="GU12" s="169"/>
      <c r="GV12" s="169"/>
      <c r="GW12" s="169"/>
      <c r="GX12" s="169"/>
      <c r="GY12" s="169"/>
      <c r="GZ12" s="169"/>
      <c r="HA12" s="169"/>
      <c r="HB12" s="169"/>
      <c r="HC12" s="169"/>
      <c r="HD12" s="169"/>
      <c r="HE12" s="169"/>
      <c r="HF12" s="169"/>
      <c r="HG12" s="169"/>
      <c r="HH12" s="169"/>
      <c r="HI12" s="169"/>
      <c r="HJ12" s="169"/>
      <c r="HK12" s="169"/>
      <c r="HL12" s="169"/>
      <c r="HM12" s="169"/>
      <c r="HN12" s="169"/>
      <c r="HO12" s="169"/>
      <c r="HP12" s="169"/>
      <c r="HQ12" s="169"/>
      <c r="HR12" s="169"/>
      <c r="HS12" s="169"/>
      <c r="HT12" s="169"/>
      <c r="HU12" s="169"/>
      <c r="HV12" s="169"/>
      <c r="HW12" s="169"/>
      <c r="HX12" s="169"/>
      <c r="HY12" s="169"/>
      <c r="HZ12" s="169"/>
      <c r="IA12" s="169"/>
      <c r="IB12" s="169"/>
      <c r="IC12" s="169"/>
      <c r="ID12" s="169"/>
      <c r="IE12" s="169"/>
      <c r="IF12" s="169"/>
      <c r="IG12" s="169"/>
      <c r="IH12" s="169"/>
      <c r="II12" s="169"/>
      <c r="IJ12" s="169"/>
      <c r="IK12" s="169"/>
      <c r="IL12" s="169"/>
      <c r="IM12" s="169"/>
      <c r="IN12" s="169"/>
      <c r="IO12" s="169"/>
      <c r="IP12" s="169"/>
      <c r="IQ12" s="169"/>
      <c r="IR12" s="169"/>
    </row>
    <row r="13" spans="1:252" ht="18.600000000000001" customHeight="1" x14ac:dyDescent="0.25">
      <c r="A13" s="172" t="s">
        <v>1485</v>
      </c>
      <c r="B13" s="603"/>
      <c r="C13" s="603"/>
      <c r="D13" s="2303">
        <v>15151078.060000001</v>
      </c>
      <c r="E13" s="2303"/>
      <c r="F13" s="170" t="s">
        <v>1486</v>
      </c>
      <c r="G13" s="173"/>
      <c r="H13" s="173"/>
      <c r="I13" s="480"/>
      <c r="J13" s="169"/>
      <c r="K13" s="169"/>
      <c r="L13" s="169"/>
      <c r="M13" s="169"/>
      <c r="N13" s="169"/>
      <c r="O13" s="169"/>
      <c r="P13" s="169"/>
      <c r="Q13" s="169"/>
      <c r="R13" s="169"/>
      <c r="S13" s="169"/>
      <c r="T13" s="169"/>
      <c r="U13" s="169"/>
      <c r="V13" s="169"/>
      <c r="W13" s="169"/>
      <c r="X13" s="169"/>
      <c r="Y13" s="169"/>
      <c r="Z13" s="169"/>
      <c r="AA13" s="169"/>
      <c r="AB13" s="169"/>
      <c r="AC13" s="169"/>
      <c r="AD13" s="169"/>
      <c r="AE13" s="169"/>
      <c r="AF13" s="169"/>
      <c r="AG13" s="169"/>
      <c r="AH13" s="169"/>
      <c r="AI13" s="169"/>
      <c r="AJ13" s="169"/>
      <c r="AK13" s="169"/>
      <c r="AL13" s="169"/>
      <c r="AM13" s="169"/>
      <c r="AN13" s="169"/>
      <c r="AO13" s="169"/>
      <c r="AP13" s="169"/>
      <c r="AQ13" s="169"/>
      <c r="AR13" s="169"/>
      <c r="AS13" s="169"/>
      <c r="AT13" s="169"/>
      <c r="AU13" s="169"/>
      <c r="AV13" s="169"/>
      <c r="AW13" s="169"/>
      <c r="AX13" s="169"/>
      <c r="AY13" s="169"/>
      <c r="AZ13" s="169"/>
      <c r="BA13" s="169"/>
      <c r="BB13" s="169"/>
      <c r="BC13" s="169"/>
      <c r="BD13" s="169"/>
      <c r="BE13" s="169"/>
      <c r="BF13" s="169"/>
      <c r="BG13" s="169"/>
      <c r="BH13" s="169"/>
      <c r="BI13" s="169"/>
      <c r="BJ13" s="169"/>
      <c r="BK13" s="169"/>
      <c r="BL13" s="169"/>
      <c r="BM13" s="169"/>
      <c r="BN13" s="169"/>
      <c r="BO13" s="169"/>
      <c r="BP13" s="169"/>
      <c r="BQ13" s="169"/>
      <c r="BR13" s="169"/>
      <c r="BS13" s="169"/>
      <c r="BT13" s="169"/>
      <c r="BU13" s="169"/>
      <c r="BV13" s="169"/>
      <c r="BW13" s="169"/>
      <c r="BX13" s="169"/>
      <c r="BY13" s="169"/>
      <c r="BZ13" s="169"/>
      <c r="CA13" s="169"/>
      <c r="CB13" s="169"/>
      <c r="CC13" s="169"/>
      <c r="CD13" s="169"/>
      <c r="CE13" s="169"/>
      <c r="CF13" s="169"/>
      <c r="CG13" s="169"/>
      <c r="CH13" s="169"/>
      <c r="CI13" s="169"/>
      <c r="CJ13" s="169"/>
      <c r="CK13" s="169"/>
      <c r="CL13" s="169"/>
      <c r="CM13" s="169"/>
      <c r="CN13" s="169"/>
      <c r="CO13" s="169"/>
      <c r="CP13" s="169"/>
      <c r="CQ13" s="169"/>
      <c r="CR13" s="169"/>
      <c r="CS13" s="169"/>
      <c r="CT13" s="169"/>
      <c r="CU13" s="169"/>
      <c r="CV13" s="169"/>
      <c r="CW13" s="169"/>
      <c r="CX13" s="169"/>
      <c r="CY13" s="169"/>
      <c r="CZ13" s="169"/>
      <c r="DA13" s="169"/>
      <c r="DB13" s="169"/>
      <c r="DC13" s="169"/>
      <c r="DD13" s="169"/>
      <c r="DE13" s="169"/>
      <c r="DF13" s="169"/>
      <c r="DG13" s="169"/>
      <c r="DH13" s="169"/>
      <c r="DI13" s="169"/>
      <c r="DJ13" s="169"/>
      <c r="DK13" s="169"/>
      <c r="DL13" s="169"/>
      <c r="DM13" s="169"/>
      <c r="DN13" s="169"/>
      <c r="DO13" s="169"/>
      <c r="DP13" s="169"/>
      <c r="DQ13" s="169"/>
      <c r="DR13" s="169"/>
      <c r="DS13" s="169"/>
      <c r="DT13" s="169"/>
      <c r="DU13" s="169"/>
      <c r="DV13" s="169"/>
      <c r="DW13" s="169"/>
      <c r="DX13" s="169"/>
      <c r="DY13" s="169"/>
      <c r="DZ13" s="169"/>
      <c r="EA13" s="169"/>
      <c r="EB13" s="169"/>
      <c r="EC13" s="169"/>
      <c r="ED13" s="169"/>
      <c r="EE13" s="169"/>
      <c r="EF13" s="169"/>
      <c r="EG13" s="169"/>
      <c r="EH13" s="169"/>
      <c r="EI13" s="169"/>
      <c r="EJ13" s="169"/>
      <c r="EK13" s="169"/>
      <c r="EL13" s="169"/>
      <c r="EM13" s="169"/>
      <c r="EN13" s="169"/>
      <c r="EO13" s="169"/>
      <c r="EP13" s="169"/>
      <c r="EQ13" s="169"/>
      <c r="ER13" s="169"/>
      <c r="ES13" s="169"/>
      <c r="ET13" s="169"/>
      <c r="EU13" s="169"/>
      <c r="EV13" s="169"/>
      <c r="EW13" s="169"/>
      <c r="EX13" s="169"/>
      <c r="EY13" s="169"/>
      <c r="EZ13" s="169"/>
      <c r="FA13" s="169"/>
      <c r="FB13" s="169"/>
      <c r="FC13" s="169"/>
      <c r="FD13" s="169"/>
      <c r="FE13" s="169"/>
      <c r="FF13" s="169"/>
      <c r="FG13" s="169"/>
      <c r="FH13" s="169"/>
      <c r="FI13" s="169"/>
      <c r="FJ13" s="169"/>
      <c r="FK13" s="169"/>
      <c r="FL13" s="169"/>
      <c r="FM13" s="169"/>
      <c r="FN13" s="169"/>
      <c r="FO13" s="169"/>
      <c r="FP13" s="169"/>
      <c r="FQ13" s="169"/>
      <c r="FR13" s="169"/>
      <c r="FS13" s="169"/>
      <c r="FT13" s="169"/>
      <c r="FU13" s="169"/>
      <c r="FV13" s="169"/>
      <c r="FW13" s="169"/>
      <c r="FX13" s="169"/>
      <c r="FY13" s="169"/>
      <c r="FZ13" s="169"/>
      <c r="GA13" s="169"/>
      <c r="GB13" s="169"/>
      <c r="GC13" s="169"/>
      <c r="GD13" s="169"/>
      <c r="GE13" s="169"/>
      <c r="GF13" s="169"/>
      <c r="GG13" s="169"/>
      <c r="GH13" s="169"/>
      <c r="GI13" s="169"/>
      <c r="GJ13" s="169"/>
      <c r="GK13" s="169"/>
      <c r="GL13" s="169"/>
      <c r="GM13" s="169"/>
      <c r="GN13" s="169"/>
      <c r="GO13" s="169"/>
      <c r="GP13" s="169"/>
      <c r="GQ13" s="169"/>
      <c r="GR13" s="169"/>
      <c r="GS13" s="169"/>
      <c r="GT13" s="169"/>
      <c r="GU13" s="169"/>
      <c r="GV13" s="169"/>
      <c r="GW13" s="169"/>
      <c r="GX13" s="169"/>
      <c r="GY13" s="169"/>
      <c r="GZ13" s="169"/>
      <c r="HA13" s="169"/>
      <c r="HB13" s="169"/>
      <c r="HC13" s="169"/>
      <c r="HD13" s="169"/>
      <c r="HE13" s="169"/>
      <c r="HF13" s="169"/>
      <c r="HG13" s="169"/>
      <c r="HH13" s="169"/>
      <c r="HI13" s="169"/>
      <c r="HJ13" s="169"/>
      <c r="HK13" s="169"/>
      <c r="HL13" s="169"/>
      <c r="HM13" s="169"/>
      <c r="HN13" s="169"/>
      <c r="HO13" s="169"/>
      <c r="HP13" s="169"/>
      <c r="HQ13" s="169"/>
      <c r="HR13" s="169"/>
      <c r="HS13" s="169"/>
      <c r="HT13" s="169"/>
      <c r="HU13" s="169"/>
      <c r="HV13" s="169"/>
      <c r="HW13" s="169"/>
      <c r="HX13" s="169"/>
      <c r="HY13" s="169"/>
      <c r="HZ13" s="169"/>
      <c r="IA13" s="169"/>
      <c r="IB13" s="169"/>
      <c r="IC13" s="169"/>
      <c r="ID13" s="169"/>
      <c r="IE13" s="169"/>
      <c r="IF13" s="169"/>
      <c r="IG13" s="169"/>
      <c r="IH13" s="169"/>
      <c r="II13" s="169"/>
      <c r="IJ13" s="169"/>
      <c r="IK13" s="169"/>
      <c r="IL13" s="169"/>
      <c r="IM13" s="169"/>
      <c r="IN13" s="169"/>
      <c r="IO13" s="169"/>
      <c r="IP13" s="169"/>
      <c r="IQ13" s="169"/>
      <c r="IR13" s="169"/>
    </row>
    <row r="14" spans="1:252" ht="13.8" x14ac:dyDescent="0.25">
      <c r="A14" s="172" t="s">
        <v>1401</v>
      </c>
      <c r="B14" s="603"/>
      <c r="C14" s="603"/>
      <c r="D14" s="2303">
        <f>+Hoja1!D14</f>
        <v>1515107.81</v>
      </c>
      <c r="E14" s="2303"/>
      <c r="F14" s="170" t="s">
        <v>1487</v>
      </c>
      <c r="G14" s="173"/>
      <c r="H14" s="173"/>
      <c r="I14" s="601"/>
      <c r="J14" s="169"/>
      <c r="K14" s="169"/>
      <c r="L14" s="169"/>
      <c r="M14" s="169"/>
      <c r="N14" s="169"/>
      <c r="O14" s="169"/>
      <c r="P14" s="169"/>
      <c r="Q14" s="169"/>
      <c r="R14" s="169"/>
      <c r="S14" s="169"/>
      <c r="T14" s="169"/>
      <c r="U14" s="169"/>
      <c r="V14" s="169"/>
      <c r="W14" s="169"/>
      <c r="X14" s="169"/>
      <c r="Y14" s="169"/>
      <c r="Z14" s="169"/>
      <c r="AA14" s="169"/>
      <c r="AB14" s="169"/>
      <c r="AC14" s="169"/>
      <c r="AD14" s="169"/>
      <c r="AE14" s="169"/>
      <c r="AF14" s="169"/>
      <c r="AG14" s="169"/>
      <c r="AH14" s="169"/>
      <c r="AI14" s="169"/>
      <c r="AJ14" s="169"/>
      <c r="AK14" s="169"/>
      <c r="AL14" s="169"/>
      <c r="AM14" s="169"/>
      <c r="AN14" s="169"/>
      <c r="AO14" s="169"/>
      <c r="AP14" s="169"/>
      <c r="AQ14" s="169"/>
      <c r="AR14" s="169"/>
      <c r="AS14" s="169"/>
      <c r="AT14" s="169"/>
      <c r="AU14" s="169"/>
      <c r="AV14" s="169"/>
      <c r="AW14" s="169"/>
      <c r="AX14" s="169"/>
      <c r="AY14" s="169"/>
      <c r="AZ14" s="169"/>
      <c r="BA14" s="169"/>
      <c r="BB14" s="169"/>
      <c r="BC14" s="169"/>
      <c r="BD14" s="169"/>
      <c r="BE14" s="169"/>
      <c r="BF14" s="169"/>
      <c r="BG14" s="169"/>
      <c r="BH14" s="169"/>
      <c r="BI14" s="169"/>
      <c r="BJ14" s="169"/>
      <c r="BK14" s="169"/>
      <c r="BL14" s="169"/>
      <c r="BM14" s="169"/>
      <c r="BN14" s="169"/>
      <c r="BO14" s="169"/>
      <c r="BP14" s="169"/>
      <c r="BQ14" s="169"/>
      <c r="BR14" s="169"/>
      <c r="BS14" s="169"/>
      <c r="BT14" s="169"/>
      <c r="BU14" s="169"/>
      <c r="BV14" s="169"/>
      <c r="BW14" s="169"/>
      <c r="BX14" s="169"/>
      <c r="BY14" s="169"/>
      <c r="BZ14" s="169"/>
      <c r="CA14" s="169"/>
      <c r="CB14" s="169"/>
      <c r="CC14" s="169"/>
      <c r="CD14" s="169"/>
      <c r="CE14" s="169"/>
      <c r="CF14" s="169"/>
      <c r="CG14" s="169"/>
      <c r="CH14" s="169"/>
      <c r="CI14" s="169"/>
      <c r="CJ14" s="169"/>
      <c r="CK14" s="169"/>
      <c r="CL14" s="169"/>
      <c r="CM14" s="169"/>
      <c r="CN14" s="169"/>
      <c r="CO14" s="169"/>
      <c r="CP14" s="169"/>
      <c r="CQ14" s="169"/>
      <c r="CR14" s="169"/>
      <c r="CS14" s="169"/>
      <c r="CT14" s="169"/>
      <c r="CU14" s="169"/>
      <c r="CV14" s="169"/>
      <c r="CW14" s="169"/>
      <c r="CX14" s="169"/>
      <c r="CY14" s="169"/>
      <c r="CZ14" s="169"/>
      <c r="DA14" s="169"/>
      <c r="DB14" s="169"/>
      <c r="DC14" s="169"/>
      <c r="DD14" s="169"/>
      <c r="DE14" s="169"/>
      <c r="DF14" s="169"/>
      <c r="DG14" s="169"/>
      <c r="DH14" s="169"/>
      <c r="DI14" s="169"/>
      <c r="DJ14" s="169"/>
      <c r="DK14" s="169"/>
      <c r="DL14" s="169"/>
      <c r="DM14" s="169"/>
      <c r="DN14" s="169"/>
      <c r="DO14" s="169"/>
      <c r="DP14" s="169"/>
      <c r="DQ14" s="169"/>
      <c r="DR14" s="169"/>
      <c r="DS14" s="169"/>
      <c r="DT14" s="169"/>
      <c r="DU14" s="169"/>
      <c r="DV14" s="169"/>
      <c r="DW14" s="169"/>
      <c r="DX14" s="169"/>
      <c r="DY14" s="169"/>
      <c r="DZ14" s="169"/>
      <c r="EA14" s="169"/>
      <c r="EB14" s="169"/>
      <c r="EC14" s="169"/>
      <c r="ED14" s="169"/>
      <c r="EE14" s="169"/>
      <c r="EF14" s="169"/>
      <c r="EG14" s="169"/>
      <c r="EH14" s="169"/>
      <c r="EI14" s="169"/>
      <c r="EJ14" s="169"/>
      <c r="EK14" s="169"/>
      <c r="EL14" s="169"/>
      <c r="EM14" s="169"/>
      <c r="EN14" s="169"/>
      <c r="EO14" s="169"/>
      <c r="EP14" s="169"/>
      <c r="EQ14" s="169"/>
      <c r="ER14" s="169"/>
      <c r="ES14" s="169"/>
      <c r="ET14" s="169"/>
      <c r="EU14" s="169"/>
      <c r="EV14" s="169"/>
      <c r="EW14" s="169"/>
      <c r="EX14" s="169"/>
      <c r="EY14" s="169"/>
      <c r="EZ14" s="169"/>
      <c r="FA14" s="169"/>
      <c r="FB14" s="169"/>
      <c r="FC14" s="169"/>
      <c r="FD14" s="169"/>
      <c r="FE14" s="169"/>
      <c r="FF14" s="169"/>
      <c r="FG14" s="169"/>
      <c r="FH14" s="169"/>
      <c r="FI14" s="169"/>
      <c r="FJ14" s="169"/>
      <c r="FK14" s="169"/>
      <c r="FL14" s="169"/>
      <c r="FM14" s="169"/>
      <c r="FN14" s="169"/>
      <c r="FO14" s="169"/>
      <c r="FP14" s="169"/>
      <c r="FQ14" s="169"/>
      <c r="FR14" s="169"/>
      <c r="FS14" s="169"/>
      <c r="FT14" s="169"/>
      <c r="FU14" s="169"/>
      <c r="FV14" s="169"/>
      <c r="FW14" s="169"/>
      <c r="FX14" s="169"/>
      <c r="FY14" s="169"/>
      <c r="FZ14" s="169"/>
      <c r="GA14" s="169"/>
      <c r="GB14" s="169"/>
      <c r="GC14" s="169"/>
      <c r="GD14" s="169"/>
      <c r="GE14" s="169"/>
      <c r="GF14" s="169"/>
      <c r="GG14" s="169"/>
      <c r="GH14" s="169"/>
      <c r="GI14" s="169"/>
      <c r="GJ14" s="169"/>
      <c r="GK14" s="169"/>
      <c r="GL14" s="169"/>
      <c r="GM14" s="169"/>
      <c r="GN14" s="169"/>
      <c r="GO14" s="169"/>
      <c r="GP14" s="169"/>
      <c r="GQ14" s="169"/>
      <c r="GR14" s="169"/>
      <c r="GS14" s="169"/>
      <c r="GT14" s="169"/>
      <c r="GU14" s="169"/>
      <c r="GV14" s="169"/>
      <c r="GW14" s="169"/>
      <c r="GX14" s="169"/>
      <c r="GY14" s="169"/>
      <c r="GZ14" s="169"/>
      <c r="HA14" s="169"/>
      <c r="HB14" s="169"/>
      <c r="HC14" s="169"/>
      <c r="HD14" s="169"/>
      <c r="HE14" s="169"/>
      <c r="HF14" s="169"/>
      <c r="HG14" s="169"/>
      <c r="HH14" s="169"/>
      <c r="HI14" s="169"/>
      <c r="HJ14" s="169"/>
      <c r="HK14" s="169"/>
      <c r="HL14" s="169"/>
      <c r="HM14" s="169"/>
      <c r="HN14" s="169"/>
      <c r="HO14" s="169"/>
      <c r="HP14" s="169"/>
      <c r="HQ14" s="169"/>
      <c r="HR14" s="169"/>
      <c r="HS14" s="169"/>
      <c r="HT14" s="169"/>
      <c r="HU14" s="169"/>
      <c r="HV14" s="169"/>
      <c r="HW14" s="169"/>
      <c r="HX14" s="169"/>
      <c r="HY14" s="169"/>
      <c r="HZ14" s="169"/>
      <c r="IA14" s="169"/>
      <c r="IB14" s="169"/>
      <c r="IC14" s="169"/>
      <c r="ID14" s="169"/>
      <c r="IE14" s="169"/>
      <c r="IF14" s="169"/>
      <c r="IG14" s="169"/>
      <c r="IH14" s="169"/>
      <c r="II14" s="169"/>
      <c r="IJ14" s="169"/>
      <c r="IK14" s="169"/>
      <c r="IL14" s="169"/>
      <c r="IM14" s="169"/>
      <c r="IN14" s="169"/>
      <c r="IO14" s="169"/>
      <c r="IP14" s="169"/>
      <c r="IQ14" s="169"/>
      <c r="IR14" s="169"/>
    </row>
    <row r="15" spans="1:252" x14ac:dyDescent="0.25">
      <c r="A15" s="170"/>
      <c r="B15" s="604"/>
      <c r="C15" s="604"/>
      <c r="D15" s="1249"/>
      <c r="E15" s="1249"/>
      <c r="F15" s="173"/>
      <c r="G15" s="173"/>
      <c r="H15" s="173"/>
      <c r="I15" s="479"/>
      <c r="J15" s="169"/>
      <c r="K15" s="169"/>
      <c r="L15" s="169"/>
      <c r="M15" s="169"/>
      <c r="N15" s="169"/>
      <c r="O15" s="169"/>
      <c r="P15" s="169"/>
      <c r="Q15" s="169"/>
      <c r="R15" s="169"/>
      <c r="S15" s="169"/>
      <c r="T15" s="169"/>
      <c r="U15" s="169"/>
      <c r="V15" s="169"/>
      <c r="W15" s="169"/>
      <c r="X15" s="169"/>
      <c r="Y15" s="169"/>
      <c r="Z15" s="169"/>
      <c r="AA15" s="169"/>
      <c r="AB15" s="169"/>
      <c r="AC15" s="169"/>
      <c r="AD15" s="169"/>
      <c r="AE15" s="169"/>
      <c r="AF15" s="169"/>
      <c r="AG15" s="169"/>
      <c r="AH15" s="169"/>
      <c r="AI15" s="169"/>
      <c r="AJ15" s="169"/>
      <c r="AK15" s="169"/>
      <c r="AL15" s="169"/>
      <c r="AM15" s="169"/>
      <c r="AN15" s="169"/>
      <c r="AO15" s="169"/>
      <c r="AP15" s="169"/>
      <c r="AQ15" s="169"/>
      <c r="AR15" s="169"/>
      <c r="AS15" s="169"/>
      <c r="AT15" s="169"/>
      <c r="AU15" s="169"/>
      <c r="AV15" s="169"/>
      <c r="AW15" s="169"/>
      <c r="AX15" s="169"/>
      <c r="AY15" s="169"/>
      <c r="AZ15" s="169"/>
      <c r="BA15" s="169"/>
      <c r="BB15" s="169"/>
      <c r="BC15" s="169"/>
      <c r="BD15" s="169"/>
      <c r="BE15" s="169"/>
      <c r="BF15" s="169"/>
      <c r="BG15" s="169"/>
      <c r="BH15" s="169"/>
      <c r="BI15" s="169"/>
      <c r="BJ15" s="169"/>
      <c r="BK15" s="169"/>
      <c r="BL15" s="169"/>
      <c r="BM15" s="169"/>
      <c r="BN15" s="169"/>
      <c r="BO15" s="169"/>
      <c r="BP15" s="169"/>
      <c r="BQ15" s="169"/>
      <c r="BR15" s="169"/>
      <c r="BS15" s="169"/>
      <c r="BT15" s="169"/>
      <c r="BU15" s="169"/>
      <c r="BV15" s="169"/>
      <c r="BW15" s="169"/>
      <c r="BX15" s="169"/>
      <c r="BY15" s="169"/>
      <c r="BZ15" s="169"/>
      <c r="CA15" s="169"/>
      <c r="CB15" s="169"/>
      <c r="CC15" s="169"/>
      <c r="CD15" s="169"/>
      <c r="CE15" s="169"/>
      <c r="CF15" s="169"/>
      <c r="CG15" s="169"/>
      <c r="CH15" s="169"/>
      <c r="CI15" s="169"/>
      <c r="CJ15" s="169"/>
      <c r="CK15" s="169"/>
      <c r="CL15" s="169"/>
      <c r="CM15" s="169"/>
      <c r="CN15" s="169"/>
      <c r="CO15" s="169"/>
      <c r="CP15" s="169"/>
      <c r="CQ15" s="169"/>
      <c r="CR15" s="169"/>
      <c r="CS15" s="169"/>
      <c r="CT15" s="169"/>
      <c r="CU15" s="169"/>
      <c r="CV15" s="169"/>
      <c r="CW15" s="169"/>
      <c r="CX15" s="169"/>
      <c r="CY15" s="169"/>
      <c r="CZ15" s="169"/>
      <c r="DA15" s="169"/>
      <c r="DB15" s="169"/>
      <c r="DC15" s="169"/>
      <c r="DD15" s="169"/>
      <c r="DE15" s="169"/>
      <c r="DF15" s="169"/>
      <c r="DG15" s="169"/>
      <c r="DH15" s="169"/>
      <c r="DI15" s="169"/>
      <c r="DJ15" s="169"/>
      <c r="DK15" s="169"/>
      <c r="DL15" s="169"/>
      <c r="DM15" s="169"/>
      <c r="DN15" s="169"/>
      <c r="DO15" s="169"/>
      <c r="DP15" s="169"/>
      <c r="DQ15" s="169"/>
      <c r="DR15" s="169"/>
      <c r="DS15" s="169"/>
      <c r="DT15" s="169"/>
      <c r="DU15" s="169"/>
      <c r="DV15" s="169"/>
      <c r="DW15" s="169"/>
      <c r="DX15" s="169"/>
      <c r="DY15" s="169"/>
      <c r="DZ15" s="169"/>
      <c r="EA15" s="169"/>
      <c r="EB15" s="169"/>
      <c r="EC15" s="169"/>
      <c r="ED15" s="169"/>
      <c r="EE15" s="169"/>
      <c r="EF15" s="169"/>
      <c r="EG15" s="169"/>
      <c r="EH15" s="169"/>
      <c r="EI15" s="169"/>
      <c r="EJ15" s="169"/>
      <c r="EK15" s="169"/>
      <c r="EL15" s="169"/>
      <c r="EM15" s="169"/>
      <c r="EN15" s="169"/>
      <c r="EO15" s="169"/>
      <c r="EP15" s="169"/>
      <c r="EQ15" s="169"/>
      <c r="ER15" s="169"/>
      <c r="ES15" s="169"/>
      <c r="ET15" s="169"/>
      <c r="EU15" s="169"/>
      <c r="EV15" s="169"/>
      <c r="EW15" s="169"/>
      <c r="EX15" s="169"/>
      <c r="EY15" s="169"/>
      <c r="EZ15" s="169"/>
      <c r="FA15" s="169"/>
      <c r="FB15" s="169"/>
      <c r="FC15" s="169"/>
      <c r="FD15" s="169"/>
      <c r="FE15" s="169"/>
      <c r="FF15" s="169"/>
      <c r="FG15" s="169"/>
      <c r="FH15" s="169"/>
      <c r="FI15" s="169"/>
      <c r="FJ15" s="169"/>
      <c r="FK15" s="169"/>
      <c r="FL15" s="169"/>
      <c r="FM15" s="169"/>
      <c r="FN15" s="169"/>
      <c r="FO15" s="169"/>
      <c r="FP15" s="169"/>
      <c r="FQ15" s="169"/>
      <c r="FR15" s="169"/>
      <c r="FS15" s="169"/>
      <c r="FT15" s="169"/>
      <c r="FU15" s="169"/>
      <c r="FV15" s="169"/>
      <c r="FW15" s="169"/>
      <c r="FX15" s="169"/>
      <c r="FY15" s="169"/>
      <c r="FZ15" s="169"/>
      <c r="GA15" s="169"/>
      <c r="GB15" s="169"/>
      <c r="GC15" s="169"/>
      <c r="GD15" s="169"/>
      <c r="GE15" s="169"/>
      <c r="GF15" s="169"/>
      <c r="GG15" s="169"/>
      <c r="GH15" s="169"/>
      <c r="GI15" s="169"/>
      <c r="GJ15" s="169"/>
      <c r="GK15" s="169"/>
      <c r="GL15" s="169"/>
      <c r="GM15" s="169"/>
      <c r="GN15" s="169"/>
      <c r="GO15" s="169"/>
      <c r="GP15" s="169"/>
      <c r="GQ15" s="169"/>
      <c r="GR15" s="169"/>
      <c r="GS15" s="169"/>
      <c r="GT15" s="169"/>
      <c r="GU15" s="169"/>
      <c r="GV15" s="169"/>
      <c r="GW15" s="169"/>
      <c r="GX15" s="169"/>
      <c r="GY15" s="169"/>
      <c r="GZ15" s="169"/>
      <c r="HA15" s="169"/>
      <c r="HB15" s="169"/>
      <c r="HC15" s="169"/>
      <c r="HD15" s="169"/>
      <c r="HE15" s="169"/>
      <c r="HF15" s="169"/>
      <c r="HG15" s="169"/>
      <c r="HH15" s="169"/>
      <c r="HI15" s="169"/>
      <c r="HJ15" s="169"/>
      <c r="HK15" s="169"/>
      <c r="HL15" s="169"/>
      <c r="HM15" s="169"/>
      <c r="HN15" s="169"/>
      <c r="HO15" s="169"/>
      <c r="HP15" s="169"/>
      <c r="HQ15" s="169"/>
      <c r="HR15" s="169"/>
      <c r="HS15" s="169"/>
      <c r="HT15" s="169"/>
      <c r="HU15" s="169"/>
      <c r="HV15" s="169"/>
      <c r="HW15" s="169"/>
      <c r="HX15" s="169"/>
      <c r="HY15" s="169"/>
      <c r="HZ15" s="169"/>
      <c r="IA15" s="169"/>
      <c r="IB15" s="169"/>
      <c r="IC15" s="169"/>
      <c r="ID15" s="169"/>
      <c r="IE15" s="169"/>
      <c r="IF15" s="169"/>
      <c r="IG15" s="169"/>
      <c r="IH15" s="169"/>
      <c r="II15" s="169"/>
      <c r="IJ15" s="169"/>
      <c r="IK15" s="169"/>
      <c r="IL15" s="169"/>
      <c r="IM15" s="169"/>
      <c r="IN15" s="169"/>
      <c r="IO15" s="169"/>
      <c r="IP15" s="169"/>
      <c r="IQ15" s="169"/>
      <c r="IR15" s="169"/>
    </row>
    <row r="16" spans="1:252" x14ac:dyDescent="0.25">
      <c r="A16" s="170"/>
      <c r="B16" s="604"/>
      <c r="C16" s="604"/>
      <c r="D16" s="172"/>
      <c r="E16" s="172"/>
      <c r="F16" s="173"/>
      <c r="G16" s="173"/>
      <c r="H16" s="173"/>
      <c r="I16" s="479"/>
      <c r="J16" s="169"/>
      <c r="K16" s="169"/>
      <c r="L16" s="169"/>
      <c r="M16" s="169"/>
      <c r="N16" s="169"/>
      <c r="O16" s="169"/>
      <c r="P16" s="169"/>
      <c r="Q16" s="169"/>
      <c r="R16" s="169"/>
      <c r="S16" s="169"/>
      <c r="T16" s="169"/>
      <c r="U16" s="169"/>
      <c r="V16" s="169"/>
      <c r="W16" s="169"/>
      <c r="X16" s="169"/>
      <c r="Y16" s="169"/>
      <c r="Z16" s="169"/>
      <c r="AA16" s="169"/>
      <c r="AB16" s="169"/>
      <c r="AC16" s="169"/>
      <c r="AD16" s="169"/>
      <c r="AE16" s="169"/>
      <c r="AF16" s="169"/>
      <c r="AG16" s="169"/>
      <c r="AH16" s="169"/>
      <c r="AI16" s="169"/>
      <c r="AJ16" s="169"/>
      <c r="AK16" s="169"/>
      <c r="AL16" s="169"/>
      <c r="AM16" s="169"/>
      <c r="AN16" s="169"/>
      <c r="AO16" s="169"/>
      <c r="AP16" s="169"/>
      <c r="AQ16" s="169"/>
      <c r="AR16" s="169"/>
      <c r="AS16" s="169"/>
      <c r="AT16" s="169"/>
      <c r="AU16" s="169"/>
      <c r="AV16" s="169"/>
      <c r="AW16" s="169"/>
      <c r="AX16" s="169"/>
      <c r="AY16" s="169"/>
      <c r="AZ16" s="169"/>
      <c r="BA16" s="169"/>
      <c r="BB16" s="169"/>
      <c r="BC16" s="169"/>
      <c r="BD16" s="169"/>
      <c r="BE16" s="169"/>
      <c r="BF16" s="169"/>
      <c r="BG16" s="169"/>
      <c r="BH16" s="169"/>
      <c r="BI16" s="169"/>
      <c r="BJ16" s="169"/>
      <c r="BK16" s="169"/>
      <c r="BL16" s="169"/>
      <c r="BM16" s="169"/>
      <c r="BN16" s="169"/>
      <c r="BO16" s="169"/>
      <c r="BP16" s="169"/>
      <c r="BQ16" s="169"/>
      <c r="BR16" s="169"/>
      <c r="BS16" s="169"/>
      <c r="BT16" s="169"/>
      <c r="BU16" s="169"/>
      <c r="BV16" s="169"/>
      <c r="BW16" s="169"/>
      <c r="BX16" s="169"/>
      <c r="BY16" s="169"/>
      <c r="BZ16" s="169"/>
      <c r="CA16" s="169"/>
      <c r="CB16" s="169"/>
      <c r="CC16" s="169"/>
      <c r="CD16" s="169"/>
      <c r="CE16" s="169"/>
      <c r="CF16" s="169"/>
      <c r="CG16" s="169"/>
      <c r="CH16" s="169"/>
      <c r="CI16" s="169"/>
      <c r="CJ16" s="169"/>
      <c r="CK16" s="169"/>
      <c r="CL16" s="169"/>
      <c r="CM16" s="169"/>
      <c r="CN16" s="169"/>
      <c r="CO16" s="169"/>
      <c r="CP16" s="169"/>
      <c r="CQ16" s="169"/>
      <c r="CR16" s="169"/>
      <c r="CS16" s="169"/>
      <c r="CT16" s="169"/>
      <c r="CU16" s="169"/>
      <c r="CV16" s="169"/>
      <c r="CW16" s="169"/>
      <c r="CX16" s="169"/>
      <c r="CY16" s="169"/>
      <c r="CZ16" s="169"/>
      <c r="DA16" s="169"/>
      <c r="DB16" s="169"/>
      <c r="DC16" s="169"/>
      <c r="DD16" s="169"/>
      <c r="DE16" s="169"/>
      <c r="DF16" s="169"/>
      <c r="DG16" s="169"/>
      <c r="DH16" s="169"/>
      <c r="DI16" s="169"/>
      <c r="DJ16" s="169"/>
      <c r="DK16" s="169"/>
      <c r="DL16" s="169"/>
      <c r="DM16" s="169"/>
      <c r="DN16" s="169"/>
      <c r="DO16" s="169"/>
      <c r="DP16" s="169"/>
      <c r="DQ16" s="169"/>
      <c r="DR16" s="169"/>
      <c r="DS16" s="169"/>
      <c r="DT16" s="169"/>
      <c r="DU16" s="169"/>
      <c r="DV16" s="169"/>
      <c r="DW16" s="169"/>
      <c r="DX16" s="169"/>
      <c r="DY16" s="169"/>
      <c r="DZ16" s="169"/>
      <c r="EA16" s="169"/>
      <c r="EB16" s="169"/>
      <c r="EC16" s="169"/>
      <c r="ED16" s="169"/>
      <c r="EE16" s="169"/>
      <c r="EF16" s="169"/>
      <c r="EG16" s="169"/>
      <c r="EH16" s="169"/>
      <c r="EI16" s="169"/>
      <c r="EJ16" s="169"/>
      <c r="EK16" s="169"/>
      <c r="EL16" s="169"/>
      <c r="EM16" s="169"/>
      <c r="EN16" s="169"/>
      <c r="EO16" s="169"/>
      <c r="EP16" s="169"/>
      <c r="EQ16" s="169"/>
      <c r="ER16" s="169"/>
      <c r="ES16" s="169"/>
      <c r="ET16" s="169"/>
      <c r="EU16" s="169"/>
      <c r="EV16" s="169"/>
      <c r="EW16" s="169"/>
      <c r="EX16" s="169"/>
      <c r="EY16" s="169"/>
      <c r="EZ16" s="169"/>
      <c r="FA16" s="169"/>
      <c r="FB16" s="169"/>
      <c r="FC16" s="169"/>
      <c r="FD16" s="169"/>
      <c r="FE16" s="169"/>
      <c r="FF16" s="169"/>
      <c r="FG16" s="169"/>
      <c r="FH16" s="169"/>
      <c r="FI16" s="169"/>
      <c r="FJ16" s="169"/>
      <c r="FK16" s="169"/>
      <c r="FL16" s="169"/>
      <c r="FM16" s="169"/>
      <c r="FN16" s="169"/>
      <c r="FO16" s="169"/>
      <c r="FP16" s="169"/>
      <c r="FQ16" s="169"/>
      <c r="FR16" s="169"/>
      <c r="FS16" s="169"/>
      <c r="FT16" s="169"/>
      <c r="FU16" s="169"/>
      <c r="FV16" s="169"/>
      <c r="FW16" s="169"/>
      <c r="FX16" s="169"/>
      <c r="FY16" s="169"/>
      <c r="FZ16" s="169"/>
      <c r="GA16" s="169"/>
      <c r="GB16" s="169"/>
      <c r="GC16" s="169"/>
      <c r="GD16" s="169"/>
      <c r="GE16" s="169"/>
      <c r="GF16" s="169"/>
      <c r="GG16" s="169"/>
      <c r="GH16" s="169"/>
      <c r="GI16" s="169"/>
      <c r="GJ16" s="169"/>
      <c r="GK16" s="169"/>
      <c r="GL16" s="169"/>
      <c r="GM16" s="169"/>
      <c r="GN16" s="169"/>
      <c r="GO16" s="169"/>
      <c r="GP16" s="169"/>
      <c r="GQ16" s="169"/>
      <c r="GR16" s="169"/>
      <c r="GS16" s="169"/>
      <c r="GT16" s="169"/>
      <c r="GU16" s="169"/>
      <c r="GV16" s="169"/>
      <c r="GW16" s="169"/>
      <c r="GX16" s="169"/>
      <c r="GY16" s="169"/>
      <c r="GZ16" s="169"/>
      <c r="HA16" s="169"/>
      <c r="HB16" s="169"/>
      <c r="HC16" s="169"/>
      <c r="HD16" s="169"/>
      <c r="HE16" s="169"/>
      <c r="HF16" s="169"/>
      <c r="HG16" s="169"/>
      <c r="HH16" s="169"/>
      <c r="HI16" s="169"/>
      <c r="HJ16" s="169"/>
      <c r="HK16" s="169"/>
      <c r="HL16" s="169"/>
      <c r="HM16" s="169"/>
      <c r="HN16" s="169"/>
      <c r="HO16" s="169"/>
      <c r="HP16" s="169"/>
      <c r="HQ16" s="169"/>
      <c r="HR16" s="169"/>
      <c r="HS16" s="169"/>
      <c r="HT16" s="169"/>
      <c r="HU16" s="169"/>
      <c r="HV16" s="169"/>
      <c r="HW16" s="169"/>
      <c r="HX16" s="169"/>
      <c r="HY16" s="169"/>
      <c r="HZ16" s="169"/>
      <c r="IA16" s="169"/>
      <c r="IB16" s="169"/>
      <c r="IC16" s="169"/>
      <c r="ID16" s="169"/>
      <c r="IE16" s="169"/>
      <c r="IF16" s="169"/>
      <c r="IG16" s="169"/>
      <c r="IH16" s="169"/>
      <c r="II16" s="169"/>
      <c r="IJ16" s="169"/>
      <c r="IK16" s="169"/>
      <c r="IL16" s="169"/>
      <c r="IM16" s="169"/>
      <c r="IN16" s="169"/>
      <c r="IO16" s="169"/>
      <c r="IP16" s="169"/>
      <c r="IQ16" s="169"/>
      <c r="IR16" s="169"/>
    </row>
    <row r="17" spans="1:252" ht="13.8" thickBot="1" x14ac:dyDescent="0.3">
      <c r="A17" s="170"/>
      <c r="B17" s="604"/>
      <c r="C17" s="604"/>
      <c r="D17" s="618"/>
      <c r="E17" s="618"/>
      <c r="F17" s="173"/>
      <c r="G17" s="173"/>
      <c r="H17" s="173"/>
      <c r="I17" s="479"/>
      <c r="J17" s="169"/>
      <c r="K17" s="169"/>
      <c r="L17" s="169"/>
      <c r="M17" s="169"/>
      <c r="N17" s="169"/>
      <c r="O17" s="169"/>
      <c r="P17" s="169"/>
      <c r="Q17" s="169"/>
      <c r="R17" s="169"/>
      <c r="S17" s="169"/>
      <c r="T17" s="169"/>
      <c r="U17" s="169"/>
      <c r="V17" s="169"/>
      <c r="W17" s="169"/>
      <c r="X17" s="169"/>
      <c r="Y17" s="169"/>
      <c r="Z17" s="169"/>
      <c r="AA17" s="169"/>
      <c r="AB17" s="169"/>
      <c r="AC17" s="169"/>
      <c r="AD17" s="169"/>
      <c r="AE17" s="169"/>
      <c r="AF17" s="169"/>
      <c r="AG17" s="169"/>
      <c r="AH17" s="169"/>
      <c r="AI17" s="169"/>
      <c r="AJ17" s="169"/>
      <c r="AK17" s="169"/>
      <c r="AL17" s="169"/>
      <c r="AM17" s="169"/>
      <c r="AN17" s="169"/>
      <c r="AO17" s="169"/>
      <c r="AP17" s="169"/>
      <c r="AQ17" s="169"/>
      <c r="AR17" s="169"/>
      <c r="AS17" s="169"/>
      <c r="AT17" s="169"/>
      <c r="AU17" s="169"/>
      <c r="AV17" s="169"/>
      <c r="AW17" s="169"/>
      <c r="AX17" s="169"/>
      <c r="AY17" s="169"/>
      <c r="AZ17" s="169"/>
      <c r="BA17" s="169"/>
      <c r="BB17" s="169"/>
      <c r="BC17" s="169"/>
      <c r="BD17" s="169"/>
      <c r="BE17" s="169"/>
      <c r="BF17" s="169"/>
      <c r="BG17" s="169"/>
      <c r="BH17" s="169"/>
      <c r="BI17" s="169"/>
      <c r="BJ17" s="169"/>
      <c r="BK17" s="169"/>
      <c r="BL17" s="169"/>
      <c r="BM17" s="169"/>
      <c r="BN17" s="169"/>
      <c r="BO17" s="169"/>
      <c r="BP17" s="169"/>
      <c r="BQ17" s="169"/>
      <c r="BR17" s="169"/>
      <c r="BS17" s="169"/>
      <c r="BT17" s="169"/>
      <c r="BU17" s="169"/>
      <c r="BV17" s="169"/>
      <c r="BW17" s="169"/>
      <c r="BX17" s="169"/>
      <c r="BY17" s="169"/>
      <c r="BZ17" s="169"/>
      <c r="CA17" s="169"/>
      <c r="CB17" s="169"/>
      <c r="CC17" s="169"/>
      <c r="CD17" s="169"/>
      <c r="CE17" s="169"/>
      <c r="CF17" s="169"/>
      <c r="CG17" s="169"/>
      <c r="CH17" s="169"/>
      <c r="CI17" s="169"/>
      <c r="CJ17" s="169"/>
      <c r="CK17" s="169"/>
      <c r="CL17" s="169"/>
      <c r="CM17" s="169"/>
      <c r="CN17" s="169"/>
      <c r="CO17" s="169"/>
      <c r="CP17" s="169"/>
      <c r="CQ17" s="169"/>
      <c r="CR17" s="169"/>
      <c r="CS17" s="169"/>
      <c r="CT17" s="169"/>
      <c r="CU17" s="169"/>
      <c r="CV17" s="169"/>
      <c r="CW17" s="169"/>
      <c r="CX17" s="169"/>
      <c r="CY17" s="169"/>
      <c r="CZ17" s="169"/>
      <c r="DA17" s="169"/>
      <c r="DB17" s="169"/>
      <c r="DC17" s="169"/>
      <c r="DD17" s="169"/>
      <c r="DE17" s="169"/>
      <c r="DF17" s="169"/>
      <c r="DG17" s="169"/>
      <c r="DH17" s="169"/>
      <c r="DI17" s="169"/>
      <c r="DJ17" s="169"/>
      <c r="DK17" s="169"/>
      <c r="DL17" s="169"/>
      <c r="DM17" s="169"/>
      <c r="DN17" s="169"/>
      <c r="DO17" s="169"/>
      <c r="DP17" s="169"/>
      <c r="DQ17" s="169"/>
      <c r="DR17" s="169"/>
      <c r="DS17" s="169"/>
      <c r="DT17" s="169"/>
      <c r="DU17" s="169"/>
      <c r="DV17" s="169"/>
      <c r="DW17" s="169"/>
      <c r="DX17" s="169"/>
      <c r="DY17" s="169"/>
      <c r="DZ17" s="169"/>
      <c r="EA17" s="169"/>
      <c r="EB17" s="169"/>
      <c r="EC17" s="169"/>
      <c r="ED17" s="169"/>
      <c r="EE17" s="169"/>
      <c r="EF17" s="169"/>
      <c r="EG17" s="169"/>
      <c r="EH17" s="169"/>
      <c r="EI17" s="169"/>
      <c r="EJ17" s="169"/>
      <c r="EK17" s="169"/>
      <c r="EL17" s="169"/>
      <c r="EM17" s="169"/>
      <c r="EN17" s="169"/>
      <c r="EO17" s="169"/>
      <c r="EP17" s="169"/>
      <c r="EQ17" s="169"/>
      <c r="ER17" s="169"/>
      <c r="ES17" s="169"/>
      <c r="ET17" s="169"/>
      <c r="EU17" s="169"/>
      <c r="EV17" s="169"/>
      <c r="EW17" s="169"/>
      <c r="EX17" s="169"/>
      <c r="EY17" s="169"/>
      <c r="EZ17" s="169"/>
      <c r="FA17" s="169"/>
      <c r="FB17" s="169"/>
      <c r="FC17" s="169"/>
      <c r="FD17" s="169"/>
      <c r="FE17" s="169"/>
      <c r="FF17" s="169"/>
      <c r="FG17" s="169"/>
      <c r="FH17" s="169"/>
      <c r="FI17" s="169"/>
      <c r="FJ17" s="169"/>
      <c r="FK17" s="169"/>
      <c r="FL17" s="169"/>
      <c r="FM17" s="169"/>
      <c r="FN17" s="169"/>
      <c r="FO17" s="169"/>
      <c r="FP17" s="169"/>
      <c r="FQ17" s="169"/>
      <c r="FR17" s="169"/>
      <c r="FS17" s="169"/>
      <c r="FT17" s="169"/>
      <c r="FU17" s="169"/>
      <c r="FV17" s="169"/>
      <c r="FW17" s="169"/>
      <c r="FX17" s="169"/>
      <c r="FY17" s="169"/>
      <c r="FZ17" s="169"/>
      <c r="GA17" s="169"/>
      <c r="GB17" s="169"/>
      <c r="GC17" s="169"/>
      <c r="GD17" s="169"/>
      <c r="GE17" s="169"/>
      <c r="GF17" s="169"/>
      <c r="GG17" s="169"/>
      <c r="GH17" s="169"/>
      <c r="GI17" s="169"/>
      <c r="GJ17" s="169"/>
      <c r="GK17" s="169"/>
      <c r="GL17" s="169"/>
      <c r="GM17" s="169"/>
      <c r="GN17" s="169"/>
      <c r="GO17" s="169"/>
      <c r="GP17" s="169"/>
      <c r="GQ17" s="169"/>
      <c r="GR17" s="169"/>
      <c r="GS17" s="169"/>
      <c r="GT17" s="169"/>
      <c r="GU17" s="169"/>
      <c r="GV17" s="169"/>
      <c r="GW17" s="169"/>
      <c r="GX17" s="169"/>
      <c r="GY17" s="169"/>
      <c r="GZ17" s="169"/>
      <c r="HA17" s="169"/>
      <c r="HB17" s="169"/>
      <c r="HC17" s="169"/>
      <c r="HD17" s="169"/>
      <c r="HE17" s="169"/>
      <c r="HF17" s="169"/>
      <c r="HG17" s="169"/>
      <c r="HH17" s="169"/>
      <c r="HI17" s="169"/>
      <c r="HJ17" s="169"/>
      <c r="HK17" s="169"/>
      <c r="HL17" s="169"/>
      <c r="HM17" s="169"/>
      <c r="HN17" s="169"/>
      <c r="HO17" s="169"/>
      <c r="HP17" s="169"/>
      <c r="HQ17" s="169"/>
      <c r="HR17" s="169"/>
      <c r="HS17" s="169"/>
      <c r="HT17" s="169"/>
      <c r="HU17" s="169"/>
      <c r="HV17" s="169"/>
      <c r="HW17" s="169"/>
      <c r="HX17" s="169"/>
      <c r="HY17" s="169"/>
      <c r="HZ17" s="169"/>
      <c r="IA17" s="169"/>
      <c r="IB17" s="169"/>
      <c r="IC17" s="169"/>
      <c r="ID17" s="169"/>
      <c r="IE17" s="169"/>
      <c r="IF17" s="169"/>
      <c r="IG17" s="169"/>
      <c r="IH17" s="169"/>
      <c r="II17" s="169"/>
      <c r="IJ17" s="169"/>
      <c r="IK17" s="169"/>
      <c r="IL17" s="169"/>
      <c r="IM17" s="169"/>
      <c r="IN17" s="169"/>
      <c r="IO17" s="169"/>
      <c r="IP17" s="169"/>
      <c r="IQ17" s="169"/>
      <c r="IR17" s="169"/>
    </row>
    <row r="18" spans="1:252" x14ac:dyDescent="0.25">
      <c r="A18" s="2295" t="s">
        <v>1400</v>
      </c>
      <c r="B18" s="2301"/>
      <c r="C18" s="2301"/>
      <c r="D18" s="1275"/>
      <c r="E18" s="312"/>
      <c r="F18" s="2302"/>
      <c r="G18" s="2291"/>
      <c r="H18" s="1430" t="s">
        <v>1474</v>
      </c>
      <c r="I18" s="1276" t="s">
        <v>42</v>
      </c>
      <c r="J18" s="169"/>
      <c r="K18" s="169"/>
      <c r="L18" s="169"/>
      <c r="M18" s="169"/>
      <c r="N18" s="169"/>
      <c r="O18" s="169"/>
      <c r="P18" s="169"/>
      <c r="Q18" s="169"/>
      <c r="R18" s="169"/>
      <c r="S18" s="169"/>
      <c r="T18" s="169"/>
      <c r="U18" s="169"/>
      <c r="V18" s="169"/>
      <c r="W18" s="169"/>
      <c r="X18" s="169"/>
      <c r="Y18" s="169"/>
      <c r="Z18" s="169"/>
      <c r="AA18" s="169"/>
      <c r="AB18" s="169"/>
      <c r="AC18" s="169"/>
      <c r="AD18" s="169"/>
      <c r="AE18" s="169"/>
      <c r="AF18" s="169"/>
      <c r="AG18" s="169"/>
      <c r="AH18" s="169"/>
      <c r="AI18" s="169"/>
      <c r="AJ18" s="169"/>
      <c r="AK18" s="169"/>
      <c r="AL18" s="169"/>
      <c r="AM18" s="169"/>
      <c r="AN18" s="169"/>
      <c r="AO18" s="169"/>
      <c r="AP18" s="169"/>
      <c r="AQ18" s="169"/>
      <c r="AR18" s="169"/>
      <c r="AS18" s="169"/>
      <c r="AT18" s="169"/>
      <c r="AU18" s="169"/>
      <c r="AV18" s="169"/>
      <c r="AW18" s="169"/>
      <c r="AX18" s="169"/>
      <c r="AY18" s="169"/>
      <c r="AZ18" s="169"/>
      <c r="BA18" s="169"/>
      <c r="BB18" s="169"/>
      <c r="BC18" s="169"/>
      <c r="BD18" s="169"/>
      <c r="BE18" s="169"/>
      <c r="BF18" s="169"/>
      <c r="BG18" s="169"/>
      <c r="BH18" s="169"/>
      <c r="BI18" s="169"/>
      <c r="BJ18" s="169"/>
      <c r="BK18" s="169"/>
      <c r="BL18" s="169"/>
      <c r="BM18" s="169"/>
      <c r="BN18" s="169"/>
      <c r="BO18" s="169"/>
      <c r="BP18" s="169"/>
      <c r="BQ18" s="169"/>
      <c r="BR18" s="169"/>
      <c r="BS18" s="169"/>
      <c r="BT18" s="169"/>
      <c r="BU18" s="169"/>
      <c r="BV18" s="169"/>
      <c r="BW18" s="169"/>
      <c r="BX18" s="169"/>
      <c r="BY18" s="169"/>
      <c r="BZ18" s="169"/>
      <c r="CA18" s="169"/>
      <c r="CB18" s="169"/>
      <c r="CC18" s="169"/>
      <c r="CD18" s="169"/>
      <c r="CE18" s="169"/>
      <c r="CF18" s="169"/>
      <c r="CG18" s="169"/>
      <c r="CH18" s="169"/>
      <c r="CI18" s="169"/>
      <c r="CJ18" s="169"/>
      <c r="CK18" s="169"/>
      <c r="CL18" s="169"/>
      <c r="CM18" s="169"/>
      <c r="CN18" s="169"/>
      <c r="CO18" s="169"/>
      <c r="CP18" s="169"/>
      <c r="CQ18" s="169"/>
      <c r="CR18" s="169"/>
      <c r="CS18" s="169"/>
      <c r="CT18" s="169"/>
      <c r="CU18" s="169"/>
      <c r="CV18" s="169"/>
      <c r="CW18" s="169"/>
      <c r="CX18" s="169"/>
      <c r="CY18" s="169"/>
      <c r="CZ18" s="169"/>
      <c r="DA18" s="169"/>
      <c r="DB18" s="169"/>
      <c r="DC18" s="169"/>
      <c r="DD18" s="169"/>
      <c r="DE18" s="169"/>
      <c r="DF18" s="169"/>
      <c r="DG18" s="169"/>
      <c r="DH18" s="169"/>
      <c r="DI18" s="169"/>
      <c r="DJ18" s="169"/>
      <c r="DK18" s="169"/>
      <c r="DL18" s="169"/>
      <c r="DM18" s="169"/>
      <c r="DN18" s="169"/>
      <c r="DO18" s="169"/>
      <c r="DP18" s="169"/>
      <c r="DQ18" s="169"/>
      <c r="DR18" s="169"/>
      <c r="DS18" s="169"/>
      <c r="DT18" s="169"/>
      <c r="DU18" s="169"/>
      <c r="DV18" s="169"/>
      <c r="DW18" s="169"/>
      <c r="DX18" s="169"/>
      <c r="DY18" s="169"/>
      <c r="DZ18" s="169"/>
      <c r="EA18" s="169"/>
      <c r="EB18" s="169"/>
      <c r="EC18" s="169"/>
      <c r="ED18" s="169"/>
      <c r="EE18" s="169"/>
      <c r="EF18" s="169"/>
      <c r="EG18" s="169"/>
      <c r="EH18" s="169"/>
      <c r="EI18" s="169"/>
      <c r="EJ18" s="169"/>
      <c r="EK18" s="169"/>
      <c r="EL18" s="169"/>
      <c r="EM18" s="169"/>
      <c r="EN18" s="169"/>
      <c r="EO18" s="169"/>
      <c r="EP18" s="169"/>
      <c r="EQ18" s="169"/>
      <c r="ER18" s="169"/>
      <c r="ES18" s="169"/>
      <c r="ET18" s="169"/>
      <c r="EU18" s="169"/>
      <c r="EV18" s="169"/>
      <c r="EW18" s="169"/>
      <c r="EX18" s="169"/>
      <c r="EY18" s="169"/>
      <c r="EZ18" s="169"/>
      <c r="FA18" s="169"/>
      <c r="FB18" s="169"/>
      <c r="FC18" s="169"/>
      <c r="FD18" s="169"/>
      <c r="FE18" s="169"/>
      <c r="FF18" s="169"/>
      <c r="FG18" s="169"/>
      <c r="FH18" s="169"/>
      <c r="FI18" s="169"/>
      <c r="FJ18" s="169"/>
      <c r="FK18" s="169"/>
      <c r="FL18" s="169"/>
      <c r="FM18" s="169"/>
      <c r="FN18" s="169"/>
      <c r="FO18" s="169"/>
      <c r="FP18" s="169"/>
      <c r="FQ18" s="169"/>
      <c r="FR18" s="169"/>
      <c r="FS18" s="169"/>
      <c r="FT18" s="169"/>
      <c r="FU18" s="169"/>
      <c r="FV18" s="169"/>
      <c r="FW18" s="169"/>
      <c r="FX18" s="169"/>
      <c r="FY18" s="169"/>
      <c r="FZ18" s="169"/>
      <c r="GA18" s="169"/>
      <c r="GB18" s="169"/>
      <c r="GC18" s="169"/>
      <c r="GD18" s="169"/>
      <c r="GE18" s="169"/>
      <c r="GF18" s="169"/>
      <c r="GG18" s="169"/>
      <c r="GH18" s="169"/>
      <c r="GI18" s="169"/>
      <c r="GJ18" s="169"/>
      <c r="GK18" s="169"/>
      <c r="GL18" s="169"/>
      <c r="GM18" s="169"/>
      <c r="GN18" s="169"/>
      <c r="GO18" s="169"/>
      <c r="GP18" s="169"/>
      <c r="GQ18" s="169"/>
      <c r="GR18" s="169"/>
      <c r="GS18" s="169"/>
      <c r="GT18" s="169"/>
      <c r="GU18" s="169"/>
      <c r="GV18" s="169"/>
      <c r="GW18" s="169"/>
      <c r="GX18" s="169"/>
      <c r="GY18" s="169"/>
      <c r="GZ18" s="169"/>
      <c r="HA18" s="169"/>
      <c r="HB18" s="169"/>
      <c r="HC18" s="169"/>
      <c r="HD18" s="169"/>
      <c r="HE18" s="169"/>
      <c r="HF18" s="169"/>
      <c r="HG18" s="169"/>
      <c r="HH18" s="169"/>
      <c r="HI18" s="169"/>
      <c r="HJ18" s="169"/>
      <c r="HK18" s="169"/>
      <c r="HL18" s="169"/>
      <c r="HM18" s="169"/>
      <c r="HN18" s="169"/>
      <c r="HO18" s="169"/>
      <c r="HP18" s="169"/>
      <c r="HQ18" s="169"/>
      <c r="HR18" s="169"/>
      <c r="HS18" s="169"/>
      <c r="HT18" s="169"/>
      <c r="HU18" s="169"/>
      <c r="HV18" s="169"/>
      <c r="HW18" s="169"/>
      <c r="HX18" s="169"/>
      <c r="HY18" s="169"/>
      <c r="HZ18" s="169"/>
      <c r="IA18" s="169"/>
      <c r="IB18" s="169"/>
      <c r="IC18" s="169"/>
      <c r="ID18" s="169"/>
      <c r="IE18" s="169"/>
      <c r="IF18" s="169"/>
      <c r="IG18" s="169"/>
      <c r="IH18" s="169"/>
      <c r="II18" s="169"/>
      <c r="IJ18" s="169"/>
      <c r="IK18" s="169"/>
      <c r="IL18" s="169"/>
      <c r="IM18" s="169"/>
      <c r="IN18" s="169"/>
      <c r="IO18" s="169"/>
      <c r="IP18" s="169"/>
      <c r="IQ18" s="169"/>
      <c r="IR18" s="169"/>
    </row>
    <row r="19" spans="1:252" x14ac:dyDescent="0.25">
      <c r="A19" s="314"/>
      <c r="B19" s="1359"/>
      <c r="C19" s="1359" t="s">
        <v>55</v>
      </c>
      <c r="D19" s="1651" t="s">
        <v>55</v>
      </c>
      <c r="E19" s="316" t="s">
        <v>55</v>
      </c>
      <c r="F19" s="1419">
        <v>44621</v>
      </c>
      <c r="G19" s="1421"/>
      <c r="H19" s="1422" t="s">
        <v>147</v>
      </c>
      <c r="I19" s="1277"/>
      <c r="J19" s="169"/>
      <c r="K19" s="169"/>
      <c r="L19" s="628"/>
      <c r="M19" s="169"/>
      <c r="N19" s="169"/>
      <c r="O19" s="169"/>
      <c r="P19" s="169"/>
      <c r="Q19" s="169"/>
      <c r="R19" s="169"/>
      <c r="S19" s="169"/>
      <c r="T19" s="169"/>
      <c r="U19" s="169"/>
      <c r="V19" s="169"/>
      <c r="W19" s="169"/>
      <c r="X19" s="169"/>
      <c r="Y19" s="169"/>
      <c r="Z19" s="169"/>
      <c r="AA19" s="169"/>
      <c r="AB19" s="169"/>
      <c r="AC19" s="169"/>
      <c r="AD19" s="169"/>
      <c r="AE19" s="169"/>
      <c r="AF19" s="169"/>
      <c r="AG19" s="169"/>
      <c r="AH19" s="169"/>
      <c r="AI19" s="169"/>
      <c r="AJ19" s="169"/>
      <c r="AK19" s="169"/>
      <c r="AL19" s="169"/>
      <c r="AM19" s="169"/>
      <c r="AN19" s="169"/>
      <c r="AO19" s="169"/>
      <c r="AP19" s="169"/>
      <c r="AQ19" s="169"/>
      <c r="AR19" s="169"/>
      <c r="AS19" s="169"/>
      <c r="AT19" s="169"/>
      <c r="AU19" s="169"/>
      <c r="AV19" s="169"/>
      <c r="AW19" s="169"/>
      <c r="AX19" s="169"/>
      <c r="AY19" s="169"/>
      <c r="AZ19" s="169"/>
      <c r="BA19" s="169"/>
      <c r="BB19" s="169"/>
      <c r="BC19" s="169"/>
      <c r="BD19" s="169"/>
      <c r="BE19" s="169"/>
      <c r="BF19" s="169"/>
      <c r="BG19" s="169"/>
      <c r="BH19" s="169"/>
      <c r="BI19" s="169"/>
      <c r="BJ19" s="169"/>
      <c r="BK19" s="169"/>
      <c r="BL19" s="169"/>
      <c r="BM19" s="169"/>
      <c r="BN19" s="169"/>
      <c r="BO19" s="169"/>
      <c r="BP19" s="169"/>
      <c r="BQ19" s="169"/>
      <c r="BR19" s="169"/>
      <c r="BS19" s="169"/>
      <c r="BT19" s="169"/>
      <c r="BU19" s="169"/>
      <c r="BV19" s="169"/>
      <c r="BW19" s="169"/>
      <c r="BX19" s="169"/>
      <c r="BY19" s="169"/>
      <c r="BZ19" s="169"/>
      <c r="CA19" s="169"/>
      <c r="CB19" s="169"/>
      <c r="CC19" s="169"/>
      <c r="CD19" s="169"/>
      <c r="CE19" s="169"/>
      <c r="CF19" s="169"/>
      <c r="CG19" s="169"/>
      <c r="CH19" s="169"/>
      <c r="CI19" s="169"/>
      <c r="CJ19" s="169"/>
      <c r="CK19" s="169"/>
      <c r="CL19" s="169"/>
      <c r="CM19" s="169"/>
      <c r="CN19" s="169"/>
      <c r="CO19" s="169"/>
      <c r="CP19" s="169"/>
      <c r="CQ19" s="169"/>
      <c r="CR19" s="169"/>
      <c r="CS19" s="169"/>
      <c r="CT19" s="169"/>
      <c r="CU19" s="169"/>
      <c r="CV19" s="169"/>
      <c r="CW19" s="169"/>
      <c r="CX19" s="169"/>
      <c r="CY19" s="169"/>
      <c r="CZ19" s="169"/>
      <c r="DA19" s="169"/>
      <c r="DB19" s="169"/>
      <c r="DC19" s="169"/>
      <c r="DD19" s="169"/>
      <c r="DE19" s="169"/>
      <c r="DF19" s="169"/>
      <c r="DG19" s="169"/>
      <c r="DH19" s="169"/>
      <c r="DI19" s="169"/>
      <c r="DJ19" s="169"/>
      <c r="DK19" s="169"/>
      <c r="DL19" s="169"/>
      <c r="DM19" s="169"/>
      <c r="DN19" s="169"/>
      <c r="DO19" s="169"/>
      <c r="DP19" s="169"/>
      <c r="DQ19" s="169"/>
      <c r="DR19" s="169"/>
      <c r="DS19" s="169"/>
      <c r="DT19" s="169"/>
      <c r="DU19" s="169"/>
      <c r="DV19" s="169"/>
      <c r="DW19" s="169"/>
      <c r="DX19" s="169"/>
      <c r="DY19" s="169"/>
      <c r="DZ19" s="169"/>
      <c r="EA19" s="169"/>
      <c r="EB19" s="169"/>
      <c r="EC19" s="169"/>
      <c r="ED19" s="169"/>
      <c r="EE19" s="169"/>
      <c r="EF19" s="169"/>
      <c r="EG19" s="169"/>
      <c r="EH19" s="169"/>
      <c r="EI19" s="169"/>
      <c r="EJ19" s="169"/>
      <c r="EK19" s="169"/>
      <c r="EL19" s="169"/>
      <c r="EM19" s="169"/>
      <c r="EN19" s="169"/>
      <c r="EO19" s="169"/>
      <c r="EP19" s="169"/>
      <c r="EQ19" s="169"/>
      <c r="ER19" s="169"/>
      <c r="ES19" s="169"/>
      <c r="ET19" s="169"/>
      <c r="EU19" s="169"/>
      <c r="EV19" s="169"/>
      <c r="EW19" s="169"/>
      <c r="EX19" s="169"/>
      <c r="EY19" s="169"/>
      <c r="EZ19" s="169"/>
      <c r="FA19" s="169"/>
      <c r="FB19" s="169"/>
      <c r="FC19" s="169"/>
      <c r="FD19" s="169"/>
      <c r="FE19" s="169"/>
      <c r="FF19" s="169"/>
      <c r="FG19" s="169"/>
      <c r="FH19" s="169"/>
      <c r="FI19" s="169"/>
      <c r="FJ19" s="169"/>
      <c r="FK19" s="169"/>
      <c r="FL19" s="169"/>
      <c r="FM19" s="169"/>
      <c r="FN19" s="169"/>
      <c r="FO19" s="169"/>
      <c r="FP19" s="169"/>
      <c r="FQ19" s="169"/>
      <c r="FR19" s="169"/>
      <c r="FS19" s="169"/>
      <c r="FT19" s="169"/>
      <c r="FU19" s="169"/>
      <c r="FV19" s="169"/>
      <c r="FW19" s="169"/>
      <c r="FX19" s="169"/>
      <c r="FY19" s="169"/>
      <c r="FZ19" s="169"/>
      <c r="GA19" s="169"/>
      <c r="GB19" s="169"/>
      <c r="GC19" s="169"/>
      <c r="GD19" s="169"/>
      <c r="GE19" s="169"/>
      <c r="GF19" s="169"/>
      <c r="GG19" s="169"/>
      <c r="GH19" s="169"/>
      <c r="GI19" s="169"/>
      <c r="GJ19" s="169"/>
      <c r="GK19" s="169"/>
      <c r="GL19" s="169"/>
      <c r="GM19" s="169"/>
      <c r="GN19" s="169"/>
      <c r="GO19" s="169"/>
      <c r="GP19" s="169"/>
      <c r="GQ19" s="169"/>
      <c r="GR19" s="169"/>
      <c r="GS19" s="169"/>
      <c r="GT19" s="169"/>
      <c r="GU19" s="169"/>
      <c r="GV19" s="169"/>
      <c r="GW19" s="169"/>
      <c r="GX19" s="169"/>
      <c r="GY19" s="169"/>
      <c r="GZ19" s="169"/>
      <c r="HA19" s="169"/>
      <c r="HB19" s="169"/>
      <c r="HC19" s="169"/>
      <c r="HD19" s="169"/>
      <c r="HE19" s="169"/>
      <c r="HF19" s="169"/>
      <c r="HG19" s="169"/>
      <c r="HH19" s="169"/>
      <c r="HI19" s="169"/>
      <c r="HJ19" s="169"/>
      <c r="HK19" s="169"/>
      <c r="HL19" s="169"/>
      <c r="HM19" s="169"/>
      <c r="HN19" s="169"/>
      <c r="HO19" s="169"/>
      <c r="HP19" s="169"/>
      <c r="HQ19" s="169"/>
      <c r="HR19" s="169"/>
      <c r="HS19" s="169"/>
      <c r="HT19" s="169"/>
      <c r="HU19" s="169"/>
      <c r="HV19" s="169"/>
      <c r="HW19" s="169"/>
      <c r="HX19" s="169"/>
      <c r="HY19" s="169"/>
      <c r="HZ19" s="169"/>
      <c r="IA19" s="169"/>
      <c r="IB19" s="169"/>
      <c r="IC19" s="169"/>
      <c r="ID19" s="169"/>
      <c r="IE19" s="169"/>
      <c r="IF19" s="169"/>
      <c r="IG19" s="169"/>
      <c r="IH19" s="169"/>
      <c r="II19" s="169"/>
      <c r="IJ19" s="169"/>
      <c r="IK19" s="169"/>
      <c r="IL19" s="169"/>
      <c r="IM19" s="169"/>
      <c r="IN19" s="169"/>
      <c r="IO19" s="169"/>
      <c r="IP19" s="169"/>
      <c r="IQ19" s="169"/>
      <c r="IR19" s="169"/>
    </row>
    <row r="20" spans="1:252" ht="13.8" thickBot="1" x14ac:dyDescent="0.3">
      <c r="A20" s="1278" t="s">
        <v>43</v>
      </c>
      <c r="B20" s="322" t="s">
        <v>44</v>
      </c>
      <c r="C20" s="322" t="s">
        <v>60</v>
      </c>
      <c r="D20" s="323" t="s">
        <v>45</v>
      </c>
      <c r="E20" s="321" t="s">
        <v>1473</v>
      </c>
      <c r="F20" s="322" t="s">
        <v>487</v>
      </c>
      <c r="G20" s="322" t="s">
        <v>34</v>
      </c>
      <c r="H20" s="1431" t="s">
        <v>44</v>
      </c>
      <c r="I20" s="1279" t="s">
        <v>36</v>
      </c>
      <c r="J20" s="169"/>
      <c r="K20" s="169"/>
      <c r="L20" s="628"/>
      <c r="M20" s="169"/>
      <c r="N20" s="169"/>
      <c r="O20" s="169"/>
      <c r="P20" s="169"/>
      <c r="Q20" s="169"/>
      <c r="R20" s="169"/>
      <c r="S20" s="169"/>
      <c r="T20" s="169"/>
      <c r="U20" s="169"/>
      <c r="V20" s="169"/>
      <c r="W20" s="169"/>
      <c r="X20" s="169"/>
      <c r="Y20" s="169"/>
      <c r="Z20" s="169"/>
      <c r="AA20" s="169"/>
      <c r="AB20" s="169"/>
      <c r="AC20" s="169"/>
      <c r="AD20" s="169"/>
      <c r="AE20" s="169"/>
      <c r="AF20" s="169"/>
      <c r="AG20" s="169"/>
      <c r="AH20" s="169"/>
      <c r="AI20" s="169"/>
      <c r="AJ20" s="169"/>
      <c r="AK20" s="169"/>
      <c r="AL20" s="169"/>
      <c r="AM20" s="169"/>
      <c r="AN20" s="169"/>
      <c r="AO20" s="169"/>
      <c r="AP20" s="169"/>
      <c r="AQ20" s="169"/>
      <c r="AR20" s="169"/>
      <c r="AS20" s="169"/>
      <c r="AT20" s="169"/>
      <c r="AU20" s="169"/>
      <c r="AV20" s="169"/>
      <c r="AW20" s="169"/>
      <c r="AX20" s="169"/>
      <c r="AY20" s="169"/>
      <c r="AZ20" s="169"/>
      <c r="BA20" s="169"/>
      <c r="BB20" s="169"/>
      <c r="BC20" s="169"/>
      <c r="BD20" s="169"/>
      <c r="BE20" s="169"/>
      <c r="BF20" s="169"/>
      <c r="BG20" s="169"/>
      <c r="BH20" s="169"/>
      <c r="BI20" s="169"/>
      <c r="BJ20" s="169"/>
      <c r="BK20" s="169"/>
      <c r="BL20" s="169"/>
      <c r="BM20" s="169"/>
      <c r="BN20" s="169"/>
      <c r="BO20" s="169"/>
      <c r="BP20" s="169"/>
      <c r="BQ20" s="169"/>
      <c r="BR20" s="169"/>
      <c r="BS20" s="169"/>
      <c r="BT20" s="169"/>
      <c r="BU20" s="169"/>
      <c r="BV20" s="169"/>
      <c r="BW20" s="169"/>
      <c r="BX20" s="169"/>
      <c r="BY20" s="169"/>
      <c r="BZ20" s="169"/>
      <c r="CA20" s="169"/>
      <c r="CB20" s="169"/>
      <c r="CC20" s="169"/>
      <c r="CD20" s="169"/>
      <c r="CE20" s="169"/>
      <c r="CF20" s="169"/>
      <c r="CG20" s="169"/>
      <c r="CH20" s="169"/>
      <c r="CI20" s="169"/>
      <c r="CJ20" s="169"/>
      <c r="CK20" s="169"/>
      <c r="CL20" s="169"/>
      <c r="CM20" s="169"/>
      <c r="CN20" s="169"/>
      <c r="CO20" s="169"/>
      <c r="CP20" s="169"/>
      <c r="CQ20" s="169"/>
      <c r="CR20" s="169"/>
      <c r="CS20" s="169"/>
      <c r="CT20" s="169"/>
      <c r="CU20" s="169"/>
      <c r="CV20" s="169"/>
      <c r="CW20" s="169"/>
      <c r="CX20" s="169"/>
      <c r="CY20" s="169"/>
      <c r="CZ20" s="169"/>
      <c r="DA20" s="169"/>
      <c r="DB20" s="169"/>
      <c r="DC20" s="169"/>
      <c r="DD20" s="169"/>
      <c r="DE20" s="169"/>
      <c r="DF20" s="169"/>
      <c r="DG20" s="169"/>
      <c r="DH20" s="169"/>
      <c r="DI20" s="169"/>
      <c r="DJ20" s="169"/>
      <c r="DK20" s="169"/>
      <c r="DL20" s="169"/>
      <c r="DM20" s="169"/>
      <c r="DN20" s="169"/>
      <c r="DO20" s="169"/>
      <c r="DP20" s="169"/>
      <c r="DQ20" s="169"/>
      <c r="DR20" s="169"/>
      <c r="DS20" s="169"/>
      <c r="DT20" s="169"/>
      <c r="DU20" s="169"/>
      <c r="DV20" s="169"/>
      <c r="DW20" s="169"/>
      <c r="DX20" s="169"/>
      <c r="DY20" s="169"/>
      <c r="DZ20" s="169"/>
      <c r="EA20" s="169"/>
      <c r="EB20" s="169"/>
      <c r="EC20" s="169"/>
      <c r="ED20" s="169"/>
      <c r="EE20" s="169"/>
      <c r="EF20" s="169"/>
      <c r="EG20" s="169"/>
      <c r="EH20" s="169"/>
      <c r="EI20" s="169"/>
      <c r="EJ20" s="169"/>
      <c r="EK20" s="169"/>
      <c r="EL20" s="169"/>
      <c r="EM20" s="169"/>
      <c r="EN20" s="169"/>
      <c r="EO20" s="169"/>
      <c r="EP20" s="169"/>
      <c r="EQ20" s="169"/>
      <c r="ER20" s="169"/>
      <c r="ES20" s="169"/>
      <c r="ET20" s="169"/>
      <c r="EU20" s="169"/>
      <c r="EV20" s="169"/>
      <c r="EW20" s="169"/>
      <c r="EX20" s="169"/>
      <c r="EY20" s="169"/>
      <c r="EZ20" s="169"/>
      <c r="FA20" s="169"/>
      <c r="FB20" s="169"/>
      <c r="FC20" s="169"/>
      <c r="FD20" s="169"/>
      <c r="FE20" s="169"/>
      <c r="FF20" s="169"/>
      <c r="FG20" s="169"/>
      <c r="FH20" s="169"/>
      <c r="FI20" s="169"/>
      <c r="FJ20" s="169"/>
      <c r="FK20" s="169"/>
      <c r="FL20" s="169"/>
      <c r="FM20" s="169"/>
      <c r="FN20" s="169"/>
      <c r="FO20" s="169"/>
      <c r="FP20" s="169"/>
      <c r="FQ20" s="169"/>
      <c r="FR20" s="169"/>
      <c r="FS20" s="169"/>
      <c r="FT20" s="169"/>
      <c r="FU20" s="169"/>
      <c r="FV20" s="169"/>
      <c r="FW20" s="169"/>
      <c r="FX20" s="169"/>
      <c r="FY20" s="169"/>
      <c r="FZ20" s="169"/>
      <c r="GA20" s="169"/>
      <c r="GB20" s="169"/>
      <c r="GC20" s="169"/>
      <c r="GD20" s="169"/>
      <c r="GE20" s="169"/>
      <c r="GF20" s="169"/>
      <c r="GG20" s="169"/>
      <c r="GH20" s="169"/>
      <c r="GI20" s="169"/>
      <c r="GJ20" s="169"/>
      <c r="GK20" s="169"/>
      <c r="GL20" s="169"/>
      <c r="GM20" s="169"/>
      <c r="GN20" s="169"/>
      <c r="GO20" s="169"/>
      <c r="GP20" s="169"/>
      <c r="GQ20" s="169"/>
      <c r="GR20" s="169"/>
      <c r="GS20" s="169"/>
      <c r="GT20" s="169"/>
      <c r="GU20" s="169"/>
      <c r="GV20" s="169"/>
      <c r="GW20" s="169"/>
      <c r="GX20" s="169"/>
      <c r="GY20" s="169"/>
      <c r="GZ20" s="169"/>
      <c r="HA20" s="169"/>
      <c r="HB20" s="169"/>
      <c r="HC20" s="169"/>
      <c r="HD20" s="169"/>
      <c r="HE20" s="169"/>
      <c r="HF20" s="169"/>
      <c r="HG20" s="169"/>
      <c r="HH20" s="169"/>
      <c r="HI20" s="169"/>
      <c r="HJ20" s="169"/>
      <c r="HK20" s="169"/>
      <c r="HL20" s="169"/>
      <c r="HM20" s="169"/>
      <c r="HN20" s="169"/>
      <c r="HO20" s="169"/>
      <c r="HP20" s="169"/>
      <c r="HQ20" s="169"/>
      <c r="HR20" s="169"/>
      <c r="HS20" s="169"/>
      <c r="HT20" s="169"/>
      <c r="HU20" s="169"/>
      <c r="HV20" s="169"/>
      <c r="HW20" s="169"/>
      <c r="HX20" s="169"/>
      <c r="HY20" s="169"/>
      <c r="HZ20" s="169"/>
      <c r="IA20" s="169"/>
      <c r="IB20" s="169"/>
      <c r="IC20" s="169"/>
      <c r="ID20" s="169"/>
      <c r="IE20" s="169"/>
      <c r="IF20" s="169"/>
      <c r="IG20" s="169"/>
      <c r="IH20" s="169"/>
      <c r="II20" s="169"/>
      <c r="IJ20" s="169"/>
      <c r="IK20" s="169"/>
      <c r="IL20" s="169"/>
      <c r="IM20" s="169"/>
      <c r="IN20" s="169"/>
      <c r="IO20" s="169"/>
      <c r="IP20" s="169"/>
      <c r="IQ20" s="169"/>
      <c r="IR20" s="169"/>
    </row>
    <row r="21" spans="1:252" ht="15" x14ac:dyDescent="0.25">
      <c r="A21" s="1423">
        <v>1</v>
      </c>
      <c r="B21" s="1424">
        <v>44681</v>
      </c>
      <c r="C21" s="1425">
        <f>'REINT_REAJ_ (2)'!E18</f>
        <v>1689.85</v>
      </c>
      <c r="D21" s="1426">
        <f>AM_DIRECTO!E19</f>
        <v>1515107.81</v>
      </c>
      <c r="E21" s="1426">
        <f>C21*0.1</f>
        <v>168.98500000000001</v>
      </c>
      <c r="F21" s="1427">
        <f>+'COE_REAJ_OB. PUENTE'!J56</f>
        <v>0.99499999999999988</v>
      </c>
      <c r="G21" s="1428">
        <f>'REINT_REAJ_ (2)'!G18+1</f>
        <v>1.07</v>
      </c>
      <c r="H21" s="1432"/>
      <c r="I21" s="1429">
        <f t="shared" ref="I21:I26" si="0">+$D$14*C21*(G21-F21)/($D$13*$F$21)</f>
        <v>12.737562847698518</v>
      </c>
      <c r="J21" s="175"/>
      <c r="K21" s="175">
        <f>C21*0.1</f>
        <v>168.98500000000001</v>
      </c>
      <c r="L21" s="175"/>
      <c r="M21" s="175"/>
      <c r="N21" s="175"/>
      <c r="O21" s="175"/>
      <c r="P21" s="175"/>
      <c r="Q21" s="175"/>
      <c r="R21" s="175"/>
      <c r="S21" s="175"/>
      <c r="T21" s="175"/>
      <c r="U21" s="175"/>
      <c r="V21" s="175"/>
      <c r="W21" s="175"/>
      <c r="X21" s="175"/>
      <c r="Y21" s="175"/>
      <c r="Z21" s="175"/>
      <c r="AA21" s="175"/>
      <c r="AB21" s="169"/>
      <c r="AC21" s="169"/>
      <c r="AD21" s="169"/>
      <c r="AE21" s="169"/>
      <c r="AF21" s="169"/>
      <c r="AG21" s="169"/>
      <c r="AH21" s="169"/>
      <c r="AI21" s="169"/>
      <c r="AJ21" s="169"/>
      <c r="AK21" s="169"/>
      <c r="AL21" s="169"/>
      <c r="AM21" s="169"/>
      <c r="AN21" s="169"/>
      <c r="AO21" s="169"/>
      <c r="AP21" s="169"/>
      <c r="AQ21" s="169"/>
      <c r="AR21" s="169"/>
      <c r="AS21" s="169"/>
      <c r="AT21" s="169"/>
      <c r="AU21" s="169"/>
      <c r="AV21" s="169"/>
      <c r="AW21" s="169"/>
      <c r="AX21" s="169"/>
      <c r="AY21" s="169"/>
      <c r="AZ21" s="169"/>
      <c r="BA21" s="169"/>
      <c r="BB21" s="169"/>
      <c r="BC21" s="169"/>
      <c r="BD21" s="169"/>
      <c r="BE21" s="169"/>
      <c r="BF21" s="169"/>
      <c r="BG21" s="169"/>
      <c r="BH21" s="169"/>
      <c r="BI21" s="169"/>
      <c r="BJ21" s="169"/>
      <c r="BK21" s="169"/>
      <c r="BL21" s="169"/>
      <c r="BM21" s="169"/>
      <c r="BN21" s="169"/>
      <c r="BO21" s="169"/>
      <c r="BP21" s="169"/>
      <c r="BQ21" s="169"/>
      <c r="BR21" s="169"/>
      <c r="BS21" s="169"/>
      <c r="BT21" s="169"/>
      <c r="BU21" s="169"/>
      <c r="BV21" s="169"/>
      <c r="BW21" s="169"/>
      <c r="BX21" s="169"/>
      <c r="BY21" s="169"/>
      <c r="BZ21" s="169"/>
      <c r="CA21" s="169"/>
      <c r="CB21" s="169"/>
      <c r="CC21" s="169"/>
      <c r="CD21" s="169"/>
      <c r="CE21" s="169"/>
      <c r="CF21" s="169"/>
      <c r="CG21" s="169"/>
      <c r="CH21" s="169"/>
      <c r="CI21" s="169"/>
      <c r="CJ21" s="169"/>
      <c r="CK21" s="169"/>
      <c r="CL21" s="169"/>
      <c r="CM21" s="169"/>
      <c r="CN21" s="169"/>
      <c r="CO21" s="169"/>
      <c r="CP21" s="169"/>
      <c r="CQ21" s="169"/>
      <c r="CR21" s="169"/>
      <c r="CS21" s="169"/>
      <c r="CT21" s="169"/>
      <c r="CU21" s="169"/>
      <c r="CV21" s="169"/>
      <c r="CW21" s="169"/>
      <c r="CX21" s="169"/>
      <c r="CY21" s="169"/>
      <c r="CZ21" s="169"/>
      <c r="DA21" s="169"/>
      <c r="DB21" s="169"/>
      <c r="DC21" s="169"/>
      <c r="DD21" s="169"/>
      <c r="DE21" s="169"/>
      <c r="DF21" s="169"/>
      <c r="DG21" s="169"/>
      <c r="DH21" s="169"/>
      <c r="DI21" s="169"/>
      <c r="DJ21" s="169"/>
      <c r="DK21" s="169"/>
      <c r="DL21" s="169"/>
      <c r="DM21" s="169"/>
      <c r="DN21" s="169"/>
      <c r="DO21" s="169"/>
      <c r="DP21" s="169"/>
      <c r="DQ21" s="169"/>
      <c r="DR21" s="169"/>
      <c r="DS21" s="169"/>
      <c r="DT21" s="169"/>
      <c r="DU21" s="169"/>
      <c r="DV21" s="169"/>
      <c r="DW21" s="169"/>
      <c r="DX21" s="169"/>
      <c r="DY21" s="169"/>
      <c r="DZ21" s="169"/>
      <c r="EA21" s="169"/>
      <c r="EB21" s="169"/>
      <c r="EC21" s="169"/>
      <c r="ED21" s="169"/>
      <c r="EE21" s="169"/>
      <c r="EF21" s="169"/>
      <c r="EG21" s="169"/>
      <c r="EH21" s="169"/>
      <c r="EI21" s="169"/>
      <c r="EJ21" s="169"/>
      <c r="EK21" s="169"/>
      <c r="EL21" s="169"/>
      <c r="EM21" s="169"/>
      <c r="EN21" s="169"/>
      <c r="EO21" s="169"/>
      <c r="EP21" s="169"/>
      <c r="EQ21" s="169"/>
      <c r="ER21" s="169"/>
      <c r="ES21" s="169"/>
      <c r="ET21" s="169"/>
      <c r="EU21" s="169"/>
      <c r="EV21" s="169"/>
      <c r="EW21" s="169"/>
      <c r="EX21" s="169"/>
      <c r="EY21" s="169"/>
      <c r="EZ21" s="169"/>
      <c r="FA21" s="169"/>
      <c r="FB21" s="169"/>
      <c r="FC21" s="169"/>
      <c r="FD21" s="169"/>
      <c r="FE21" s="169"/>
      <c r="FF21" s="169"/>
      <c r="FG21" s="169"/>
      <c r="FH21" s="169"/>
      <c r="FI21" s="169"/>
      <c r="FJ21" s="169"/>
      <c r="FK21" s="169"/>
      <c r="FL21" s="169"/>
      <c r="FM21" s="169"/>
      <c r="FN21" s="169"/>
      <c r="FO21" s="169"/>
      <c r="FP21" s="169"/>
      <c r="FQ21" s="169"/>
      <c r="FR21" s="169"/>
      <c r="FS21" s="169"/>
      <c r="FT21" s="169"/>
      <c r="FU21" s="169"/>
      <c r="FV21" s="169"/>
      <c r="FW21" s="169"/>
      <c r="FX21" s="169"/>
      <c r="FY21" s="169"/>
      <c r="FZ21" s="169"/>
      <c r="GA21" s="169"/>
      <c r="GB21" s="169"/>
      <c r="GC21" s="169"/>
      <c r="GD21" s="169"/>
      <c r="GE21" s="169"/>
      <c r="GF21" s="169"/>
      <c r="GG21" s="169"/>
      <c r="GH21" s="169"/>
      <c r="GI21" s="169"/>
      <c r="GJ21" s="169"/>
      <c r="GK21" s="169"/>
      <c r="GL21" s="169"/>
      <c r="GM21" s="169"/>
      <c r="GN21" s="169"/>
      <c r="GO21" s="169"/>
      <c r="GP21" s="169"/>
      <c r="GQ21" s="169"/>
      <c r="GR21" s="169"/>
      <c r="GS21" s="169"/>
      <c r="GT21" s="169"/>
      <c r="GU21" s="169"/>
      <c r="GV21" s="169"/>
      <c r="GW21" s="169"/>
      <c r="GX21" s="169"/>
      <c r="GY21" s="169"/>
      <c r="GZ21" s="169"/>
      <c r="HA21" s="169"/>
      <c r="HB21" s="169"/>
      <c r="HC21" s="169"/>
      <c r="HD21" s="169"/>
      <c r="HE21" s="169"/>
      <c r="HF21" s="169"/>
      <c r="HG21" s="169"/>
      <c r="HH21" s="169"/>
      <c r="HI21" s="169"/>
      <c r="HJ21" s="169"/>
      <c r="HK21" s="169"/>
      <c r="HL21" s="169"/>
      <c r="HM21" s="169"/>
      <c r="HN21" s="169"/>
      <c r="HO21" s="169"/>
      <c r="HP21" s="169"/>
      <c r="HQ21" s="169"/>
      <c r="HR21" s="169"/>
      <c r="HS21" s="169"/>
      <c r="HT21" s="169"/>
      <c r="HU21" s="169"/>
      <c r="HV21" s="169"/>
      <c r="HW21" s="169"/>
      <c r="HX21" s="169"/>
      <c r="HY21" s="169"/>
      <c r="HZ21" s="169"/>
      <c r="IA21" s="169"/>
      <c r="IB21" s="169"/>
      <c r="IC21" s="169"/>
      <c r="ID21" s="169"/>
      <c r="IE21" s="169"/>
      <c r="IF21" s="169"/>
      <c r="IG21" s="169"/>
      <c r="IH21" s="169"/>
      <c r="II21" s="169"/>
      <c r="IJ21" s="169"/>
      <c r="IK21" s="169"/>
      <c r="IL21" s="169"/>
      <c r="IM21" s="169"/>
      <c r="IN21" s="169"/>
      <c r="IO21" s="169"/>
      <c r="IP21" s="169"/>
      <c r="IQ21" s="169"/>
      <c r="IR21" s="169"/>
    </row>
    <row r="22" spans="1:252" ht="15" x14ac:dyDescent="0.25">
      <c r="A22" s="1225">
        <v>2</v>
      </c>
      <c r="B22" s="1226">
        <v>44712</v>
      </c>
      <c r="C22" s="1245">
        <f>'REINT_REAJ_ (2)'!E19</f>
        <v>142315.32</v>
      </c>
      <c r="D22" s="1246">
        <f>AM_DIRECTO!E19</f>
        <v>1515107.81</v>
      </c>
      <c r="E22" s="1416">
        <f>C22*0.1</f>
        <v>14231.532000000001</v>
      </c>
      <c r="F22" s="1250">
        <f>+'COE_REAJ_OB. PUENTE'!J56</f>
        <v>0.99499999999999988</v>
      </c>
      <c r="G22" s="1251">
        <f>'REINT_REAJ_ (2)'!G19+1</f>
        <v>1.0720000000000001</v>
      </c>
      <c r="H22" s="1433">
        <v>0</v>
      </c>
      <c r="I22" s="1377">
        <f t="shared" si="0"/>
        <v>1101.3346400935397</v>
      </c>
      <c r="J22" s="175"/>
      <c r="K22" s="175"/>
      <c r="L22" s="175"/>
      <c r="M22" s="175"/>
      <c r="N22" s="175"/>
      <c r="O22" s="175"/>
      <c r="P22" s="175"/>
      <c r="Q22" s="175"/>
      <c r="R22" s="175"/>
      <c r="S22" s="175"/>
      <c r="T22" s="175"/>
      <c r="U22" s="175"/>
      <c r="V22" s="175"/>
      <c r="W22" s="175"/>
      <c r="X22" s="175"/>
      <c r="Y22" s="175"/>
      <c r="Z22" s="175"/>
      <c r="AA22" s="175"/>
      <c r="AB22" s="169"/>
      <c r="AC22" s="169"/>
      <c r="AD22" s="169"/>
      <c r="AE22" s="169"/>
      <c r="AF22" s="169"/>
      <c r="AG22" s="169"/>
      <c r="AH22" s="169"/>
      <c r="AI22" s="169"/>
      <c r="AJ22" s="169"/>
      <c r="AK22" s="169"/>
      <c r="AL22" s="169"/>
      <c r="AM22" s="169"/>
      <c r="AN22" s="169"/>
      <c r="AO22" s="169"/>
      <c r="AP22" s="169"/>
      <c r="AQ22" s="169"/>
      <c r="AR22" s="169"/>
      <c r="AS22" s="169"/>
      <c r="AT22" s="169"/>
      <c r="AU22" s="169"/>
      <c r="AV22" s="169"/>
      <c r="AW22" s="169"/>
      <c r="AX22" s="169"/>
      <c r="AY22" s="169"/>
      <c r="AZ22" s="169"/>
      <c r="BA22" s="169"/>
      <c r="BB22" s="169"/>
      <c r="BC22" s="169"/>
      <c r="BD22" s="169"/>
      <c r="BE22" s="169"/>
      <c r="BF22" s="169"/>
      <c r="BG22" s="169"/>
      <c r="BH22" s="169"/>
      <c r="BI22" s="169"/>
      <c r="BJ22" s="169"/>
      <c r="BK22" s="169"/>
      <c r="BL22" s="169"/>
      <c r="BM22" s="169"/>
      <c r="BN22" s="169"/>
      <c r="BO22" s="169"/>
      <c r="BP22" s="169"/>
      <c r="BQ22" s="169"/>
      <c r="BR22" s="169"/>
      <c r="BS22" s="169"/>
      <c r="BT22" s="169"/>
      <c r="BU22" s="169"/>
      <c r="BV22" s="169"/>
      <c r="BW22" s="169"/>
      <c r="BX22" s="169"/>
      <c r="BY22" s="169"/>
      <c r="BZ22" s="169"/>
      <c r="CA22" s="169"/>
      <c r="CB22" s="169"/>
      <c r="CC22" s="169"/>
      <c r="CD22" s="169"/>
      <c r="CE22" s="169"/>
      <c r="CF22" s="169"/>
      <c r="CG22" s="169"/>
      <c r="CH22" s="169"/>
      <c r="CI22" s="169"/>
      <c r="CJ22" s="169"/>
      <c r="CK22" s="169"/>
      <c r="CL22" s="169"/>
      <c r="CM22" s="169"/>
      <c r="CN22" s="169"/>
      <c r="CO22" s="169"/>
      <c r="CP22" s="169"/>
      <c r="CQ22" s="169"/>
      <c r="CR22" s="169"/>
      <c r="CS22" s="169"/>
      <c r="CT22" s="169"/>
      <c r="CU22" s="169"/>
      <c r="CV22" s="169"/>
      <c r="CW22" s="169"/>
      <c r="CX22" s="169"/>
      <c r="CY22" s="169"/>
      <c r="CZ22" s="169"/>
      <c r="DA22" s="169"/>
      <c r="DB22" s="169"/>
      <c r="DC22" s="169"/>
      <c r="DD22" s="169"/>
      <c r="DE22" s="169"/>
      <c r="DF22" s="169"/>
      <c r="DG22" s="169"/>
      <c r="DH22" s="169"/>
      <c r="DI22" s="169"/>
      <c r="DJ22" s="169"/>
      <c r="DK22" s="169"/>
      <c r="DL22" s="169"/>
      <c r="DM22" s="169"/>
      <c r="DN22" s="169"/>
      <c r="DO22" s="169"/>
      <c r="DP22" s="169"/>
      <c r="DQ22" s="169"/>
      <c r="DR22" s="169"/>
      <c r="DS22" s="169"/>
      <c r="DT22" s="169"/>
      <c r="DU22" s="169"/>
      <c r="DV22" s="169"/>
      <c r="DW22" s="169"/>
      <c r="DX22" s="169"/>
      <c r="DY22" s="169"/>
      <c r="DZ22" s="169"/>
      <c r="EA22" s="169"/>
      <c r="EB22" s="169"/>
      <c r="EC22" s="169"/>
      <c r="ED22" s="169"/>
      <c r="EE22" s="169"/>
      <c r="EF22" s="169"/>
      <c r="EG22" s="169"/>
      <c r="EH22" s="169"/>
      <c r="EI22" s="169"/>
      <c r="EJ22" s="169"/>
      <c r="EK22" s="169"/>
      <c r="EL22" s="169"/>
      <c r="EM22" s="169"/>
      <c r="EN22" s="169"/>
      <c r="EO22" s="169"/>
      <c r="EP22" s="169"/>
      <c r="EQ22" s="169"/>
      <c r="ER22" s="169"/>
      <c r="ES22" s="169"/>
      <c r="ET22" s="169"/>
      <c r="EU22" s="169"/>
      <c r="EV22" s="169"/>
      <c r="EW22" s="169"/>
      <c r="EX22" s="169"/>
      <c r="EY22" s="169"/>
      <c r="EZ22" s="169"/>
      <c r="FA22" s="169"/>
      <c r="FB22" s="169"/>
      <c r="FC22" s="169"/>
      <c r="FD22" s="169"/>
      <c r="FE22" s="169"/>
      <c r="FF22" s="169"/>
      <c r="FG22" s="169"/>
      <c r="FH22" s="169"/>
      <c r="FI22" s="169"/>
      <c r="FJ22" s="169"/>
      <c r="FK22" s="169"/>
      <c r="FL22" s="169"/>
      <c r="FM22" s="169"/>
      <c r="FN22" s="169"/>
      <c r="FO22" s="169"/>
      <c r="FP22" s="169"/>
      <c r="FQ22" s="169"/>
      <c r="FR22" s="169"/>
      <c r="FS22" s="169"/>
      <c r="FT22" s="169"/>
      <c r="FU22" s="169"/>
      <c r="FV22" s="169"/>
      <c r="FW22" s="169"/>
      <c r="FX22" s="169"/>
      <c r="FY22" s="169"/>
      <c r="FZ22" s="169"/>
      <c r="GA22" s="169"/>
      <c r="GB22" s="169"/>
      <c r="GC22" s="169"/>
      <c r="GD22" s="169"/>
      <c r="GE22" s="169"/>
      <c r="GF22" s="169"/>
      <c r="GG22" s="169"/>
      <c r="GH22" s="169"/>
      <c r="GI22" s="169"/>
      <c r="GJ22" s="169"/>
      <c r="GK22" s="169"/>
      <c r="GL22" s="169"/>
      <c r="GM22" s="169"/>
      <c r="GN22" s="169"/>
      <c r="GO22" s="169"/>
      <c r="GP22" s="169"/>
      <c r="GQ22" s="169"/>
      <c r="GR22" s="169"/>
      <c r="GS22" s="169"/>
      <c r="GT22" s="169"/>
      <c r="GU22" s="169"/>
      <c r="GV22" s="169"/>
      <c r="GW22" s="169"/>
      <c r="GX22" s="169"/>
      <c r="GY22" s="169"/>
      <c r="GZ22" s="169"/>
      <c r="HA22" s="169"/>
      <c r="HB22" s="169"/>
      <c r="HC22" s="169"/>
      <c r="HD22" s="169"/>
      <c r="HE22" s="169"/>
      <c r="HF22" s="169"/>
      <c r="HG22" s="169"/>
      <c r="HH22" s="169"/>
      <c r="HI22" s="169"/>
      <c r="HJ22" s="169"/>
      <c r="HK22" s="169"/>
      <c r="HL22" s="169"/>
      <c r="HM22" s="169"/>
      <c r="HN22" s="169"/>
      <c r="HO22" s="169"/>
      <c r="HP22" s="169"/>
      <c r="HQ22" s="169"/>
      <c r="HR22" s="169"/>
      <c r="HS22" s="169"/>
      <c r="HT22" s="169"/>
      <c r="HU22" s="169"/>
      <c r="HV22" s="169"/>
      <c r="HW22" s="169"/>
      <c r="HX22" s="169"/>
      <c r="HY22" s="169"/>
      <c r="HZ22" s="169"/>
      <c r="IA22" s="169"/>
      <c r="IB22" s="169"/>
      <c r="IC22" s="169"/>
      <c r="ID22" s="169"/>
      <c r="IE22" s="169"/>
      <c r="IF22" s="169"/>
      <c r="IG22" s="169"/>
      <c r="IH22" s="169"/>
      <c r="II22" s="169"/>
      <c r="IJ22" s="169"/>
      <c r="IK22" s="169"/>
      <c r="IL22" s="169"/>
      <c r="IM22" s="169"/>
      <c r="IN22" s="169"/>
      <c r="IO22" s="169"/>
      <c r="IP22" s="169"/>
      <c r="IQ22" s="169"/>
      <c r="IR22" s="169"/>
    </row>
    <row r="23" spans="1:252" ht="15" x14ac:dyDescent="0.25">
      <c r="A23" s="1225">
        <v>3</v>
      </c>
      <c r="B23" s="1226">
        <v>44742</v>
      </c>
      <c r="C23" s="1245">
        <f>'REINT_REAJ_ (2)'!E20</f>
        <v>174129.63</v>
      </c>
      <c r="D23" s="1246">
        <f t="shared" ref="D23:D28" si="1">D22</f>
        <v>1515107.81</v>
      </c>
      <c r="E23" s="1416">
        <f t="shared" ref="E23:E24" si="2">C23*0.1</f>
        <v>17412.963</v>
      </c>
      <c r="F23" s="1250">
        <f>+'COE_REAJ_OB. PUENTE'!J56</f>
        <v>0.99499999999999988</v>
      </c>
      <c r="G23" s="1251">
        <f>'REINT_REAJ_ (2)'!G20+1</f>
        <v>1.1040000000000001</v>
      </c>
      <c r="H23" s="1433">
        <v>752.59</v>
      </c>
      <c r="I23" s="1377">
        <f t="shared" si="0"/>
        <v>1907.5507256390981</v>
      </c>
      <c r="J23" s="175"/>
      <c r="K23" s="1420">
        <f>I23-H23</f>
        <v>1154.9607256390982</v>
      </c>
      <c r="L23" s="175"/>
      <c r="M23" s="175"/>
      <c r="N23" s="175"/>
      <c r="O23" s="175"/>
      <c r="P23" s="175"/>
      <c r="Q23" s="175"/>
      <c r="R23" s="175"/>
      <c r="S23" s="175"/>
      <c r="T23" s="175"/>
      <c r="U23" s="175"/>
      <c r="V23" s="175"/>
      <c r="W23" s="175"/>
      <c r="X23" s="175"/>
      <c r="Y23" s="175"/>
      <c r="Z23" s="175"/>
      <c r="AA23" s="175"/>
      <c r="AB23" s="169"/>
      <c r="AC23" s="169"/>
      <c r="AD23" s="169"/>
      <c r="AE23" s="169"/>
      <c r="AF23" s="169"/>
      <c r="AG23" s="169"/>
      <c r="AH23" s="169"/>
      <c r="AI23" s="169"/>
      <c r="AJ23" s="169"/>
      <c r="AK23" s="169"/>
      <c r="AL23" s="169"/>
      <c r="AM23" s="169"/>
      <c r="AN23" s="169"/>
      <c r="AO23" s="169"/>
      <c r="AP23" s="169"/>
      <c r="AQ23" s="169"/>
      <c r="AR23" s="169"/>
      <c r="AS23" s="169"/>
      <c r="AT23" s="169"/>
      <c r="AU23" s="169"/>
      <c r="AV23" s="169"/>
      <c r="AW23" s="169"/>
      <c r="AX23" s="169"/>
      <c r="AY23" s="169"/>
      <c r="AZ23" s="169"/>
      <c r="BA23" s="169"/>
      <c r="BB23" s="169"/>
      <c r="BC23" s="169"/>
      <c r="BD23" s="169"/>
      <c r="BE23" s="169"/>
      <c r="BF23" s="169"/>
      <c r="BG23" s="169"/>
      <c r="BH23" s="169"/>
      <c r="BI23" s="169"/>
      <c r="BJ23" s="169"/>
      <c r="BK23" s="169"/>
      <c r="BL23" s="169"/>
      <c r="BM23" s="169"/>
      <c r="BN23" s="169"/>
      <c r="BO23" s="169"/>
      <c r="BP23" s="169"/>
      <c r="BQ23" s="169"/>
      <c r="BR23" s="169"/>
      <c r="BS23" s="169"/>
      <c r="BT23" s="169"/>
      <c r="BU23" s="169"/>
      <c r="BV23" s="169"/>
      <c r="BW23" s="169"/>
      <c r="BX23" s="169"/>
      <c r="BY23" s="169"/>
      <c r="BZ23" s="169"/>
      <c r="CA23" s="169"/>
      <c r="CB23" s="169"/>
      <c r="CC23" s="169"/>
      <c r="CD23" s="169"/>
      <c r="CE23" s="169"/>
      <c r="CF23" s="169"/>
      <c r="CG23" s="169"/>
      <c r="CH23" s="169"/>
      <c r="CI23" s="169"/>
      <c r="CJ23" s="169"/>
      <c r="CK23" s="169"/>
      <c r="CL23" s="169"/>
      <c r="CM23" s="169"/>
      <c r="CN23" s="169"/>
      <c r="CO23" s="169"/>
      <c r="CP23" s="169"/>
      <c r="CQ23" s="169"/>
      <c r="CR23" s="169"/>
      <c r="CS23" s="169"/>
      <c r="CT23" s="169"/>
      <c r="CU23" s="169"/>
      <c r="CV23" s="169"/>
      <c r="CW23" s="169"/>
      <c r="CX23" s="169"/>
      <c r="CY23" s="169"/>
      <c r="CZ23" s="169"/>
      <c r="DA23" s="169"/>
      <c r="DB23" s="169"/>
      <c r="DC23" s="169"/>
      <c r="DD23" s="169"/>
      <c r="DE23" s="169"/>
      <c r="DF23" s="169"/>
      <c r="DG23" s="169"/>
      <c r="DH23" s="169"/>
      <c r="DI23" s="169"/>
      <c r="DJ23" s="169"/>
      <c r="DK23" s="169"/>
      <c r="DL23" s="169"/>
      <c r="DM23" s="169"/>
      <c r="DN23" s="169"/>
      <c r="DO23" s="169"/>
      <c r="DP23" s="169"/>
      <c r="DQ23" s="169"/>
      <c r="DR23" s="169"/>
      <c r="DS23" s="169"/>
      <c r="DT23" s="169"/>
      <c r="DU23" s="169"/>
      <c r="DV23" s="169"/>
      <c r="DW23" s="169"/>
      <c r="DX23" s="169"/>
      <c r="DY23" s="169"/>
      <c r="DZ23" s="169"/>
      <c r="EA23" s="169"/>
      <c r="EB23" s="169"/>
      <c r="EC23" s="169"/>
      <c r="ED23" s="169"/>
      <c r="EE23" s="169"/>
      <c r="EF23" s="169"/>
      <c r="EG23" s="169"/>
      <c r="EH23" s="169"/>
      <c r="EI23" s="169"/>
      <c r="EJ23" s="169"/>
      <c r="EK23" s="169"/>
      <c r="EL23" s="169"/>
      <c r="EM23" s="169"/>
      <c r="EN23" s="169"/>
      <c r="EO23" s="169"/>
      <c r="EP23" s="169"/>
      <c r="EQ23" s="169"/>
      <c r="ER23" s="169"/>
      <c r="ES23" s="169"/>
      <c r="ET23" s="169"/>
      <c r="EU23" s="169"/>
      <c r="EV23" s="169"/>
      <c r="EW23" s="169"/>
      <c r="EX23" s="169"/>
      <c r="EY23" s="169"/>
      <c r="EZ23" s="169"/>
      <c r="FA23" s="169"/>
      <c r="FB23" s="169"/>
      <c r="FC23" s="169"/>
      <c r="FD23" s="169"/>
      <c r="FE23" s="169"/>
      <c r="FF23" s="169"/>
      <c r="FG23" s="169"/>
      <c r="FH23" s="169"/>
      <c r="FI23" s="169"/>
      <c r="FJ23" s="169"/>
      <c r="FK23" s="169"/>
      <c r="FL23" s="169"/>
      <c r="FM23" s="169"/>
      <c r="FN23" s="169"/>
      <c r="FO23" s="169"/>
      <c r="FP23" s="169"/>
      <c r="FQ23" s="169"/>
      <c r="FR23" s="169"/>
      <c r="FS23" s="169"/>
      <c r="FT23" s="169"/>
      <c r="FU23" s="169"/>
      <c r="FV23" s="169"/>
      <c r="FW23" s="169"/>
      <c r="FX23" s="169"/>
      <c r="FY23" s="169"/>
      <c r="FZ23" s="169"/>
      <c r="GA23" s="169"/>
      <c r="GB23" s="169"/>
      <c r="GC23" s="169"/>
      <c r="GD23" s="169"/>
      <c r="GE23" s="169"/>
      <c r="GF23" s="169"/>
      <c r="GG23" s="169"/>
      <c r="GH23" s="169"/>
      <c r="GI23" s="169"/>
      <c r="GJ23" s="169"/>
      <c r="GK23" s="169"/>
      <c r="GL23" s="169"/>
      <c r="GM23" s="169"/>
      <c r="GN23" s="169"/>
      <c r="GO23" s="169"/>
      <c r="GP23" s="169"/>
      <c r="GQ23" s="169"/>
      <c r="GR23" s="169"/>
      <c r="GS23" s="169"/>
      <c r="GT23" s="169"/>
      <c r="GU23" s="169"/>
      <c r="GV23" s="169"/>
      <c r="GW23" s="169"/>
      <c r="GX23" s="169"/>
      <c r="GY23" s="169"/>
      <c r="GZ23" s="169"/>
      <c r="HA23" s="169"/>
      <c r="HB23" s="169"/>
      <c r="HC23" s="169"/>
      <c r="HD23" s="169"/>
      <c r="HE23" s="169"/>
      <c r="HF23" s="169"/>
      <c r="HG23" s="169"/>
      <c r="HH23" s="169"/>
      <c r="HI23" s="169"/>
      <c r="HJ23" s="169"/>
      <c r="HK23" s="169"/>
      <c r="HL23" s="169"/>
      <c r="HM23" s="169"/>
      <c r="HN23" s="169"/>
      <c r="HO23" s="169"/>
      <c r="HP23" s="169"/>
      <c r="HQ23" s="169"/>
      <c r="HR23" s="169"/>
      <c r="HS23" s="169"/>
      <c r="HT23" s="169"/>
      <c r="HU23" s="169"/>
      <c r="HV23" s="169"/>
      <c r="HW23" s="169"/>
      <c r="HX23" s="169"/>
      <c r="HY23" s="169"/>
      <c r="HZ23" s="169"/>
      <c r="IA23" s="169"/>
      <c r="IB23" s="169"/>
      <c r="IC23" s="169"/>
      <c r="ID23" s="169"/>
      <c r="IE23" s="169"/>
      <c r="IF23" s="169"/>
      <c r="IG23" s="169"/>
      <c r="IH23" s="169"/>
      <c r="II23" s="169"/>
      <c r="IJ23" s="169"/>
      <c r="IK23" s="169"/>
      <c r="IL23" s="169"/>
      <c r="IM23" s="169"/>
      <c r="IN23" s="169"/>
      <c r="IO23" s="169"/>
      <c r="IP23" s="169"/>
      <c r="IQ23" s="169"/>
      <c r="IR23" s="169"/>
    </row>
    <row r="24" spans="1:252" ht="15" x14ac:dyDescent="0.25">
      <c r="A24" s="1225">
        <v>4</v>
      </c>
      <c r="B24" s="1226">
        <v>44773</v>
      </c>
      <c r="C24" s="1245">
        <f>'REINT_REAJ_ (2)'!E21</f>
        <v>680701.45</v>
      </c>
      <c r="D24" s="1246">
        <f t="shared" si="1"/>
        <v>1515107.81</v>
      </c>
      <c r="E24" s="1416">
        <f t="shared" si="2"/>
        <v>68070.145000000004</v>
      </c>
      <c r="F24" s="1250">
        <f>+'COE_REAJ_OB. PUENTE'!J56</f>
        <v>0.99499999999999988</v>
      </c>
      <c r="G24" s="1251">
        <f>'REINT_REAJ_ (2)'!G21+1</f>
        <v>1.0680000000000001</v>
      </c>
      <c r="H24" s="1433">
        <v>1645.41</v>
      </c>
      <c r="I24" s="1377">
        <f t="shared" si="0"/>
        <v>4994.0910533857977</v>
      </c>
      <c r="J24" s="175"/>
      <c r="K24" s="175"/>
      <c r="L24" s="175"/>
      <c r="M24" s="175"/>
      <c r="N24" s="175"/>
      <c r="O24" s="175"/>
      <c r="P24" s="175"/>
      <c r="Q24" s="175"/>
      <c r="R24" s="175"/>
      <c r="S24" s="175"/>
      <c r="T24" s="175"/>
      <c r="U24" s="175"/>
      <c r="V24" s="175"/>
      <c r="W24" s="175"/>
      <c r="X24" s="175"/>
      <c r="Y24" s="175"/>
      <c r="Z24" s="175"/>
      <c r="AA24" s="175"/>
      <c r="AB24" s="169"/>
      <c r="AC24" s="169"/>
      <c r="AD24" s="169"/>
      <c r="AE24" s="169"/>
      <c r="AF24" s="169"/>
      <c r="AG24" s="169"/>
      <c r="AH24" s="169"/>
      <c r="AI24" s="169"/>
      <c r="AJ24" s="169"/>
      <c r="AK24" s="169"/>
      <c r="AL24" s="169"/>
      <c r="AM24" s="169"/>
      <c r="AN24" s="169"/>
      <c r="AO24" s="169"/>
      <c r="AP24" s="169"/>
      <c r="AQ24" s="169"/>
      <c r="AR24" s="169"/>
      <c r="AS24" s="169"/>
      <c r="AT24" s="169"/>
      <c r="AU24" s="169"/>
      <c r="AV24" s="169"/>
      <c r="AW24" s="169"/>
      <c r="AX24" s="169"/>
      <c r="AY24" s="169"/>
      <c r="AZ24" s="169"/>
      <c r="BA24" s="169"/>
      <c r="BB24" s="169"/>
      <c r="BC24" s="169"/>
      <c r="BD24" s="169"/>
      <c r="BE24" s="169"/>
      <c r="BF24" s="169"/>
      <c r="BG24" s="169"/>
      <c r="BH24" s="169"/>
      <c r="BI24" s="169"/>
      <c r="BJ24" s="169"/>
      <c r="BK24" s="169"/>
      <c r="BL24" s="169"/>
      <c r="BM24" s="169"/>
      <c r="BN24" s="169"/>
      <c r="BO24" s="169"/>
      <c r="BP24" s="169"/>
      <c r="BQ24" s="169"/>
      <c r="BR24" s="169"/>
      <c r="BS24" s="169"/>
      <c r="BT24" s="169"/>
      <c r="BU24" s="169"/>
      <c r="BV24" s="169"/>
      <c r="BW24" s="169"/>
      <c r="BX24" s="169"/>
      <c r="BY24" s="169"/>
      <c r="BZ24" s="169"/>
      <c r="CA24" s="169"/>
      <c r="CB24" s="169"/>
      <c r="CC24" s="169"/>
      <c r="CD24" s="169"/>
      <c r="CE24" s="169"/>
      <c r="CF24" s="169"/>
      <c r="CG24" s="169"/>
      <c r="CH24" s="169"/>
      <c r="CI24" s="169"/>
      <c r="CJ24" s="169"/>
      <c r="CK24" s="169"/>
      <c r="CL24" s="169"/>
      <c r="CM24" s="169"/>
      <c r="CN24" s="169"/>
      <c r="CO24" s="169"/>
      <c r="CP24" s="169"/>
      <c r="CQ24" s="169"/>
      <c r="CR24" s="169"/>
      <c r="CS24" s="169"/>
      <c r="CT24" s="169"/>
      <c r="CU24" s="169"/>
      <c r="CV24" s="169"/>
      <c r="CW24" s="169"/>
      <c r="CX24" s="169"/>
      <c r="CY24" s="169"/>
      <c r="CZ24" s="169"/>
      <c r="DA24" s="169"/>
      <c r="DB24" s="169"/>
      <c r="DC24" s="169"/>
      <c r="DD24" s="169"/>
      <c r="DE24" s="169"/>
      <c r="DF24" s="169"/>
      <c r="DG24" s="169"/>
      <c r="DH24" s="169"/>
      <c r="DI24" s="169"/>
      <c r="DJ24" s="169"/>
      <c r="DK24" s="169"/>
      <c r="DL24" s="169"/>
      <c r="DM24" s="169"/>
      <c r="DN24" s="169"/>
      <c r="DO24" s="169"/>
      <c r="DP24" s="169"/>
      <c r="DQ24" s="169"/>
      <c r="DR24" s="169"/>
      <c r="DS24" s="169"/>
      <c r="DT24" s="169"/>
      <c r="DU24" s="169"/>
      <c r="DV24" s="169"/>
      <c r="DW24" s="169"/>
      <c r="DX24" s="169"/>
      <c r="DY24" s="169"/>
      <c r="DZ24" s="169"/>
      <c r="EA24" s="169"/>
      <c r="EB24" s="169"/>
      <c r="EC24" s="169"/>
      <c r="ED24" s="169"/>
      <c r="EE24" s="169"/>
      <c r="EF24" s="169"/>
      <c r="EG24" s="169"/>
      <c r="EH24" s="169"/>
      <c r="EI24" s="169"/>
      <c r="EJ24" s="169"/>
      <c r="EK24" s="169"/>
      <c r="EL24" s="169"/>
      <c r="EM24" s="169"/>
      <c r="EN24" s="169"/>
      <c r="EO24" s="169"/>
      <c r="EP24" s="169"/>
      <c r="EQ24" s="169"/>
      <c r="ER24" s="169"/>
      <c r="ES24" s="169"/>
      <c r="ET24" s="169"/>
      <c r="EU24" s="169"/>
      <c r="EV24" s="169"/>
      <c r="EW24" s="169"/>
      <c r="EX24" s="169"/>
      <c r="EY24" s="169"/>
      <c r="EZ24" s="169"/>
      <c r="FA24" s="169"/>
      <c r="FB24" s="169"/>
      <c r="FC24" s="169"/>
      <c r="FD24" s="169"/>
      <c r="FE24" s="169"/>
      <c r="FF24" s="169"/>
      <c r="FG24" s="169"/>
      <c r="FH24" s="169"/>
      <c r="FI24" s="169"/>
      <c r="FJ24" s="169"/>
      <c r="FK24" s="169"/>
      <c r="FL24" s="169"/>
      <c r="FM24" s="169"/>
      <c r="FN24" s="169"/>
      <c r="FO24" s="169"/>
      <c r="FP24" s="169"/>
      <c r="FQ24" s="169"/>
      <c r="FR24" s="169"/>
      <c r="FS24" s="169"/>
      <c r="FT24" s="169"/>
      <c r="FU24" s="169"/>
      <c r="FV24" s="169"/>
      <c r="FW24" s="169"/>
      <c r="FX24" s="169"/>
      <c r="FY24" s="169"/>
      <c r="FZ24" s="169"/>
      <c r="GA24" s="169"/>
      <c r="GB24" s="169"/>
      <c r="GC24" s="169"/>
      <c r="GD24" s="169"/>
      <c r="GE24" s="169"/>
      <c r="GF24" s="169"/>
      <c r="GG24" s="169"/>
      <c r="GH24" s="169"/>
      <c r="GI24" s="169"/>
      <c r="GJ24" s="169"/>
      <c r="GK24" s="169"/>
      <c r="GL24" s="169"/>
      <c r="GM24" s="169"/>
      <c r="GN24" s="169"/>
      <c r="GO24" s="169"/>
      <c r="GP24" s="169"/>
      <c r="GQ24" s="169"/>
      <c r="GR24" s="169"/>
      <c r="GS24" s="169"/>
      <c r="GT24" s="169"/>
      <c r="GU24" s="169"/>
      <c r="GV24" s="169"/>
      <c r="GW24" s="169"/>
      <c r="GX24" s="169"/>
      <c r="GY24" s="169"/>
      <c r="GZ24" s="169"/>
      <c r="HA24" s="169"/>
      <c r="HB24" s="169"/>
      <c r="HC24" s="169"/>
      <c r="HD24" s="169"/>
      <c r="HE24" s="169"/>
      <c r="HF24" s="169"/>
      <c r="HG24" s="169"/>
      <c r="HH24" s="169"/>
      <c r="HI24" s="169"/>
      <c r="HJ24" s="169"/>
      <c r="HK24" s="169"/>
      <c r="HL24" s="169"/>
      <c r="HM24" s="169"/>
      <c r="HN24" s="169"/>
      <c r="HO24" s="169"/>
      <c r="HP24" s="169"/>
      <c r="HQ24" s="169"/>
      <c r="HR24" s="169"/>
      <c r="HS24" s="169"/>
      <c r="HT24" s="169"/>
      <c r="HU24" s="169"/>
      <c r="HV24" s="169"/>
      <c r="HW24" s="169"/>
      <c r="HX24" s="169"/>
      <c r="HY24" s="169"/>
      <c r="HZ24" s="169"/>
      <c r="IA24" s="169"/>
      <c r="IB24" s="169"/>
      <c r="IC24" s="169"/>
      <c r="ID24" s="169"/>
      <c r="IE24" s="169"/>
      <c r="IF24" s="169"/>
      <c r="IG24" s="169"/>
      <c r="IH24" s="169"/>
      <c r="II24" s="169"/>
      <c r="IJ24" s="169"/>
      <c r="IK24" s="169"/>
      <c r="IL24" s="169"/>
      <c r="IM24" s="169"/>
      <c r="IN24" s="169"/>
      <c r="IO24" s="169"/>
      <c r="IP24" s="169"/>
      <c r="IQ24" s="169"/>
      <c r="IR24" s="169"/>
    </row>
    <row r="25" spans="1:252" ht="15" x14ac:dyDescent="0.25">
      <c r="A25" s="1225">
        <v>5</v>
      </c>
      <c r="B25" s="1226">
        <v>44804</v>
      </c>
      <c r="C25" s="1245">
        <f>'REINT_REAJ_ (2)'!E22</f>
        <v>1560353.15</v>
      </c>
      <c r="D25" s="1248">
        <f t="shared" si="1"/>
        <v>1515107.81</v>
      </c>
      <c r="E25" s="1416">
        <f>C25*0.1</f>
        <v>156035.315</v>
      </c>
      <c r="F25" s="1250">
        <f>F24</f>
        <v>0.99499999999999988</v>
      </c>
      <c r="G25" s="1251">
        <f>'REINT_REAJ_ (2)'!G22+1</f>
        <v>1.081</v>
      </c>
      <c r="H25" s="1433">
        <v>5331.35</v>
      </c>
      <c r="I25" s="1377">
        <f t="shared" si="0"/>
        <v>13486.469472791248</v>
      </c>
      <c r="J25" s="175"/>
      <c r="K25" s="175"/>
      <c r="L25" s="175"/>
      <c r="M25" s="175"/>
      <c r="N25" s="175"/>
      <c r="O25" s="175"/>
      <c r="P25" s="175"/>
      <c r="Q25" s="175"/>
      <c r="R25" s="175"/>
      <c r="S25" s="175"/>
      <c r="T25" s="175"/>
      <c r="U25" s="175"/>
      <c r="V25" s="175"/>
      <c r="W25" s="175"/>
      <c r="X25" s="175"/>
      <c r="Y25" s="175"/>
      <c r="Z25" s="175"/>
      <c r="AA25" s="175"/>
      <c r="AB25" s="169"/>
      <c r="AC25" s="169"/>
      <c r="AD25" s="169"/>
      <c r="AE25" s="169"/>
      <c r="AF25" s="169"/>
      <c r="AG25" s="169"/>
      <c r="AH25" s="169"/>
      <c r="AI25" s="169"/>
      <c r="AJ25" s="169"/>
      <c r="AK25" s="169"/>
      <c r="AL25" s="169"/>
      <c r="AM25" s="169"/>
      <c r="AN25" s="169"/>
      <c r="AO25" s="169"/>
      <c r="AP25" s="169"/>
      <c r="AQ25" s="169"/>
      <c r="AR25" s="169"/>
      <c r="AS25" s="169"/>
      <c r="AT25" s="169"/>
      <c r="AU25" s="169"/>
      <c r="AV25" s="169"/>
      <c r="AW25" s="169"/>
      <c r="AX25" s="169"/>
      <c r="AY25" s="169"/>
      <c r="AZ25" s="169"/>
      <c r="BA25" s="169"/>
      <c r="BB25" s="169"/>
      <c r="BC25" s="169"/>
      <c r="BD25" s="169"/>
      <c r="BE25" s="169"/>
      <c r="BF25" s="169"/>
      <c r="BG25" s="169"/>
      <c r="BH25" s="169"/>
      <c r="BI25" s="169"/>
      <c r="BJ25" s="169"/>
      <c r="BK25" s="169"/>
      <c r="BL25" s="169"/>
      <c r="BM25" s="169"/>
      <c r="BN25" s="169"/>
      <c r="BO25" s="169"/>
      <c r="BP25" s="169"/>
      <c r="BQ25" s="169"/>
      <c r="BR25" s="169"/>
      <c r="BS25" s="169"/>
      <c r="BT25" s="169"/>
      <c r="BU25" s="169"/>
      <c r="BV25" s="169"/>
      <c r="BW25" s="169"/>
      <c r="BX25" s="169"/>
      <c r="BY25" s="169"/>
      <c r="BZ25" s="169"/>
      <c r="CA25" s="169"/>
      <c r="CB25" s="169"/>
      <c r="CC25" s="169"/>
      <c r="CD25" s="169"/>
      <c r="CE25" s="169"/>
      <c r="CF25" s="169"/>
      <c r="CG25" s="169"/>
      <c r="CH25" s="169"/>
      <c r="CI25" s="169"/>
      <c r="CJ25" s="169"/>
      <c r="CK25" s="169"/>
      <c r="CL25" s="169"/>
      <c r="CM25" s="169"/>
      <c r="CN25" s="169"/>
      <c r="CO25" s="169"/>
      <c r="CP25" s="169"/>
      <c r="CQ25" s="169"/>
      <c r="CR25" s="169"/>
      <c r="CS25" s="169"/>
      <c r="CT25" s="169"/>
      <c r="CU25" s="169"/>
      <c r="CV25" s="169"/>
      <c r="CW25" s="169"/>
      <c r="CX25" s="169"/>
      <c r="CY25" s="169"/>
      <c r="CZ25" s="169"/>
      <c r="DA25" s="169"/>
      <c r="DB25" s="169"/>
      <c r="DC25" s="169"/>
      <c r="DD25" s="169"/>
      <c r="DE25" s="169"/>
      <c r="DF25" s="169"/>
      <c r="DG25" s="169"/>
      <c r="DH25" s="169"/>
      <c r="DI25" s="169"/>
      <c r="DJ25" s="169"/>
      <c r="DK25" s="169"/>
      <c r="DL25" s="169"/>
      <c r="DM25" s="169"/>
      <c r="DN25" s="169"/>
      <c r="DO25" s="169"/>
      <c r="DP25" s="169"/>
      <c r="DQ25" s="169"/>
      <c r="DR25" s="169"/>
      <c r="DS25" s="169"/>
      <c r="DT25" s="169"/>
      <c r="DU25" s="169"/>
      <c r="DV25" s="169"/>
      <c r="DW25" s="169"/>
      <c r="DX25" s="169"/>
      <c r="DY25" s="169"/>
      <c r="DZ25" s="169"/>
      <c r="EA25" s="169"/>
      <c r="EB25" s="169"/>
      <c r="EC25" s="169"/>
      <c r="ED25" s="169"/>
      <c r="EE25" s="169"/>
      <c r="EF25" s="169"/>
      <c r="EG25" s="169"/>
      <c r="EH25" s="169"/>
      <c r="EI25" s="169"/>
      <c r="EJ25" s="169"/>
      <c r="EK25" s="169"/>
      <c r="EL25" s="169"/>
      <c r="EM25" s="169"/>
      <c r="EN25" s="169"/>
      <c r="EO25" s="169"/>
      <c r="EP25" s="169"/>
      <c r="EQ25" s="169"/>
      <c r="ER25" s="169"/>
      <c r="ES25" s="169"/>
      <c r="ET25" s="169"/>
      <c r="EU25" s="169"/>
      <c r="EV25" s="169"/>
      <c r="EW25" s="169"/>
      <c r="EX25" s="169"/>
      <c r="EY25" s="169"/>
      <c r="EZ25" s="169"/>
      <c r="FA25" s="169"/>
      <c r="FB25" s="169"/>
      <c r="FC25" s="169"/>
      <c r="FD25" s="169"/>
      <c r="FE25" s="169"/>
      <c r="FF25" s="169"/>
      <c r="FG25" s="169"/>
      <c r="FH25" s="169"/>
      <c r="FI25" s="169"/>
      <c r="FJ25" s="169"/>
      <c r="FK25" s="169"/>
      <c r="FL25" s="169"/>
      <c r="FM25" s="169"/>
      <c r="FN25" s="169"/>
      <c r="FO25" s="169"/>
      <c r="FP25" s="169"/>
      <c r="FQ25" s="169"/>
      <c r="FR25" s="169"/>
      <c r="FS25" s="169"/>
      <c r="FT25" s="169"/>
      <c r="FU25" s="169"/>
      <c r="FV25" s="169"/>
      <c r="FW25" s="169"/>
      <c r="FX25" s="169"/>
      <c r="FY25" s="169"/>
      <c r="FZ25" s="169"/>
      <c r="GA25" s="169"/>
      <c r="GB25" s="169"/>
      <c r="GC25" s="169"/>
      <c r="GD25" s="169"/>
      <c r="GE25" s="169"/>
      <c r="GF25" s="169"/>
      <c r="GG25" s="169"/>
      <c r="GH25" s="169"/>
      <c r="GI25" s="169"/>
      <c r="GJ25" s="169"/>
      <c r="GK25" s="169"/>
      <c r="GL25" s="169"/>
      <c r="GM25" s="169"/>
      <c r="GN25" s="169"/>
      <c r="GO25" s="169"/>
      <c r="GP25" s="169"/>
      <c r="GQ25" s="169"/>
      <c r="GR25" s="169"/>
      <c r="GS25" s="169"/>
      <c r="GT25" s="169"/>
      <c r="GU25" s="169"/>
      <c r="GV25" s="169"/>
      <c r="GW25" s="169"/>
      <c r="GX25" s="169"/>
      <c r="GY25" s="169"/>
      <c r="GZ25" s="169"/>
      <c r="HA25" s="169"/>
      <c r="HB25" s="169"/>
      <c r="HC25" s="169"/>
      <c r="HD25" s="169"/>
      <c r="HE25" s="169"/>
      <c r="HF25" s="169"/>
      <c r="HG25" s="169"/>
      <c r="HH25" s="169"/>
      <c r="HI25" s="169"/>
      <c r="HJ25" s="169"/>
      <c r="HK25" s="169"/>
      <c r="HL25" s="169"/>
      <c r="HM25" s="169"/>
      <c r="HN25" s="169"/>
      <c r="HO25" s="169"/>
      <c r="HP25" s="169"/>
      <c r="HQ25" s="169"/>
      <c r="HR25" s="169"/>
      <c r="HS25" s="169"/>
      <c r="HT25" s="169"/>
      <c r="HU25" s="169"/>
      <c r="HV25" s="169"/>
      <c r="HW25" s="169"/>
      <c r="HX25" s="169"/>
      <c r="HY25" s="169"/>
      <c r="HZ25" s="169"/>
      <c r="IA25" s="169"/>
      <c r="IB25" s="169"/>
      <c r="IC25" s="169"/>
      <c r="ID25" s="169"/>
      <c r="IE25" s="169"/>
      <c r="IF25" s="169"/>
      <c r="IG25" s="169"/>
      <c r="IH25" s="169"/>
      <c r="II25" s="169"/>
      <c r="IJ25" s="169"/>
      <c r="IK25" s="169"/>
      <c r="IL25" s="169"/>
      <c r="IM25" s="169"/>
      <c r="IN25" s="169"/>
      <c r="IO25" s="169"/>
      <c r="IP25" s="169"/>
      <c r="IQ25" s="169"/>
      <c r="IR25" s="169"/>
    </row>
    <row r="26" spans="1:252" ht="15" x14ac:dyDescent="0.25">
      <c r="A26" s="1225">
        <v>6</v>
      </c>
      <c r="B26" s="1226">
        <v>44834</v>
      </c>
      <c r="C26" s="1245">
        <f>'REINT_REAJ_ (2)'!E23</f>
        <v>1669307.74</v>
      </c>
      <c r="D26" s="1248">
        <f t="shared" si="1"/>
        <v>1515107.81</v>
      </c>
      <c r="E26" s="1416">
        <f>C26*0.1</f>
        <v>166930.774</v>
      </c>
      <c r="F26" s="1250">
        <f>F25</f>
        <v>0.99499999999999988</v>
      </c>
      <c r="G26" s="1251">
        <f>'REINT_REAJ_ (2)'!G23+1</f>
        <v>1.097</v>
      </c>
      <c r="H26" s="1433">
        <v>19842.52</v>
      </c>
      <c r="I26" s="1377">
        <f t="shared" si="0"/>
        <v>17112.501500454709</v>
      </c>
      <c r="J26" s="175"/>
      <c r="K26" s="175"/>
      <c r="L26" s="175"/>
      <c r="M26" s="175"/>
      <c r="N26" s="175"/>
      <c r="O26" s="175"/>
      <c r="P26" s="175"/>
      <c r="Q26" s="175"/>
      <c r="R26" s="175"/>
      <c r="S26" s="175"/>
      <c r="T26" s="175"/>
      <c r="U26" s="175"/>
      <c r="V26" s="175"/>
      <c r="W26" s="175"/>
      <c r="X26" s="175"/>
      <c r="Y26" s="175"/>
      <c r="Z26" s="175"/>
      <c r="AA26" s="175"/>
      <c r="AB26" s="169"/>
      <c r="AC26" s="169"/>
      <c r="AD26" s="169"/>
      <c r="AE26" s="169"/>
      <c r="AF26" s="169"/>
      <c r="AG26" s="169"/>
      <c r="AH26" s="169"/>
      <c r="AI26" s="169"/>
      <c r="AJ26" s="169"/>
      <c r="AK26" s="169"/>
      <c r="AL26" s="169"/>
      <c r="AM26" s="169"/>
      <c r="AN26" s="169"/>
      <c r="AO26" s="169"/>
      <c r="AP26" s="169"/>
      <c r="AQ26" s="169"/>
      <c r="AR26" s="169"/>
      <c r="AS26" s="169"/>
      <c r="AT26" s="169"/>
      <c r="AU26" s="169"/>
      <c r="AV26" s="169"/>
      <c r="AW26" s="169"/>
      <c r="AX26" s="169"/>
      <c r="AY26" s="169"/>
      <c r="AZ26" s="169"/>
      <c r="BA26" s="169"/>
      <c r="BB26" s="169"/>
      <c r="BC26" s="169"/>
      <c r="BD26" s="169"/>
      <c r="BE26" s="169"/>
      <c r="BF26" s="169"/>
      <c r="BG26" s="169"/>
      <c r="BH26" s="169"/>
      <c r="BI26" s="169"/>
      <c r="BJ26" s="169"/>
      <c r="BK26" s="169"/>
      <c r="BL26" s="169"/>
      <c r="BM26" s="169"/>
      <c r="BN26" s="169"/>
      <c r="BO26" s="169"/>
      <c r="BP26" s="169"/>
      <c r="BQ26" s="169"/>
      <c r="BR26" s="169"/>
      <c r="BS26" s="169"/>
      <c r="BT26" s="169"/>
      <c r="BU26" s="169"/>
      <c r="BV26" s="169"/>
      <c r="BW26" s="169"/>
      <c r="BX26" s="169"/>
      <c r="BY26" s="169"/>
      <c r="BZ26" s="169"/>
      <c r="CA26" s="169"/>
      <c r="CB26" s="169"/>
      <c r="CC26" s="169"/>
      <c r="CD26" s="169"/>
      <c r="CE26" s="169"/>
      <c r="CF26" s="169"/>
      <c r="CG26" s="169"/>
      <c r="CH26" s="169"/>
      <c r="CI26" s="169"/>
      <c r="CJ26" s="169"/>
      <c r="CK26" s="169"/>
      <c r="CL26" s="169"/>
      <c r="CM26" s="169"/>
      <c r="CN26" s="169"/>
      <c r="CO26" s="169"/>
      <c r="CP26" s="169"/>
      <c r="CQ26" s="169"/>
      <c r="CR26" s="169"/>
      <c r="CS26" s="169"/>
      <c r="CT26" s="169"/>
      <c r="CU26" s="169"/>
      <c r="CV26" s="169"/>
      <c r="CW26" s="169"/>
      <c r="CX26" s="169"/>
      <c r="CY26" s="169"/>
      <c r="CZ26" s="169"/>
      <c r="DA26" s="169"/>
      <c r="DB26" s="169"/>
      <c r="DC26" s="169"/>
      <c r="DD26" s="169"/>
      <c r="DE26" s="169"/>
      <c r="DF26" s="169"/>
      <c r="DG26" s="169"/>
      <c r="DH26" s="169"/>
      <c r="DI26" s="169"/>
      <c r="DJ26" s="169"/>
      <c r="DK26" s="169"/>
      <c r="DL26" s="169"/>
      <c r="DM26" s="169"/>
      <c r="DN26" s="169"/>
      <c r="DO26" s="169"/>
      <c r="DP26" s="169"/>
      <c r="DQ26" s="169"/>
      <c r="DR26" s="169"/>
      <c r="DS26" s="169"/>
      <c r="DT26" s="169"/>
      <c r="DU26" s="169"/>
      <c r="DV26" s="169"/>
      <c r="DW26" s="169"/>
      <c r="DX26" s="169"/>
      <c r="DY26" s="169"/>
      <c r="DZ26" s="169"/>
      <c r="EA26" s="169"/>
      <c r="EB26" s="169"/>
      <c r="EC26" s="169"/>
      <c r="ED26" s="169"/>
      <c r="EE26" s="169"/>
      <c r="EF26" s="169"/>
      <c r="EG26" s="169"/>
      <c r="EH26" s="169"/>
      <c r="EI26" s="169"/>
      <c r="EJ26" s="169"/>
      <c r="EK26" s="169"/>
      <c r="EL26" s="169"/>
      <c r="EM26" s="169"/>
      <c r="EN26" s="169"/>
      <c r="EO26" s="169"/>
      <c r="EP26" s="169"/>
      <c r="EQ26" s="169"/>
      <c r="ER26" s="169"/>
      <c r="ES26" s="169"/>
      <c r="ET26" s="169"/>
      <c r="EU26" s="169"/>
      <c r="EV26" s="169"/>
      <c r="EW26" s="169"/>
      <c r="EX26" s="169"/>
      <c r="EY26" s="169"/>
      <c r="EZ26" s="169"/>
      <c r="FA26" s="169"/>
      <c r="FB26" s="169"/>
      <c r="FC26" s="169"/>
      <c r="FD26" s="169"/>
      <c r="FE26" s="169"/>
      <c r="FF26" s="169"/>
      <c r="FG26" s="169"/>
      <c r="FH26" s="169"/>
      <c r="FI26" s="169"/>
      <c r="FJ26" s="169"/>
      <c r="FK26" s="169"/>
      <c r="FL26" s="169"/>
      <c r="FM26" s="169"/>
      <c r="FN26" s="169"/>
      <c r="FO26" s="169"/>
      <c r="FP26" s="169"/>
      <c r="FQ26" s="169"/>
      <c r="FR26" s="169"/>
      <c r="FS26" s="169"/>
      <c r="FT26" s="169"/>
      <c r="FU26" s="169"/>
      <c r="FV26" s="169"/>
      <c r="FW26" s="169"/>
      <c r="FX26" s="169"/>
      <c r="FY26" s="169"/>
      <c r="FZ26" s="169"/>
      <c r="GA26" s="169"/>
      <c r="GB26" s="169"/>
      <c r="GC26" s="169"/>
      <c r="GD26" s="169"/>
      <c r="GE26" s="169"/>
      <c r="GF26" s="169"/>
      <c r="GG26" s="169"/>
      <c r="GH26" s="169"/>
      <c r="GI26" s="169"/>
      <c r="GJ26" s="169"/>
      <c r="GK26" s="169"/>
      <c r="GL26" s="169"/>
      <c r="GM26" s="169"/>
      <c r="GN26" s="169"/>
      <c r="GO26" s="169"/>
      <c r="GP26" s="169"/>
      <c r="GQ26" s="169"/>
      <c r="GR26" s="169"/>
      <c r="GS26" s="169"/>
      <c r="GT26" s="169"/>
      <c r="GU26" s="169"/>
      <c r="GV26" s="169"/>
      <c r="GW26" s="169"/>
      <c r="GX26" s="169"/>
      <c r="GY26" s="169"/>
      <c r="GZ26" s="169"/>
      <c r="HA26" s="169"/>
      <c r="HB26" s="169"/>
      <c r="HC26" s="169"/>
      <c r="HD26" s="169"/>
      <c r="HE26" s="169"/>
      <c r="HF26" s="169"/>
      <c r="HG26" s="169"/>
      <c r="HH26" s="169"/>
      <c r="HI26" s="169"/>
      <c r="HJ26" s="169"/>
      <c r="HK26" s="169"/>
      <c r="HL26" s="169"/>
      <c r="HM26" s="169"/>
      <c r="HN26" s="169"/>
      <c r="HO26" s="169"/>
      <c r="HP26" s="169"/>
      <c r="HQ26" s="169"/>
      <c r="HR26" s="169"/>
      <c r="HS26" s="169"/>
      <c r="HT26" s="169"/>
      <c r="HU26" s="169"/>
      <c r="HV26" s="169"/>
      <c r="HW26" s="169"/>
      <c r="HX26" s="169"/>
      <c r="HY26" s="169"/>
      <c r="HZ26" s="169"/>
      <c r="IA26" s="169"/>
      <c r="IB26" s="169"/>
      <c r="IC26" s="169"/>
      <c r="ID26" s="169"/>
      <c r="IE26" s="169"/>
      <c r="IF26" s="169"/>
      <c r="IG26" s="169"/>
      <c r="IH26" s="169"/>
      <c r="II26" s="169"/>
      <c r="IJ26" s="169"/>
      <c r="IK26" s="169"/>
      <c r="IL26" s="169"/>
      <c r="IM26" s="169"/>
      <c r="IN26" s="169"/>
      <c r="IO26" s="169"/>
      <c r="IP26" s="169"/>
      <c r="IQ26" s="169"/>
      <c r="IR26" s="169"/>
    </row>
    <row r="27" spans="1:252" ht="15" x14ac:dyDescent="0.25">
      <c r="A27" s="1225">
        <v>7</v>
      </c>
      <c r="B27" s="1226">
        <v>44865</v>
      </c>
      <c r="C27" s="1245">
        <f>'REINT_REAJ_ (2)'!E24</f>
        <v>134499.1</v>
      </c>
      <c r="D27" s="1248">
        <f t="shared" si="1"/>
        <v>1515107.81</v>
      </c>
      <c r="E27" s="1416">
        <f>C27*0.1</f>
        <v>13449.910000000002</v>
      </c>
      <c r="F27" s="1250">
        <f>F26</f>
        <v>0.99499999999999988</v>
      </c>
      <c r="G27" s="1251">
        <f>'REINT_REAJ_ (2)'!G24+1</f>
        <v>1.081</v>
      </c>
      <c r="H27" s="1433">
        <v>4138.84</v>
      </c>
      <c r="I27" s="1377">
        <f t="shared" ref="I27" si="3">+$D$14*C27*(G27-F27)/($D$13*$F$21)</f>
        <v>1162.5047869887003</v>
      </c>
      <c r="J27" s="175"/>
      <c r="K27" s="175"/>
      <c r="L27" s="175"/>
      <c r="M27" s="175"/>
      <c r="N27" s="175"/>
      <c r="O27" s="175"/>
      <c r="P27" s="175"/>
      <c r="Q27" s="175"/>
      <c r="R27" s="175"/>
      <c r="S27" s="175"/>
      <c r="T27" s="175"/>
      <c r="U27" s="175"/>
      <c r="V27" s="175"/>
      <c r="W27" s="175"/>
      <c r="X27" s="175"/>
      <c r="Y27" s="175"/>
      <c r="Z27" s="175"/>
      <c r="AA27" s="175"/>
      <c r="AB27" s="169"/>
      <c r="AC27" s="169"/>
      <c r="AD27" s="169"/>
      <c r="AE27" s="169"/>
      <c r="AF27" s="169"/>
      <c r="AG27" s="169"/>
      <c r="AH27" s="169"/>
      <c r="AI27" s="169"/>
      <c r="AJ27" s="169"/>
      <c r="AK27" s="169"/>
      <c r="AL27" s="169"/>
      <c r="AM27" s="169"/>
      <c r="AN27" s="169"/>
      <c r="AO27" s="169"/>
      <c r="AP27" s="169"/>
      <c r="AQ27" s="169"/>
      <c r="AR27" s="169"/>
      <c r="AS27" s="169"/>
      <c r="AT27" s="169"/>
      <c r="AU27" s="169"/>
      <c r="AV27" s="169"/>
      <c r="AW27" s="169"/>
      <c r="AX27" s="169"/>
      <c r="AY27" s="169"/>
      <c r="AZ27" s="169"/>
      <c r="BA27" s="169"/>
      <c r="BB27" s="169"/>
      <c r="BC27" s="169"/>
      <c r="BD27" s="169"/>
      <c r="BE27" s="169"/>
      <c r="BF27" s="169"/>
      <c r="BG27" s="169"/>
      <c r="BH27" s="169"/>
      <c r="BI27" s="169"/>
      <c r="BJ27" s="169"/>
      <c r="BK27" s="169"/>
      <c r="BL27" s="169"/>
      <c r="BM27" s="169"/>
      <c r="BN27" s="169"/>
      <c r="BO27" s="169"/>
      <c r="BP27" s="169"/>
      <c r="BQ27" s="169"/>
      <c r="BR27" s="169"/>
      <c r="BS27" s="169"/>
      <c r="BT27" s="169"/>
      <c r="BU27" s="169"/>
      <c r="BV27" s="169"/>
      <c r="BW27" s="169"/>
      <c r="BX27" s="169"/>
      <c r="BY27" s="169"/>
      <c r="BZ27" s="169"/>
      <c r="CA27" s="169"/>
      <c r="CB27" s="169"/>
      <c r="CC27" s="169"/>
      <c r="CD27" s="169"/>
      <c r="CE27" s="169"/>
      <c r="CF27" s="169"/>
      <c r="CG27" s="169"/>
      <c r="CH27" s="169"/>
      <c r="CI27" s="169"/>
      <c r="CJ27" s="169"/>
      <c r="CK27" s="169"/>
      <c r="CL27" s="169"/>
      <c r="CM27" s="169"/>
      <c r="CN27" s="169"/>
      <c r="CO27" s="169"/>
      <c r="CP27" s="169"/>
      <c r="CQ27" s="169"/>
      <c r="CR27" s="169"/>
      <c r="CS27" s="169"/>
      <c r="CT27" s="169"/>
      <c r="CU27" s="169"/>
      <c r="CV27" s="169"/>
      <c r="CW27" s="169"/>
      <c r="CX27" s="169"/>
      <c r="CY27" s="169"/>
      <c r="CZ27" s="169"/>
      <c r="DA27" s="169"/>
      <c r="DB27" s="169"/>
      <c r="DC27" s="169"/>
      <c r="DD27" s="169"/>
      <c r="DE27" s="169"/>
      <c r="DF27" s="169"/>
      <c r="DG27" s="169"/>
      <c r="DH27" s="169"/>
      <c r="DI27" s="169"/>
      <c r="DJ27" s="169"/>
      <c r="DK27" s="169"/>
      <c r="DL27" s="169"/>
      <c r="DM27" s="169"/>
      <c r="DN27" s="169"/>
      <c r="DO27" s="169"/>
      <c r="DP27" s="169"/>
      <c r="DQ27" s="169"/>
      <c r="DR27" s="169"/>
      <c r="DS27" s="169"/>
      <c r="DT27" s="169"/>
      <c r="DU27" s="169"/>
      <c r="DV27" s="169"/>
      <c r="DW27" s="169"/>
      <c r="DX27" s="169"/>
      <c r="DY27" s="169"/>
      <c r="DZ27" s="169"/>
      <c r="EA27" s="169"/>
      <c r="EB27" s="169"/>
      <c r="EC27" s="169"/>
      <c r="ED27" s="169"/>
      <c r="EE27" s="169"/>
      <c r="EF27" s="169"/>
      <c r="EG27" s="169"/>
      <c r="EH27" s="169"/>
      <c r="EI27" s="169"/>
      <c r="EJ27" s="169"/>
      <c r="EK27" s="169"/>
      <c r="EL27" s="169"/>
      <c r="EM27" s="169"/>
      <c r="EN27" s="169"/>
      <c r="EO27" s="169"/>
      <c r="EP27" s="169"/>
      <c r="EQ27" s="169"/>
      <c r="ER27" s="169"/>
      <c r="ES27" s="169"/>
      <c r="ET27" s="169"/>
      <c r="EU27" s="169"/>
      <c r="EV27" s="169"/>
      <c r="EW27" s="169"/>
      <c r="EX27" s="169"/>
      <c r="EY27" s="169"/>
      <c r="EZ27" s="169"/>
      <c r="FA27" s="169"/>
      <c r="FB27" s="169"/>
      <c r="FC27" s="169"/>
      <c r="FD27" s="169"/>
      <c r="FE27" s="169"/>
      <c r="FF27" s="169"/>
      <c r="FG27" s="169"/>
      <c r="FH27" s="169"/>
      <c r="FI27" s="169"/>
      <c r="FJ27" s="169"/>
      <c r="FK27" s="169"/>
      <c r="FL27" s="169"/>
      <c r="FM27" s="169"/>
      <c r="FN27" s="169"/>
      <c r="FO27" s="169"/>
      <c r="FP27" s="169"/>
      <c r="FQ27" s="169"/>
      <c r="FR27" s="169"/>
      <c r="FS27" s="169"/>
      <c r="FT27" s="169"/>
      <c r="FU27" s="169"/>
      <c r="FV27" s="169"/>
      <c r="FW27" s="169"/>
      <c r="FX27" s="169"/>
      <c r="FY27" s="169"/>
      <c r="FZ27" s="169"/>
      <c r="GA27" s="169"/>
      <c r="GB27" s="169"/>
      <c r="GC27" s="169"/>
      <c r="GD27" s="169"/>
      <c r="GE27" s="169"/>
      <c r="GF27" s="169"/>
      <c r="GG27" s="169"/>
      <c r="GH27" s="169"/>
      <c r="GI27" s="169"/>
      <c r="GJ27" s="169"/>
      <c r="GK27" s="169"/>
      <c r="GL27" s="169"/>
      <c r="GM27" s="169"/>
      <c r="GN27" s="169"/>
      <c r="GO27" s="169"/>
      <c r="GP27" s="169"/>
      <c r="GQ27" s="169"/>
      <c r="GR27" s="169"/>
      <c r="GS27" s="169"/>
      <c r="GT27" s="169"/>
      <c r="GU27" s="169"/>
      <c r="GV27" s="169"/>
      <c r="GW27" s="169"/>
      <c r="GX27" s="169"/>
      <c r="GY27" s="169"/>
      <c r="GZ27" s="169"/>
      <c r="HA27" s="169"/>
      <c r="HB27" s="169"/>
      <c r="HC27" s="169"/>
      <c r="HD27" s="169"/>
      <c r="HE27" s="169"/>
      <c r="HF27" s="169"/>
      <c r="HG27" s="169"/>
      <c r="HH27" s="169"/>
      <c r="HI27" s="169"/>
      <c r="HJ27" s="169"/>
      <c r="HK27" s="169"/>
      <c r="HL27" s="169"/>
      <c r="HM27" s="169"/>
      <c r="HN27" s="169"/>
      <c r="HO27" s="169"/>
      <c r="HP27" s="169"/>
      <c r="HQ27" s="169"/>
      <c r="HR27" s="169"/>
      <c r="HS27" s="169"/>
      <c r="HT27" s="169"/>
      <c r="HU27" s="169"/>
      <c r="HV27" s="169"/>
      <c r="HW27" s="169"/>
      <c r="HX27" s="169"/>
      <c r="HY27" s="169"/>
      <c r="HZ27" s="169"/>
      <c r="IA27" s="169"/>
      <c r="IB27" s="169"/>
      <c r="IC27" s="169"/>
      <c r="ID27" s="169"/>
      <c r="IE27" s="169"/>
      <c r="IF27" s="169"/>
      <c r="IG27" s="169"/>
      <c r="IH27" s="169"/>
      <c r="II27" s="169"/>
      <c r="IJ27" s="169"/>
      <c r="IK27" s="169"/>
      <c r="IL27" s="169"/>
      <c r="IM27" s="169"/>
      <c r="IN27" s="169"/>
      <c r="IO27" s="169"/>
      <c r="IP27" s="169"/>
      <c r="IQ27" s="169"/>
      <c r="IR27" s="169"/>
    </row>
    <row r="28" spans="1:252" ht="15" x14ac:dyDescent="0.25">
      <c r="A28" s="1225">
        <v>8</v>
      </c>
      <c r="B28" s="1226">
        <v>44895</v>
      </c>
      <c r="C28" s="1245">
        <f>'REINT_REAJ_ (2)'!E25</f>
        <v>1413649.97</v>
      </c>
      <c r="D28" s="1248">
        <f t="shared" si="1"/>
        <v>1515107.81</v>
      </c>
      <c r="E28" s="1416">
        <f>C28*0.1</f>
        <v>141364.997</v>
      </c>
      <c r="F28" s="1250">
        <f>F27</f>
        <v>0.99499999999999988</v>
      </c>
      <c r="G28" s="1251">
        <f>'REINT_REAJ_ (2)'!G25+1</f>
        <v>1.081</v>
      </c>
      <c r="H28" s="1433">
        <v>5382.17</v>
      </c>
      <c r="I28" s="1377">
        <f>+$D$14*C28*(G28-F28)/($D$13*$F$21)</f>
        <v>12218.482185021554</v>
      </c>
      <c r="J28" s="175"/>
      <c r="K28" s="175"/>
      <c r="L28" s="175"/>
      <c r="M28" s="175"/>
      <c r="N28" s="175"/>
      <c r="O28" s="175"/>
      <c r="P28" s="175"/>
      <c r="Q28" s="175"/>
      <c r="R28" s="175"/>
      <c r="S28" s="175"/>
      <c r="T28" s="175"/>
      <c r="U28" s="175"/>
      <c r="V28" s="175"/>
      <c r="W28" s="175"/>
      <c r="X28" s="175"/>
      <c r="Y28" s="175"/>
      <c r="Z28" s="175"/>
      <c r="AA28" s="175"/>
      <c r="AB28" s="169"/>
      <c r="AC28" s="169"/>
      <c r="AD28" s="169"/>
      <c r="AE28" s="169"/>
      <c r="AF28" s="169"/>
      <c r="AG28" s="169"/>
      <c r="AH28" s="169"/>
      <c r="AI28" s="169"/>
      <c r="AJ28" s="169"/>
      <c r="AK28" s="169"/>
      <c r="AL28" s="169"/>
      <c r="AM28" s="169"/>
      <c r="AN28" s="169"/>
      <c r="AO28" s="169"/>
      <c r="AP28" s="169"/>
      <c r="AQ28" s="169"/>
      <c r="AR28" s="169"/>
      <c r="AS28" s="169"/>
      <c r="AT28" s="169"/>
      <c r="AU28" s="169"/>
      <c r="AV28" s="169"/>
      <c r="AW28" s="169"/>
      <c r="AX28" s="169"/>
      <c r="AY28" s="169"/>
      <c r="AZ28" s="169"/>
      <c r="BA28" s="169"/>
      <c r="BB28" s="169"/>
      <c r="BC28" s="169"/>
      <c r="BD28" s="169"/>
      <c r="BE28" s="169"/>
      <c r="BF28" s="169"/>
      <c r="BG28" s="169"/>
      <c r="BH28" s="169"/>
      <c r="BI28" s="169"/>
      <c r="BJ28" s="169"/>
      <c r="BK28" s="169"/>
      <c r="BL28" s="169"/>
      <c r="BM28" s="169"/>
      <c r="BN28" s="169"/>
      <c r="BO28" s="169"/>
      <c r="BP28" s="169"/>
      <c r="BQ28" s="169"/>
      <c r="BR28" s="169"/>
      <c r="BS28" s="169"/>
      <c r="BT28" s="169"/>
      <c r="BU28" s="169"/>
      <c r="BV28" s="169"/>
      <c r="BW28" s="169"/>
      <c r="BX28" s="169"/>
      <c r="BY28" s="169"/>
      <c r="BZ28" s="169"/>
      <c r="CA28" s="169"/>
      <c r="CB28" s="169"/>
      <c r="CC28" s="169"/>
      <c r="CD28" s="169"/>
      <c r="CE28" s="169"/>
      <c r="CF28" s="169"/>
      <c r="CG28" s="169"/>
      <c r="CH28" s="169"/>
      <c r="CI28" s="169"/>
      <c r="CJ28" s="169"/>
      <c r="CK28" s="169"/>
      <c r="CL28" s="169"/>
      <c r="CM28" s="169"/>
      <c r="CN28" s="169"/>
      <c r="CO28" s="169"/>
      <c r="CP28" s="169"/>
      <c r="CQ28" s="169"/>
      <c r="CR28" s="169"/>
      <c r="CS28" s="169"/>
      <c r="CT28" s="169"/>
      <c r="CU28" s="169"/>
      <c r="CV28" s="169"/>
      <c r="CW28" s="169"/>
      <c r="CX28" s="169"/>
      <c r="CY28" s="169"/>
      <c r="CZ28" s="169"/>
      <c r="DA28" s="169"/>
      <c r="DB28" s="169"/>
      <c r="DC28" s="169"/>
      <c r="DD28" s="169"/>
      <c r="DE28" s="169"/>
      <c r="DF28" s="169"/>
      <c r="DG28" s="169"/>
      <c r="DH28" s="169"/>
      <c r="DI28" s="169"/>
      <c r="DJ28" s="169"/>
      <c r="DK28" s="169"/>
      <c r="DL28" s="169"/>
      <c r="DM28" s="169"/>
      <c r="DN28" s="169"/>
      <c r="DO28" s="169"/>
      <c r="DP28" s="169"/>
      <c r="DQ28" s="169"/>
      <c r="DR28" s="169"/>
      <c r="DS28" s="169"/>
      <c r="DT28" s="169"/>
      <c r="DU28" s="169"/>
      <c r="DV28" s="169"/>
      <c r="DW28" s="169"/>
      <c r="DX28" s="169"/>
      <c r="DY28" s="169"/>
      <c r="DZ28" s="169"/>
      <c r="EA28" s="169"/>
      <c r="EB28" s="169"/>
      <c r="EC28" s="169"/>
      <c r="ED28" s="169"/>
      <c r="EE28" s="169"/>
      <c r="EF28" s="169"/>
      <c r="EG28" s="169"/>
      <c r="EH28" s="169"/>
      <c r="EI28" s="169"/>
      <c r="EJ28" s="169"/>
      <c r="EK28" s="169"/>
      <c r="EL28" s="169"/>
      <c r="EM28" s="169"/>
      <c r="EN28" s="169"/>
      <c r="EO28" s="169"/>
      <c r="EP28" s="169"/>
      <c r="EQ28" s="169"/>
      <c r="ER28" s="169"/>
      <c r="ES28" s="169"/>
      <c r="ET28" s="169"/>
      <c r="EU28" s="169"/>
      <c r="EV28" s="169"/>
      <c r="EW28" s="169"/>
      <c r="EX28" s="169"/>
      <c r="EY28" s="169"/>
      <c r="EZ28" s="169"/>
      <c r="FA28" s="169"/>
      <c r="FB28" s="169"/>
      <c r="FC28" s="169"/>
      <c r="FD28" s="169"/>
      <c r="FE28" s="169"/>
      <c r="FF28" s="169"/>
      <c r="FG28" s="169"/>
      <c r="FH28" s="169"/>
      <c r="FI28" s="169"/>
      <c r="FJ28" s="169"/>
      <c r="FK28" s="169"/>
      <c r="FL28" s="169"/>
      <c r="FM28" s="169"/>
      <c r="FN28" s="169"/>
      <c r="FO28" s="169"/>
      <c r="FP28" s="169"/>
      <c r="FQ28" s="169"/>
      <c r="FR28" s="169"/>
      <c r="FS28" s="169"/>
      <c r="FT28" s="169"/>
      <c r="FU28" s="169"/>
      <c r="FV28" s="169"/>
      <c r="FW28" s="169"/>
      <c r="FX28" s="169"/>
      <c r="FY28" s="169"/>
      <c r="FZ28" s="169"/>
      <c r="GA28" s="169"/>
      <c r="GB28" s="169"/>
      <c r="GC28" s="169"/>
      <c r="GD28" s="169"/>
      <c r="GE28" s="169"/>
      <c r="GF28" s="169"/>
      <c r="GG28" s="169"/>
      <c r="GH28" s="169"/>
      <c r="GI28" s="169"/>
      <c r="GJ28" s="169"/>
      <c r="GK28" s="169"/>
      <c r="GL28" s="169"/>
      <c r="GM28" s="169"/>
      <c r="GN28" s="169"/>
      <c r="GO28" s="169"/>
      <c r="GP28" s="169"/>
      <c r="GQ28" s="169"/>
      <c r="GR28" s="169"/>
      <c r="GS28" s="169"/>
      <c r="GT28" s="169"/>
      <c r="GU28" s="169"/>
      <c r="GV28" s="169"/>
      <c r="GW28" s="169"/>
      <c r="GX28" s="169"/>
      <c r="GY28" s="169"/>
      <c r="GZ28" s="169"/>
      <c r="HA28" s="169"/>
      <c r="HB28" s="169"/>
      <c r="HC28" s="169"/>
      <c r="HD28" s="169"/>
      <c r="HE28" s="169"/>
      <c r="HF28" s="169"/>
      <c r="HG28" s="169"/>
      <c r="HH28" s="169"/>
      <c r="HI28" s="169"/>
      <c r="HJ28" s="169"/>
      <c r="HK28" s="169"/>
      <c r="HL28" s="169"/>
      <c r="HM28" s="169"/>
      <c r="HN28" s="169"/>
      <c r="HO28" s="169"/>
      <c r="HP28" s="169"/>
      <c r="HQ28" s="169"/>
      <c r="HR28" s="169"/>
      <c r="HS28" s="169"/>
      <c r="HT28" s="169"/>
      <c r="HU28" s="169"/>
      <c r="HV28" s="169"/>
      <c r="HW28" s="169"/>
      <c r="HX28" s="169"/>
      <c r="HY28" s="169"/>
      <c r="HZ28" s="169"/>
      <c r="IA28" s="169"/>
      <c r="IB28" s="169"/>
      <c r="IC28" s="169"/>
      <c r="ID28" s="169"/>
      <c r="IE28" s="169"/>
      <c r="IF28" s="169"/>
      <c r="IG28" s="169"/>
      <c r="IH28" s="169"/>
      <c r="II28" s="169"/>
      <c r="IJ28" s="169"/>
      <c r="IK28" s="169"/>
      <c r="IL28" s="169"/>
      <c r="IM28" s="169"/>
      <c r="IN28" s="169"/>
      <c r="IO28" s="169"/>
      <c r="IP28" s="169"/>
      <c r="IQ28" s="169"/>
      <c r="IR28" s="169"/>
    </row>
    <row r="29" spans="1:252" ht="15" x14ac:dyDescent="0.25">
      <c r="A29" s="1225">
        <v>9</v>
      </c>
      <c r="B29" s="1226">
        <v>44926</v>
      </c>
      <c r="C29" s="1245">
        <f>'REINT_REAJ_ (2)'!E26</f>
        <v>213592.8</v>
      </c>
      <c r="D29" s="1248">
        <f t="shared" ref="D29" si="4">D28</f>
        <v>1515107.81</v>
      </c>
      <c r="E29" s="1416">
        <f>C29*0.1</f>
        <v>21359.279999999999</v>
      </c>
      <c r="F29" s="1250">
        <f>F28</f>
        <v>0.99499999999999988</v>
      </c>
      <c r="G29" s="1251">
        <f>'REINT_REAJ_ (2)'!G26+1</f>
        <v>1.081</v>
      </c>
      <c r="H29" s="1433">
        <v>17392.28</v>
      </c>
      <c r="I29" s="1377">
        <f>+$D$14*C29*(G29-F29)/($D$13*$F$21)</f>
        <v>1846.1287284920127</v>
      </c>
      <c r="J29" s="175"/>
      <c r="K29" s="175"/>
      <c r="L29" s="175"/>
      <c r="M29" s="175"/>
      <c r="N29" s="175"/>
      <c r="O29" s="175"/>
      <c r="P29" s="175"/>
      <c r="Q29" s="175"/>
      <c r="R29" s="175"/>
      <c r="S29" s="175"/>
      <c r="T29" s="175"/>
      <c r="U29" s="175"/>
      <c r="V29" s="175"/>
      <c r="W29" s="175"/>
      <c r="X29" s="175"/>
      <c r="Y29" s="175"/>
      <c r="Z29" s="175"/>
      <c r="AA29" s="175"/>
      <c r="AB29" s="169"/>
      <c r="AC29" s="169"/>
      <c r="AD29" s="169"/>
      <c r="AE29" s="169"/>
      <c r="AF29" s="169"/>
      <c r="AG29" s="169"/>
      <c r="AH29" s="169"/>
      <c r="AI29" s="169"/>
      <c r="AJ29" s="169"/>
      <c r="AK29" s="169"/>
      <c r="AL29" s="169"/>
      <c r="AM29" s="169"/>
      <c r="AN29" s="169"/>
      <c r="AO29" s="169"/>
      <c r="AP29" s="169"/>
      <c r="AQ29" s="169"/>
      <c r="AR29" s="169"/>
      <c r="AS29" s="169"/>
      <c r="AT29" s="169"/>
      <c r="AU29" s="169"/>
      <c r="AV29" s="169"/>
      <c r="AW29" s="169"/>
      <c r="AX29" s="169"/>
      <c r="AY29" s="169"/>
      <c r="AZ29" s="169"/>
      <c r="BA29" s="169"/>
      <c r="BB29" s="169"/>
      <c r="BC29" s="169"/>
      <c r="BD29" s="169"/>
      <c r="BE29" s="169"/>
      <c r="BF29" s="169"/>
      <c r="BG29" s="169"/>
      <c r="BH29" s="169"/>
      <c r="BI29" s="169"/>
      <c r="BJ29" s="169"/>
      <c r="BK29" s="169"/>
      <c r="BL29" s="169"/>
      <c r="BM29" s="169"/>
      <c r="BN29" s="169"/>
      <c r="BO29" s="169"/>
      <c r="BP29" s="169"/>
      <c r="BQ29" s="169"/>
      <c r="BR29" s="169"/>
      <c r="BS29" s="169"/>
      <c r="BT29" s="169"/>
      <c r="BU29" s="169"/>
      <c r="BV29" s="169"/>
      <c r="BW29" s="169"/>
      <c r="BX29" s="169"/>
      <c r="BY29" s="169"/>
      <c r="BZ29" s="169"/>
      <c r="CA29" s="169"/>
      <c r="CB29" s="169"/>
      <c r="CC29" s="169"/>
      <c r="CD29" s="169"/>
      <c r="CE29" s="169"/>
      <c r="CF29" s="169"/>
      <c r="CG29" s="169"/>
      <c r="CH29" s="169"/>
      <c r="CI29" s="169"/>
      <c r="CJ29" s="169"/>
      <c r="CK29" s="169"/>
      <c r="CL29" s="169"/>
      <c r="CM29" s="169"/>
      <c r="CN29" s="169"/>
      <c r="CO29" s="169"/>
      <c r="CP29" s="169"/>
      <c r="CQ29" s="169"/>
      <c r="CR29" s="169"/>
      <c r="CS29" s="169"/>
      <c r="CT29" s="169"/>
      <c r="CU29" s="169"/>
      <c r="CV29" s="169"/>
      <c r="CW29" s="169"/>
      <c r="CX29" s="169"/>
      <c r="CY29" s="169"/>
      <c r="CZ29" s="169"/>
      <c r="DA29" s="169"/>
      <c r="DB29" s="169"/>
      <c r="DC29" s="169"/>
      <c r="DD29" s="169"/>
      <c r="DE29" s="169"/>
      <c r="DF29" s="169"/>
      <c r="DG29" s="169"/>
      <c r="DH29" s="169"/>
      <c r="DI29" s="169"/>
      <c r="DJ29" s="169"/>
      <c r="DK29" s="169"/>
      <c r="DL29" s="169"/>
      <c r="DM29" s="169"/>
      <c r="DN29" s="169"/>
      <c r="DO29" s="169"/>
      <c r="DP29" s="169"/>
      <c r="DQ29" s="169"/>
      <c r="DR29" s="169"/>
      <c r="DS29" s="169"/>
      <c r="DT29" s="169"/>
      <c r="DU29" s="169"/>
      <c r="DV29" s="169"/>
      <c r="DW29" s="169"/>
      <c r="DX29" s="169"/>
      <c r="DY29" s="169"/>
      <c r="DZ29" s="169"/>
      <c r="EA29" s="169"/>
      <c r="EB29" s="169"/>
      <c r="EC29" s="169"/>
      <c r="ED29" s="169"/>
      <c r="EE29" s="169"/>
      <c r="EF29" s="169"/>
      <c r="EG29" s="169"/>
      <c r="EH29" s="169"/>
      <c r="EI29" s="169"/>
      <c r="EJ29" s="169"/>
      <c r="EK29" s="169"/>
      <c r="EL29" s="169"/>
      <c r="EM29" s="169"/>
      <c r="EN29" s="169"/>
      <c r="EO29" s="169"/>
      <c r="EP29" s="169"/>
      <c r="EQ29" s="169"/>
      <c r="ER29" s="169"/>
      <c r="ES29" s="169"/>
      <c r="ET29" s="169"/>
      <c r="EU29" s="169"/>
      <c r="EV29" s="169"/>
      <c r="EW29" s="169"/>
      <c r="EX29" s="169"/>
      <c r="EY29" s="169"/>
      <c r="EZ29" s="169"/>
      <c r="FA29" s="169"/>
      <c r="FB29" s="169"/>
      <c r="FC29" s="169"/>
      <c r="FD29" s="169"/>
      <c r="FE29" s="169"/>
      <c r="FF29" s="169"/>
      <c r="FG29" s="169"/>
      <c r="FH29" s="169"/>
      <c r="FI29" s="169"/>
      <c r="FJ29" s="169"/>
      <c r="FK29" s="169"/>
      <c r="FL29" s="169"/>
      <c r="FM29" s="169"/>
      <c r="FN29" s="169"/>
      <c r="FO29" s="169"/>
      <c r="FP29" s="169"/>
      <c r="FQ29" s="169"/>
      <c r="FR29" s="169"/>
      <c r="FS29" s="169"/>
      <c r="FT29" s="169"/>
      <c r="FU29" s="169"/>
      <c r="FV29" s="169"/>
      <c r="FW29" s="169"/>
      <c r="FX29" s="169"/>
      <c r="FY29" s="169"/>
      <c r="FZ29" s="169"/>
      <c r="GA29" s="169"/>
      <c r="GB29" s="169"/>
      <c r="GC29" s="169"/>
      <c r="GD29" s="169"/>
      <c r="GE29" s="169"/>
      <c r="GF29" s="169"/>
      <c r="GG29" s="169"/>
      <c r="GH29" s="169"/>
      <c r="GI29" s="169"/>
      <c r="GJ29" s="169"/>
      <c r="GK29" s="169"/>
      <c r="GL29" s="169"/>
      <c r="GM29" s="169"/>
      <c r="GN29" s="169"/>
      <c r="GO29" s="169"/>
      <c r="GP29" s="169"/>
      <c r="GQ29" s="169"/>
      <c r="GR29" s="169"/>
      <c r="GS29" s="169"/>
      <c r="GT29" s="169"/>
      <c r="GU29" s="169"/>
      <c r="GV29" s="169"/>
      <c r="GW29" s="169"/>
      <c r="GX29" s="169"/>
      <c r="GY29" s="169"/>
      <c r="GZ29" s="169"/>
      <c r="HA29" s="169"/>
      <c r="HB29" s="169"/>
      <c r="HC29" s="169"/>
      <c r="HD29" s="169"/>
      <c r="HE29" s="169"/>
      <c r="HF29" s="169"/>
      <c r="HG29" s="169"/>
      <c r="HH29" s="169"/>
      <c r="HI29" s="169"/>
      <c r="HJ29" s="169"/>
      <c r="HK29" s="169"/>
      <c r="HL29" s="169"/>
      <c r="HM29" s="169"/>
      <c r="HN29" s="169"/>
      <c r="HO29" s="169"/>
      <c r="HP29" s="169"/>
      <c r="HQ29" s="169"/>
      <c r="HR29" s="169"/>
      <c r="HS29" s="169"/>
      <c r="HT29" s="169"/>
      <c r="HU29" s="169"/>
      <c r="HV29" s="169"/>
      <c r="HW29" s="169"/>
      <c r="HX29" s="169"/>
      <c r="HY29" s="169"/>
      <c r="HZ29" s="169"/>
      <c r="IA29" s="169"/>
      <c r="IB29" s="169"/>
      <c r="IC29" s="169"/>
      <c r="ID29" s="169"/>
      <c r="IE29" s="169"/>
      <c r="IF29" s="169"/>
      <c r="IG29" s="169"/>
      <c r="IH29" s="169"/>
      <c r="II29" s="169"/>
      <c r="IJ29" s="169"/>
      <c r="IK29" s="169"/>
      <c r="IL29" s="169"/>
      <c r="IM29" s="169"/>
      <c r="IN29" s="169"/>
      <c r="IO29" s="169"/>
      <c r="IP29" s="169"/>
      <c r="IQ29" s="169"/>
      <c r="IR29" s="169"/>
    </row>
    <row r="30" spans="1:252" ht="15" x14ac:dyDescent="0.25">
      <c r="A30" s="1225">
        <v>10</v>
      </c>
      <c r="B30" s="1226">
        <v>44957</v>
      </c>
      <c r="C30" s="1245"/>
      <c r="D30" s="1248"/>
      <c r="E30" s="1417"/>
      <c r="F30" s="1247"/>
      <c r="G30" s="1247"/>
      <c r="H30" s="1434"/>
      <c r="I30" s="1377"/>
      <c r="J30" s="175"/>
      <c r="K30" s="175"/>
      <c r="L30" s="175"/>
      <c r="M30" s="175"/>
      <c r="N30" s="175"/>
      <c r="O30" s="175"/>
      <c r="P30" s="175"/>
      <c r="Q30" s="175"/>
      <c r="R30" s="175"/>
      <c r="S30" s="175"/>
      <c r="T30" s="175"/>
      <c r="U30" s="175"/>
      <c r="V30" s="175"/>
      <c r="W30" s="175"/>
      <c r="X30" s="175"/>
      <c r="Y30" s="175"/>
      <c r="Z30" s="175"/>
      <c r="AA30" s="175"/>
      <c r="AB30" s="169"/>
      <c r="AC30" s="169"/>
      <c r="AD30" s="169"/>
      <c r="AE30" s="169"/>
      <c r="AF30" s="169"/>
      <c r="AG30" s="169"/>
      <c r="AH30" s="169"/>
      <c r="AI30" s="169"/>
      <c r="AJ30" s="169"/>
      <c r="AK30" s="169"/>
      <c r="AL30" s="169"/>
      <c r="AM30" s="169"/>
      <c r="AN30" s="169"/>
      <c r="AO30" s="169"/>
      <c r="AP30" s="169"/>
      <c r="AQ30" s="169"/>
      <c r="AR30" s="169"/>
      <c r="AS30" s="169"/>
      <c r="AT30" s="169"/>
      <c r="AU30" s="169"/>
      <c r="AV30" s="169"/>
      <c r="AW30" s="169"/>
      <c r="AX30" s="169"/>
      <c r="AY30" s="169"/>
      <c r="AZ30" s="169"/>
      <c r="BA30" s="169"/>
      <c r="BB30" s="169"/>
      <c r="BC30" s="169"/>
      <c r="BD30" s="169"/>
      <c r="BE30" s="169"/>
      <c r="BF30" s="169"/>
      <c r="BG30" s="169"/>
      <c r="BH30" s="169"/>
      <c r="BI30" s="169"/>
      <c r="BJ30" s="169"/>
      <c r="BK30" s="169"/>
      <c r="BL30" s="169"/>
      <c r="BM30" s="169"/>
      <c r="BN30" s="169"/>
      <c r="BO30" s="169"/>
      <c r="BP30" s="169"/>
      <c r="BQ30" s="169"/>
      <c r="BR30" s="169"/>
      <c r="BS30" s="169"/>
      <c r="BT30" s="169"/>
      <c r="BU30" s="169"/>
      <c r="BV30" s="169"/>
      <c r="BW30" s="169"/>
      <c r="BX30" s="169"/>
      <c r="BY30" s="169"/>
      <c r="BZ30" s="169"/>
      <c r="CA30" s="169"/>
      <c r="CB30" s="169"/>
      <c r="CC30" s="169"/>
      <c r="CD30" s="169"/>
      <c r="CE30" s="169"/>
      <c r="CF30" s="169"/>
      <c r="CG30" s="169"/>
      <c r="CH30" s="169"/>
      <c r="CI30" s="169"/>
      <c r="CJ30" s="169"/>
      <c r="CK30" s="169"/>
      <c r="CL30" s="169"/>
      <c r="CM30" s="169"/>
      <c r="CN30" s="169"/>
      <c r="CO30" s="169"/>
      <c r="CP30" s="169"/>
      <c r="CQ30" s="169"/>
      <c r="CR30" s="169"/>
      <c r="CS30" s="169"/>
      <c r="CT30" s="169"/>
      <c r="CU30" s="169"/>
      <c r="CV30" s="169"/>
      <c r="CW30" s="169"/>
      <c r="CX30" s="169"/>
      <c r="CY30" s="169"/>
      <c r="CZ30" s="169"/>
      <c r="DA30" s="169"/>
      <c r="DB30" s="169"/>
      <c r="DC30" s="169"/>
      <c r="DD30" s="169"/>
      <c r="DE30" s="169"/>
      <c r="DF30" s="169"/>
      <c r="DG30" s="169"/>
      <c r="DH30" s="169"/>
      <c r="DI30" s="169"/>
      <c r="DJ30" s="169"/>
      <c r="DK30" s="169"/>
      <c r="DL30" s="169"/>
      <c r="DM30" s="169"/>
      <c r="DN30" s="169"/>
      <c r="DO30" s="169"/>
      <c r="DP30" s="169"/>
      <c r="DQ30" s="169"/>
      <c r="DR30" s="169"/>
      <c r="DS30" s="169"/>
      <c r="DT30" s="169"/>
      <c r="DU30" s="169"/>
      <c r="DV30" s="169"/>
      <c r="DW30" s="169"/>
      <c r="DX30" s="169"/>
      <c r="DY30" s="169"/>
      <c r="DZ30" s="169"/>
      <c r="EA30" s="169"/>
      <c r="EB30" s="169"/>
      <c r="EC30" s="169"/>
      <c r="ED30" s="169"/>
      <c r="EE30" s="169"/>
      <c r="EF30" s="169"/>
      <c r="EG30" s="169"/>
      <c r="EH30" s="169"/>
      <c r="EI30" s="169"/>
      <c r="EJ30" s="169"/>
      <c r="EK30" s="169"/>
      <c r="EL30" s="169"/>
      <c r="EM30" s="169"/>
      <c r="EN30" s="169"/>
      <c r="EO30" s="169"/>
      <c r="EP30" s="169"/>
      <c r="EQ30" s="169"/>
      <c r="ER30" s="169"/>
      <c r="ES30" s="169"/>
      <c r="ET30" s="169"/>
      <c r="EU30" s="169"/>
      <c r="EV30" s="169"/>
      <c r="EW30" s="169"/>
      <c r="EX30" s="169"/>
      <c r="EY30" s="169"/>
      <c r="EZ30" s="169"/>
      <c r="FA30" s="169"/>
      <c r="FB30" s="169"/>
      <c r="FC30" s="169"/>
      <c r="FD30" s="169"/>
      <c r="FE30" s="169"/>
      <c r="FF30" s="169"/>
      <c r="FG30" s="169"/>
      <c r="FH30" s="169"/>
      <c r="FI30" s="169"/>
      <c r="FJ30" s="169"/>
      <c r="FK30" s="169"/>
      <c r="FL30" s="169"/>
      <c r="FM30" s="169"/>
      <c r="FN30" s="169"/>
      <c r="FO30" s="169"/>
      <c r="FP30" s="169"/>
      <c r="FQ30" s="169"/>
      <c r="FR30" s="169"/>
      <c r="FS30" s="169"/>
      <c r="FT30" s="169"/>
      <c r="FU30" s="169"/>
      <c r="FV30" s="169"/>
      <c r="FW30" s="169"/>
      <c r="FX30" s="169"/>
      <c r="FY30" s="169"/>
      <c r="FZ30" s="169"/>
      <c r="GA30" s="169"/>
      <c r="GB30" s="169"/>
      <c r="GC30" s="169"/>
      <c r="GD30" s="169"/>
      <c r="GE30" s="169"/>
      <c r="GF30" s="169"/>
      <c r="GG30" s="169"/>
      <c r="GH30" s="169"/>
      <c r="GI30" s="169"/>
      <c r="GJ30" s="169"/>
      <c r="GK30" s="169"/>
      <c r="GL30" s="169"/>
      <c r="GM30" s="169"/>
      <c r="GN30" s="169"/>
      <c r="GO30" s="169"/>
      <c r="GP30" s="169"/>
      <c r="GQ30" s="169"/>
      <c r="GR30" s="169"/>
      <c r="GS30" s="169"/>
      <c r="GT30" s="169"/>
      <c r="GU30" s="169"/>
      <c r="GV30" s="169"/>
      <c r="GW30" s="169"/>
      <c r="GX30" s="169"/>
      <c r="GY30" s="169"/>
      <c r="GZ30" s="169"/>
      <c r="HA30" s="169"/>
      <c r="HB30" s="169"/>
      <c r="HC30" s="169"/>
      <c r="HD30" s="169"/>
      <c r="HE30" s="169"/>
      <c r="HF30" s="169"/>
      <c r="HG30" s="169"/>
      <c r="HH30" s="169"/>
      <c r="HI30" s="169"/>
      <c r="HJ30" s="169"/>
      <c r="HK30" s="169"/>
      <c r="HL30" s="169"/>
      <c r="HM30" s="169"/>
      <c r="HN30" s="169"/>
      <c r="HO30" s="169"/>
      <c r="HP30" s="169"/>
      <c r="HQ30" s="169"/>
      <c r="HR30" s="169"/>
      <c r="HS30" s="169"/>
      <c r="HT30" s="169"/>
      <c r="HU30" s="169"/>
      <c r="HV30" s="169"/>
      <c r="HW30" s="169"/>
      <c r="HX30" s="169"/>
      <c r="HY30" s="169"/>
      <c r="HZ30" s="169"/>
      <c r="IA30" s="169"/>
      <c r="IB30" s="169"/>
      <c r="IC30" s="169"/>
      <c r="ID30" s="169"/>
      <c r="IE30" s="169"/>
      <c r="IF30" s="169"/>
      <c r="IG30" s="169"/>
      <c r="IH30" s="169"/>
      <c r="II30" s="169"/>
      <c r="IJ30" s="169"/>
      <c r="IK30" s="169"/>
      <c r="IL30" s="169"/>
      <c r="IM30" s="169"/>
      <c r="IN30" s="169"/>
      <c r="IO30" s="169"/>
      <c r="IP30" s="169"/>
      <c r="IQ30" s="169"/>
      <c r="IR30" s="169"/>
    </row>
    <row r="31" spans="1:252" ht="15" x14ac:dyDescent="0.25">
      <c r="A31" s="1225">
        <v>11</v>
      </c>
      <c r="B31" s="1226">
        <v>44985</v>
      </c>
      <c r="C31" s="1245"/>
      <c r="D31" s="1248"/>
      <c r="E31" s="1417"/>
      <c r="F31" s="1247"/>
      <c r="G31" s="1247"/>
      <c r="H31" s="1434"/>
      <c r="I31" s="1377"/>
      <c r="J31" s="175"/>
      <c r="K31" s="175"/>
      <c r="L31" s="175"/>
      <c r="M31" s="175"/>
      <c r="N31" s="175"/>
      <c r="O31" s="175"/>
      <c r="P31" s="175"/>
      <c r="Q31" s="175"/>
      <c r="R31" s="175"/>
      <c r="S31" s="175"/>
      <c r="T31" s="175"/>
      <c r="U31" s="175"/>
      <c r="V31" s="175"/>
      <c r="W31" s="175"/>
      <c r="X31" s="175"/>
      <c r="Y31" s="175"/>
      <c r="Z31" s="175"/>
      <c r="AA31" s="175"/>
      <c r="AB31" s="169"/>
      <c r="AC31" s="169"/>
      <c r="AD31" s="169"/>
      <c r="AE31" s="169"/>
      <c r="AF31" s="169"/>
      <c r="AG31" s="169"/>
      <c r="AH31" s="169"/>
      <c r="AI31" s="169"/>
      <c r="AJ31" s="169"/>
      <c r="AK31" s="169"/>
      <c r="AL31" s="169"/>
      <c r="AM31" s="169"/>
      <c r="AN31" s="169"/>
      <c r="AO31" s="169"/>
      <c r="AP31" s="169"/>
      <c r="AQ31" s="169"/>
      <c r="AR31" s="169"/>
      <c r="AS31" s="169"/>
      <c r="AT31" s="169"/>
      <c r="AU31" s="169"/>
      <c r="AV31" s="169"/>
      <c r="AW31" s="169"/>
      <c r="AX31" s="169"/>
      <c r="AY31" s="169"/>
      <c r="AZ31" s="169"/>
      <c r="BA31" s="169"/>
      <c r="BB31" s="169"/>
      <c r="BC31" s="169"/>
      <c r="BD31" s="169"/>
      <c r="BE31" s="169"/>
      <c r="BF31" s="169"/>
      <c r="BG31" s="169"/>
      <c r="BH31" s="169"/>
      <c r="BI31" s="169"/>
      <c r="BJ31" s="169"/>
      <c r="BK31" s="169"/>
      <c r="BL31" s="169"/>
      <c r="BM31" s="169"/>
      <c r="BN31" s="169"/>
      <c r="BO31" s="169"/>
      <c r="BP31" s="169"/>
      <c r="BQ31" s="169"/>
      <c r="BR31" s="169"/>
      <c r="BS31" s="169"/>
      <c r="BT31" s="169"/>
      <c r="BU31" s="169"/>
      <c r="BV31" s="169"/>
      <c r="BW31" s="169"/>
      <c r="BX31" s="169"/>
      <c r="BY31" s="169"/>
      <c r="BZ31" s="169"/>
      <c r="CA31" s="169"/>
      <c r="CB31" s="169"/>
      <c r="CC31" s="169"/>
      <c r="CD31" s="169"/>
      <c r="CE31" s="169"/>
      <c r="CF31" s="169"/>
      <c r="CG31" s="169"/>
      <c r="CH31" s="169"/>
      <c r="CI31" s="169"/>
      <c r="CJ31" s="169"/>
      <c r="CK31" s="169"/>
      <c r="CL31" s="169"/>
      <c r="CM31" s="169"/>
      <c r="CN31" s="169"/>
      <c r="CO31" s="169"/>
      <c r="CP31" s="169"/>
      <c r="CQ31" s="169"/>
      <c r="CR31" s="169"/>
      <c r="CS31" s="169"/>
      <c r="CT31" s="169"/>
      <c r="CU31" s="169"/>
      <c r="CV31" s="169"/>
      <c r="CW31" s="169"/>
      <c r="CX31" s="169"/>
      <c r="CY31" s="169"/>
      <c r="CZ31" s="169"/>
      <c r="DA31" s="169"/>
      <c r="DB31" s="169"/>
      <c r="DC31" s="169"/>
      <c r="DD31" s="169"/>
      <c r="DE31" s="169"/>
      <c r="DF31" s="169"/>
      <c r="DG31" s="169"/>
      <c r="DH31" s="169"/>
      <c r="DI31" s="169"/>
      <c r="DJ31" s="169"/>
      <c r="DK31" s="169"/>
      <c r="DL31" s="169"/>
      <c r="DM31" s="169"/>
      <c r="DN31" s="169"/>
      <c r="DO31" s="169"/>
      <c r="DP31" s="169"/>
      <c r="DQ31" s="169"/>
      <c r="DR31" s="169"/>
      <c r="DS31" s="169"/>
      <c r="DT31" s="169"/>
      <c r="DU31" s="169"/>
      <c r="DV31" s="169"/>
      <c r="DW31" s="169"/>
      <c r="DX31" s="169"/>
      <c r="DY31" s="169"/>
      <c r="DZ31" s="169"/>
      <c r="EA31" s="169"/>
      <c r="EB31" s="169"/>
      <c r="EC31" s="169"/>
      <c r="ED31" s="169"/>
      <c r="EE31" s="169"/>
      <c r="EF31" s="169"/>
      <c r="EG31" s="169"/>
      <c r="EH31" s="169"/>
      <c r="EI31" s="169"/>
      <c r="EJ31" s="169"/>
      <c r="EK31" s="169"/>
      <c r="EL31" s="169"/>
      <c r="EM31" s="169"/>
      <c r="EN31" s="169"/>
      <c r="EO31" s="169"/>
      <c r="EP31" s="169"/>
      <c r="EQ31" s="169"/>
      <c r="ER31" s="169"/>
      <c r="ES31" s="169"/>
      <c r="ET31" s="169"/>
      <c r="EU31" s="169"/>
      <c r="EV31" s="169"/>
      <c r="EW31" s="169"/>
      <c r="EX31" s="169"/>
      <c r="EY31" s="169"/>
      <c r="EZ31" s="169"/>
      <c r="FA31" s="169"/>
      <c r="FB31" s="169"/>
      <c r="FC31" s="169"/>
      <c r="FD31" s="169"/>
      <c r="FE31" s="169"/>
      <c r="FF31" s="169"/>
      <c r="FG31" s="169"/>
      <c r="FH31" s="169"/>
      <c r="FI31" s="169"/>
      <c r="FJ31" s="169"/>
      <c r="FK31" s="169"/>
      <c r="FL31" s="169"/>
      <c r="FM31" s="169"/>
      <c r="FN31" s="169"/>
      <c r="FO31" s="169"/>
      <c r="FP31" s="169"/>
      <c r="FQ31" s="169"/>
      <c r="FR31" s="169"/>
      <c r="FS31" s="169"/>
      <c r="FT31" s="169"/>
      <c r="FU31" s="169"/>
      <c r="FV31" s="169"/>
      <c r="FW31" s="169"/>
      <c r="FX31" s="169"/>
      <c r="FY31" s="169"/>
      <c r="FZ31" s="169"/>
      <c r="GA31" s="169"/>
      <c r="GB31" s="169"/>
      <c r="GC31" s="169"/>
      <c r="GD31" s="169"/>
      <c r="GE31" s="169"/>
      <c r="GF31" s="169"/>
      <c r="GG31" s="169"/>
      <c r="GH31" s="169"/>
      <c r="GI31" s="169"/>
      <c r="GJ31" s="169"/>
      <c r="GK31" s="169"/>
      <c r="GL31" s="169"/>
      <c r="GM31" s="169"/>
      <c r="GN31" s="169"/>
      <c r="GO31" s="169"/>
      <c r="GP31" s="169"/>
      <c r="GQ31" s="169"/>
      <c r="GR31" s="169"/>
      <c r="GS31" s="169"/>
      <c r="GT31" s="169"/>
      <c r="GU31" s="169"/>
      <c r="GV31" s="169"/>
      <c r="GW31" s="169"/>
      <c r="GX31" s="169"/>
      <c r="GY31" s="169"/>
      <c r="GZ31" s="169"/>
      <c r="HA31" s="169"/>
      <c r="HB31" s="169"/>
      <c r="HC31" s="169"/>
      <c r="HD31" s="169"/>
      <c r="HE31" s="169"/>
      <c r="HF31" s="169"/>
      <c r="HG31" s="169"/>
      <c r="HH31" s="169"/>
      <c r="HI31" s="169"/>
      <c r="HJ31" s="169"/>
      <c r="HK31" s="169"/>
      <c r="HL31" s="169"/>
      <c r="HM31" s="169"/>
      <c r="HN31" s="169"/>
      <c r="HO31" s="169"/>
      <c r="HP31" s="169"/>
      <c r="HQ31" s="169"/>
      <c r="HR31" s="169"/>
      <c r="HS31" s="169"/>
      <c r="HT31" s="169"/>
      <c r="HU31" s="169"/>
      <c r="HV31" s="169"/>
      <c r="HW31" s="169"/>
      <c r="HX31" s="169"/>
      <c r="HY31" s="169"/>
      <c r="HZ31" s="169"/>
      <c r="IA31" s="169"/>
      <c r="IB31" s="169"/>
      <c r="IC31" s="169"/>
      <c r="ID31" s="169"/>
      <c r="IE31" s="169"/>
      <c r="IF31" s="169"/>
      <c r="IG31" s="169"/>
      <c r="IH31" s="169"/>
      <c r="II31" s="169"/>
      <c r="IJ31" s="169"/>
      <c r="IK31" s="169"/>
      <c r="IL31" s="169"/>
      <c r="IM31" s="169"/>
      <c r="IN31" s="169"/>
      <c r="IO31" s="169"/>
      <c r="IP31" s="169"/>
      <c r="IQ31" s="169"/>
      <c r="IR31" s="169"/>
    </row>
    <row r="32" spans="1:252" ht="15" x14ac:dyDescent="0.25">
      <c r="A32" s="1225">
        <v>12</v>
      </c>
      <c r="B32" s="1226">
        <v>45016</v>
      </c>
      <c r="C32" s="1245"/>
      <c r="D32" s="1248"/>
      <c r="E32" s="1417"/>
      <c r="F32" s="1247"/>
      <c r="G32" s="1247"/>
      <c r="H32" s="1434"/>
      <c r="I32" s="1377"/>
      <c r="J32" s="175"/>
      <c r="K32" s="175"/>
      <c r="L32" s="175"/>
      <c r="M32" s="175"/>
      <c r="N32" s="175"/>
      <c r="O32" s="175"/>
      <c r="P32" s="175"/>
      <c r="Q32" s="175"/>
      <c r="R32" s="175"/>
      <c r="S32" s="175"/>
      <c r="T32" s="175"/>
      <c r="U32" s="175"/>
      <c r="V32" s="175"/>
      <c r="W32" s="175"/>
      <c r="X32" s="175"/>
      <c r="Y32" s="175"/>
      <c r="Z32" s="175"/>
      <c r="AA32" s="175"/>
      <c r="AB32" s="169"/>
      <c r="AC32" s="169"/>
      <c r="AD32" s="169"/>
      <c r="AE32" s="169"/>
      <c r="AF32" s="169"/>
      <c r="AG32" s="169"/>
      <c r="AH32" s="169"/>
      <c r="AI32" s="169"/>
      <c r="AJ32" s="169"/>
      <c r="AK32" s="169"/>
      <c r="AL32" s="169"/>
      <c r="AM32" s="169"/>
      <c r="AN32" s="169"/>
      <c r="AO32" s="169"/>
      <c r="AP32" s="169"/>
      <c r="AQ32" s="169"/>
      <c r="AR32" s="169"/>
      <c r="AS32" s="169"/>
      <c r="AT32" s="169"/>
      <c r="AU32" s="169"/>
      <c r="AV32" s="169"/>
      <c r="AW32" s="169"/>
      <c r="AX32" s="169"/>
      <c r="AY32" s="169"/>
      <c r="AZ32" s="169"/>
      <c r="BA32" s="169"/>
      <c r="BB32" s="169"/>
      <c r="BC32" s="169"/>
      <c r="BD32" s="169"/>
      <c r="BE32" s="169"/>
      <c r="BF32" s="169"/>
      <c r="BG32" s="169"/>
      <c r="BH32" s="169"/>
      <c r="BI32" s="169"/>
      <c r="BJ32" s="169"/>
      <c r="BK32" s="169"/>
      <c r="BL32" s="169"/>
      <c r="BM32" s="169"/>
      <c r="BN32" s="169"/>
      <c r="BO32" s="169"/>
      <c r="BP32" s="169"/>
      <c r="BQ32" s="169"/>
      <c r="BR32" s="169"/>
      <c r="BS32" s="169"/>
      <c r="BT32" s="169"/>
      <c r="BU32" s="169"/>
      <c r="BV32" s="169"/>
      <c r="BW32" s="169"/>
      <c r="BX32" s="169"/>
      <c r="BY32" s="169"/>
      <c r="BZ32" s="169"/>
      <c r="CA32" s="169"/>
      <c r="CB32" s="169"/>
      <c r="CC32" s="169"/>
      <c r="CD32" s="169"/>
      <c r="CE32" s="169"/>
      <c r="CF32" s="169"/>
      <c r="CG32" s="169"/>
      <c r="CH32" s="169"/>
      <c r="CI32" s="169"/>
      <c r="CJ32" s="169"/>
      <c r="CK32" s="169"/>
      <c r="CL32" s="169"/>
      <c r="CM32" s="169"/>
      <c r="CN32" s="169"/>
      <c r="CO32" s="169"/>
      <c r="CP32" s="169"/>
      <c r="CQ32" s="169"/>
      <c r="CR32" s="169"/>
      <c r="CS32" s="169"/>
      <c r="CT32" s="169"/>
      <c r="CU32" s="169"/>
      <c r="CV32" s="169"/>
      <c r="CW32" s="169"/>
      <c r="CX32" s="169"/>
      <c r="CY32" s="169"/>
      <c r="CZ32" s="169"/>
      <c r="DA32" s="169"/>
      <c r="DB32" s="169"/>
      <c r="DC32" s="169"/>
      <c r="DD32" s="169"/>
      <c r="DE32" s="169"/>
      <c r="DF32" s="169"/>
      <c r="DG32" s="169"/>
      <c r="DH32" s="169"/>
      <c r="DI32" s="169"/>
      <c r="DJ32" s="169"/>
      <c r="DK32" s="169"/>
      <c r="DL32" s="169"/>
      <c r="DM32" s="169"/>
      <c r="DN32" s="169"/>
      <c r="DO32" s="169"/>
      <c r="DP32" s="169"/>
      <c r="DQ32" s="169"/>
      <c r="DR32" s="169"/>
      <c r="DS32" s="169"/>
      <c r="DT32" s="169"/>
      <c r="DU32" s="169"/>
      <c r="DV32" s="169"/>
      <c r="DW32" s="169"/>
      <c r="DX32" s="169"/>
      <c r="DY32" s="169"/>
      <c r="DZ32" s="169"/>
      <c r="EA32" s="169"/>
      <c r="EB32" s="169"/>
      <c r="EC32" s="169"/>
      <c r="ED32" s="169"/>
      <c r="EE32" s="169"/>
      <c r="EF32" s="169"/>
      <c r="EG32" s="169"/>
      <c r="EH32" s="169"/>
      <c r="EI32" s="169"/>
      <c r="EJ32" s="169"/>
      <c r="EK32" s="169"/>
      <c r="EL32" s="169"/>
      <c r="EM32" s="169"/>
      <c r="EN32" s="169"/>
      <c r="EO32" s="169"/>
      <c r="EP32" s="169"/>
      <c r="EQ32" s="169"/>
      <c r="ER32" s="169"/>
      <c r="ES32" s="169"/>
      <c r="ET32" s="169"/>
      <c r="EU32" s="169"/>
      <c r="EV32" s="169"/>
      <c r="EW32" s="169"/>
      <c r="EX32" s="169"/>
      <c r="EY32" s="169"/>
      <c r="EZ32" s="169"/>
      <c r="FA32" s="169"/>
      <c r="FB32" s="169"/>
      <c r="FC32" s="169"/>
      <c r="FD32" s="169"/>
      <c r="FE32" s="169"/>
      <c r="FF32" s="169"/>
      <c r="FG32" s="169"/>
      <c r="FH32" s="169"/>
      <c r="FI32" s="169"/>
      <c r="FJ32" s="169"/>
      <c r="FK32" s="169"/>
      <c r="FL32" s="169"/>
      <c r="FM32" s="169"/>
      <c r="FN32" s="169"/>
      <c r="FO32" s="169"/>
      <c r="FP32" s="169"/>
      <c r="FQ32" s="169"/>
      <c r="FR32" s="169"/>
      <c r="FS32" s="169"/>
      <c r="FT32" s="169"/>
      <c r="FU32" s="169"/>
      <c r="FV32" s="169"/>
      <c r="FW32" s="169"/>
      <c r="FX32" s="169"/>
      <c r="FY32" s="169"/>
      <c r="FZ32" s="169"/>
      <c r="GA32" s="169"/>
      <c r="GB32" s="169"/>
      <c r="GC32" s="169"/>
      <c r="GD32" s="169"/>
      <c r="GE32" s="169"/>
      <c r="GF32" s="169"/>
      <c r="GG32" s="169"/>
      <c r="GH32" s="169"/>
      <c r="GI32" s="169"/>
      <c r="GJ32" s="169"/>
      <c r="GK32" s="169"/>
      <c r="GL32" s="169"/>
      <c r="GM32" s="169"/>
      <c r="GN32" s="169"/>
      <c r="GO32" s="169"/>
      <c r="GP32" s="169"/>
      <c r="GQ32" s="169"/>
      <c r="GR32" s="169"/>
      <c r="GS32" s="169"/>
      <c r="GT32" s="169"/>
      <c r="GU32" s="169"/>
      <c r="GV32" s="169"/>
      <c r="GW32" s="169"/>
      <c r="GX32" s="169"/>
      <c r="GY32" s="169"/>
      <c r="GZ32" s="169"/>
      <c r="HA32" s="169"/>
      <c r="HB32" s="169"/>
      <c r="HC32" s="169"/>
      <c r="HD32" s="169"/>
      <c r="HE32" s="169"/>
      <c r="HF32" s="169"/>
      <c r="HG32" s="169"/>
      <c r="HH32" s="169"/>
      <c r="HI32" s="169"/>
      <c r="HJ32" s="169"/>
      <c r="HK32" s="169"/>
      <c r="HL32" s="169"/>
      <c r="HM32" s="169"/>
      <c r="HN32" s="169"/>
      <c r="HO32" s="169"/>
      <c r="HP32" s="169"/>
      <c r="HQ32" s="169"/>
      <c r="HR32" s="169"/>
      <c r="HS32" s="169"/>
      <c r="HT32" s="169"/>
      <c r="HU32" s="169"/>
      <c r="HV32" s="169"/>
      <c r="HW32" s="169"/>
      <c r="HX32" s="169"/>
      <c r="HY32" s="169"/>
      <c r="HZ32" s="169"/>
      <c r="IA32" s="169"/>
      <c r="IB32" s="169"/>
      <c r="IC32" s="169"/>
      <c r="ID32" s="169"/>
      <c r="IE32" s="169"/>
      <c r="IF32" s="169"/>
      <c r="IG32" s="169"/>
      <c r="IH32" s="169"/>
      <c r="II32" s="169"/>
      <c r="IJ32" s="169"/>
      <c r="IK32" s="169"/>
      <c r="IL32" s="169"/>
      <c r="IM32" s="169"/>
      <c r="IN32" s="169"/>
      <c r="IO32" s="169"/>
      <c r="IP32" s="169"/>
      <c r="IQ32" s="169"/>
      <c r="IR32" s="169"/>
    </row>
    <row r="33" spans="1:252" ht="15.6" thickBot="1" x14ac:dyDescent="0.3">
      <c r="A33" s="1225">
        <v>13</v>
      </c>
      <c r="B33" s="1453">
        <v>45046</v>
      </c>
      <c r="C33" s="1454"/>
      <c r="D33" s="1418"/>
      <c r="E33" s="1418"/>
      <c r="F33" s="1455"/>
      <c r="G33" s="1455"/>
      <c r="H33" s="1435"/>
      <c r="I33" s="1456"/>
      <c r="J33" s="175"/>
      <c r="K33" s="175"/>
      <c r="L33" s="175"/>
      <c r="M33" s="175"/>
      <c r="N33" s="175"/>
      <c r="O33" s="175"/>
      <c r="P33" s="175"/>
      <c r="Q33" s="175"/>
      <c r="R33" s="175"/>
      <c r="S33" s="175"/>
      <c r="T33" s="175"/>
      <c r="U33" s="175"/>
      <c r="V33" s="175"/>
      <c r="W33" s="175"/>
      <c r="X33" s="175"/>
      <c r="Y33" s="175"/>
      <c r="Z33" s="175"/>
      <c r="AA33" s="175"/>
      <c r="AB33" s="169"/>
      <c r="AC33" s="169"/>
      <c r="AD33" s="169"/>
      <c r="AE33" s="169"/>
      <c r="AF33" s="169"/>
      <c r="AG33" s="169"/>
      <c r="AH33" s="169"/>
      <c r="AI33" s="169"/>
      <c r="AJ33" s="169"/>
      <c r="AK33" s="169"/>
      <c r="AL33" s="169"/>
      <c r="AM33" s="169"/>
      <c r="AN33" s="169"/>
      <c r="AO33" s="169"/>
      <c r="AP33" s="169"/>
      <c r="AQ33" s="169"/>
      <c r="AR33" s="169"/>
      <c r="AS33" s="169"/>
      <c r="AT33" s="169"/>
      <c r="AU33" s="169"/>
      <c r="AV33" s="169"/>
      <c r="AW33" s="169"/>
      <c r="AX33" s="169"/>
      <c r="AY33" s="169"/>
      <c r="AZ33" s="169"/>
      <c r="BA33" s="169"/>
      <c r="BB33" s="169"/>
      <c r="BC33" s="169"/>
      <c r="BD33" s="169"/>
      <c r="BE33" s="169"/>
      <c r="BF33" s="169"/>
      <c r="BG33" s="169"/>
      <c r="BH33" s="169"/>
      <c r="BI33" s="169"/>
      <c r="BJ33" s="169"/>
      <c r="BK33" s="169"/>
      <c r="BL33" s="169"/>
      <c r="BM33" s="169"/>
      <c r="BN33" s="169"/>
      <c r="BO33" s="169"/>
      <c r="BP33" s="169"/>
      <c r="BQ33" s="169"/>
      <c r="BR33" s="169"/>
      <c r="BS33" s="169"/>
      <c r="BT33" s="169"/>
      <c r="BU33" s="169"/>
      <c r="BV33" s="169"/>
      <c r="BW33" s="169"/>
      <c r="BX33" s="169"/>
      <c r="BY33" s="169"/>
      <c r="BZ33" s="169"/>
      <c r="CA33" s="169"/>
      <c r="CB33" s="169"/>
      <c r="CC33" s="169"/>
      <c r="CD33" s="169"/>
      <c r="CE33" s="169"/>
      <c r="CF33" s="169"/>
      <c r="CG33" s="169"/>
      <c r="CH33" s="169"/>
      <c r="CI33" s="169"/>
      <c r="CJ33" s="169"/>
      <c r="CK33" s="169"/>
      <c r="CL33" s="169"/>
      <c r="CM33" s="169"/>
      <c r="CN33" s="169"/>
      <c r="CO33" s="169"/>
      <c r="CP33" s="169"/>
      <c r="CQ33" s="169"/>
      <c r="CR33" s="169"/>
      <c r="CS33" s="169"/>
      <c r="CT33" s="169"/>
      <c r="CU33" s="169"/>
      <c r="CV33" s="169"/>
      <c r="CW33" s="169"/>
      <c r="CX33" s="169"/>
      <c r="CY33" s="169"/>
      <c r="CZ33" s="169"/>
      <c r="DA33" s="169"/>
      <c r="DB33" s="169"/>
      <c r="DC33" s="169"/>
      <c r="DD33" s="169"/>
      <c r="DE33" s="169"/>
      <c r="DF33" s="169"/>
      <c r="DG33" s="169"/>
      <c r="DH33" s="169"/>
      <c r="DI33" s="169"/>
      <c r="DJ33" s="169"/>
      <c r="DK33" s="169"/>
      <c r="DL33" s="169"/>
      <c r="DM33" s="169"/>
      <c r="DN33" s="169"/>
      <c r="DO33" s="169"/>
      <c r="DP33" s="169"/>
      <c r="DQ33" s="169"/>
      <c r="DR33" s="169"/>
      <c r="DS33" s="169"/>
      <c r="DT33" s="169"/>
      <c r="DU33" s="169"/>
      <c r="DV33" s="169"/>
      <c r="DW33" s="169"/>
      <c r="DX33" s="169"/>
      <c r="DY33" s="169"/>
      <c r="DZ33" s="169"/>
      <c r="EA33" s="169"/>
      <c r="EB33" s="169"/>
      <c r="EC33" s="169"/>
      <c r="ED33" s="169"/>
      <c r="EE33" s="169"/>
      <c r="EF33" s="169"/>
      <c r="EG33" s="169"/>
      <c r="EH33" s="169"/>
      <c r="EI33" s="169"/>
      <c r="EJ33" s="169"/>
      <c r="EK33" s="169"/>
      <c r="EL33" s="169"/>
      <c r="EM33" s="169"/>
      <c r="EN33" s="169"/>
      <c r="EO33" s="169"/>
      <c r="EP33" s="169"/>
      <c r="EQ33" s="169"/>
      <c r="ER33" s="169"/>
      <c r="ES33" s="169"/>
      <c r="ET33" s="169"/>
      <c r="EU33" s="169"/>
      <c r="EV33" s="169"/>
      <c r="EW33" s="169"/>
      <c r="EX33" s="169"/>
      <c r="EY33" s="169"/>
      <c r="EZ33" s="169"/>
      <c r="FA33" s="169"/>
      <c r="FB33" s="169"/>
      <c r="FC33" s="169"/>
      <c r="FD33" s="169"/>
      <c r="FE33" s="169"/>
      <c r="FF33" s="169"/>
      <c r="FG33" s="169"/>
      <c r="FH33" s="169"/>
      <c r="FI33" s="169"/>
      <c r="FJ33" s="169"/>
      <c r="FK33" s="169"/>
      <c r="FL33" s="169"/>
      <c r="FM33" s="169"/>
      <c r="FN33" s="169"/>
      <c r="FO33" s="169"/>
      <c r="FP33" s="169"/>
      <c r="FQ33" s="169"/>
      <c r="FR33" s="169"/>
      <c r="FS33" s="169"/>
      <c r="FT33" s="169"/>
      <c r="FU33" s="169"/>
      <c r="FV33" s="169"/>
      <c r="FW33" s="169"/>
      <c r="FX33" s="169"/>
      <c r="FY33" s="169"/>
      <c r="FZ33" s="169"/>
      <c r="GA33" s="169"/>
      <c r="GB33" s="169"/>
      <c r="GC33" s="169"/>
      <c r="GD33" s="169"/>
      <c r="GE33" s="169"/>
      <c r="GF33" s="169"/>
      <c r="GG33" s="169"/>
      <c r="GH33" s="169"/>
      <c r="GI33" s="169"/>
      <c r="GJ33" s="169"/>
      <c r="GK33" s="169"/>
      <c r="GL33" s="169"/>
      <c r="GM33" s="169"/>
      <c r="GN33" s="169"/>
      <c r="GO33" s="169"/>
      <c r="GP33" s="169"/>
      <c r="GQ33" s="169"/>
      <c r="GR33" s="169"/>
      <c r="GS33" s="169"/>
      <c r="GT33" s="169"/>
      <c r="GU33" s="169"/>
      <c r="GV33" s="169"/>
      <c r="GW33" s="169"/>
      <c r="GX33" s="169"/>
      <c r="GY33" s="169"/>
      <c r="GZ33" s="169"/>
      <c r="HA33" s="169"/>
      <c r="HB33" s="169"/>
      <c r="HC33" s="169"/>
      <c r="HD33" s="169"/>
      <c r="HE33" s="169"/>
      <c r="HF33" s="169"/>
      <c r="HG33" s="169"/>
      <c r="HH33" s="169"/>
      <c r="HI33" s="169"/>
      <c r="HJ33" s="169"/>
      <c r="HK33" s="169"/>
      <c r="HL33" s="169"/>
      <c r="HM33" s="169"/>
      <c r="HN33" s="169"/>
      <c r="HO33" s="169"/>
      <c r="HP33" s="169"/>
      <c r="HQ33" s="169"/>
      <c r="HR33" s="169"/>
      <c r="HS33" s="169"/>
      <c r="HT33" s="169"/>
      <c r="HU33" s="169"/>
      <c r="HV33" s="169"/>
      <c r="HW33" s="169"/>
      <c r="HX33" s="169"/>
      <c r="HY33" s="169"/>
      <c r="HZ33" s="169"/>
      <c r="IA33" s="169"/>
      <c r="IB33" s="169"/>
      <c r="IC33" s="169"/>
      <c r="ID33" s="169"/>
      <c r="IE33" s="169"/>
      <c r="IF33" s="169"/>
      <c r="IG33" s="169"/>
      <c r="IH33" s="169"/>
      <c r="II33" s="169"/>
      <c r="IJ33" s="169"/>
      <c r="IK33" s="169"/>
      <c r="IL33" s="169"/>
      <c r="IM33" s="169"/>
      <c r="IN33" s="169"/>
      <c r="IO33" s="169"/>
      <c r="IP33" s="169"/>
      <c r="IQ33" s="169"/>
      <c r="IR33" s="169"/>
    </row>
    <row r="34" spans="1:252" ht="16.2" thickBot="1" x14ac:dyDescent="0.35">
      <c r="A34" s="613" t="s">
        <v>19</v>
      </c>
      <c r="B34" s="1457"/>
      <c r="C34" s="615"/>
      <c r="D34" s="624"/>
      <c r="E34" s="624"/>
      <c r="F34" s="615"/>
      <c r="G34" s="615"/>
      <c r="H34" s="1458">
        <f>SUM(H22:H33)</f>
        <v>54485.16</v>
      </c>
      <c r="I34" s="1378">
        <f>SUM(I21:I33)</f>
        <v>53841.800655714353</v>
      </c>
      <c r="J34" s="617"/>
      <c r="K34" s="169"/>
      <c r="L34" s="169"/>
      <c r="M34" s="169"/>
      <c r="N34" s="169"/>
      <c r="O34" s="169"/>
      <c r="P34" s="169"/>
      <c r="Q34" s="169"/>
      <c r="R34" s="169"/>
      <c r="S34" s="169"/>
      <c r="T34" s="169"/>
      <c r="U34" s="169"/>
      <c r="V34" s="169"/>
      <c r="W34" s="169"/>
      <c r="X34" s="169"/>
      <c r="Y34" s="169"/>
      <c r="Z34" s="169"/>
      <c r="AA34" s="169"/>
      <c r="AB34" s="169"/>
      <c r="AC34" s="169"/>
      <c r="AD34" s="169"/>
      <c r="AE34" s="169"/>
      <c r="AF34" s="169"/>
      <c r="AG34" s="169"/>
      <c r="AH34" s="169"/>
      <c r="AI34" s="169"/>
      <c r="AJ34" s="169"/>
      <c r="AK34" s="169"/>
      <c r="AL34" s="169"/>
      <c r="AM34" s="169"/>
      <c r="AN34" s="169"/>
      <c r="AO34" s="169"/>
      <c r="AP34" s="169"/>
      <c r="AQ34" s="169"/>
      <c r="AR34" s="169"/>
      <c r="AS34" s="169"/>
      <c r="AT34" s="169"/>
      <c r="AU34" s="169"/>
      <c r="AV34" s="169"/>
      <c r="AW34" s="169"/>
      <c r="AX34" s="169"/>
      <c r="AY34" s="169"/>
      <c r="AZ34" s="169"/>
      <c r="BA34" s="169"/>
      <c r="BB34" s="169"/>
      <c r="BC34" s="169"/>
      <c r="BD34" s="169"/>
      <c r="BE34" s="169"/>
      <c r="BF34" s="169"/>
      <c r="BG34" s="169"/>
      <c r="BH34" s="169"/>
      <c r="BI34" s="169"/>
      <c r="BJ34" s="169"/>
      <c r="BK34" s="169"/>
      <c r="BL34" s="169"/>
      <c r="BM34" s="169"/>
      <c r="BN34" s="169"/>
      <c r="BO34" s="169"/>
      <c r="BP34" s="169"/>
      <c r="BQ34" s="169"/>
      <c r="BR34" s="169"/>
      <c r="BS34" s="169"/>
      <c r="BT34" s="169"/>
      <c r="BU34" s="169"/>
      <c r="BV34" s="169"/>
      <c r="BW34" s="169"/>
      <c r="BX34" s="169"/>
      <c r="BY34" s="169"/>
      <c r="BZ34" s="169"/>
      <c r="CA34" s="169"/>
      <c r="CB34" s="169"/>
      <c r="CC34" s="169"/>
      <c r="CD34" s="169"/>
      <c r="CE34" s="169"/>
      <c r="CF34" s="169"/>
      <c r="CG34" s="169"/>
      <c r="CH34" s="169"/>
      <c r="CI34" s="169"/>
      <c r="CJ34" s="169"/>
      <c r="CK34" s="169"/>
      <c r="CL34" s="169"/>
      <c r="CM34" s="169"/>
      <c r="CN34" s="169"/>
      <c r="CO34" s="169"/>
      <c r="CP34" s="169"/>
      <c r="CQ34" s="169"/>
      <c r="CR34" s="169"/>
      <c r="CS34" s="169"/>
      <c r="CT34" s="169"/>
      <c r="CU34" s="169"/>
      <c r="CV34" s="169"/>
      <c r="CW34" s="169"/>
      <c r="CX34" s="169"/>
      <c r="CY34" s="169"/>
      <c r="CZ34" s="169"/>
      <c r="DA34" s="169"/>
      <c r="DB34" s="169"/>
      <c r="DC34" s="169"/>
      <c r="DD34" s="169"/>
      <c r="DE34" s="169"/>
      <c r="DF34" s="169"/>
      <c r="DG34" s="169"/>
      <c r="DH34" s="169"/>
      <c r="DI34" s="169"/>
      <c r="DJ34" s="169"/>
      <c r="DK34" s="169"/>
      <c r="DL34" s="169"/>
      <c r="DM34" s="169"/>
      <c r="DN34" s="169"/>
      <c r="DO34" s="169"/>
      <c r="DP34" s="169"/>
      <c r="DQ34" s="169"/>
      <c r="DR34" s="169"/>
      <c r="DS34" s="169"/>
      <c r="DT34" s="169"/>
      <c r="DU34" s="169"/>
      <c r="DV34" s="169"/>
      <c r="DW34" s="169"/>
      <c r="DX34" s="169"/>
      <c r="DY34" s="169"/>
      <c r="DZ34" s="169"/>
      <c r="EA34" s="169"/>
      <c r="EB34" s="169"/>
      <c r="EC34" s="169"/>
      <c r="ED34" s="169"/>
      <c r="EE34" s="169"/>
      <c r="EF34" s="169"/>
      <c r="EG34" s="169"/>
      <c r="EH34" s="169"/>
      <c r="EI34" s="169"/>
      <c r="EJ34" s="169"/>
      <c r="EK34" s="169"/>
      <c r="EL34" s="169"/>
      <c r="EM34" s="169"/>
      <c r="EN34" s="169"/>
      <c r="EO34" s="169"/>
      <c r="EP34" s="169"/>
      <c r="EQ34" s="169"/>
      <c r="ER34" s="169"/>
      <c r="ES34" s="169"/>
      <c r="ET34" s="169"/>
      <c r="EU34" s="169"/>
      <c r="EV34" s="169"/>
      <c r="EW34" s="169"/>
      <c r="EX34" s="169"/>
      <c r="EY34" s="169"/>
      <c r="EZ34" s="169"/>
      <c r="FA34" s="169"/>
      <c r="FB34" s="169"/>
      <c r="FC34" s="169"/>
      <c r="FD34" s="169"/>
      <c r="FE34" s="169"/>
      <c r="FF34" s="169"/>
      <c r="FG34" s="169"/>
      <c r="FH34" s="169"/>
      <c r="FI34" s="169"/>
      <c r="FJ34" s="169"/>
      <c r="FK34" s="169"/>
      <c r="FL34" s="169"/>
      <c r="FM34" s="169"/>
      <c r="FN34" s="169"/>
      <c r="FO34" s="169"/>
      <c r="FP34" s="169"/>
      <c r="FQ34" s="169"/>
      <c r="FR34" s="169"/>
      <c r="FS34" s="169"/>
      <c r="FT34" s="169"/>
      <c r="FU34" s="169"/>
      <c r="FV34" s="169"/>
      <c r="FW34" s="169"/>
      <c r="FX34" s="169"/>
      <c r="FY34" s="169"/>
      <c r="FZ34" s="169"/>
      <c r="GA34" s="169"/>
      <c r="GB34" s="169"/>
      <c r="GC34" s="169"/>
      <c r="GD34" s="169"/>
      <c r="GE34" s="169"/>
      <c r="GF34" s="169"/>
      <c r="GG34" s="169"/>
      <c r="GH34" s="169"/>
      <c r="GI34" s="169"/>
      <c r="GJ34" s="169"/>
      <c r="GK34" s="169"/>
      <c r="GL34" s="169"/>
      <c r="GM34" s="169"/>
      <c r="GN34" s="169"/>
      <c r="GO34" s="169"/>
      <c r="GP34" s="169"/>
      <c r="GQ34" s="169"/>
      <c r="GR34" s="169"/>
      <c r="GS34" s="169"/>
      <c r="GT34" s="169"/>
      <c r="GU34" s="169"/>
      <c r="GV34" s="169"/>
      <c r="GW34" s="169"/>
      <c r="GX34" s="169"/>
      <c r="GY34" s="169"/>
      <c r="GZ34" s="169"/>
      <c r="HA34" s="169"/>
      <c r="HB34" s="169"/>
      <c r="HC34" s="169"/>
      <c r="HD34" s="169"/>
      <c r="HE34" s="169"/>
      <c r="HF34" s="169"/>
      <c r="HG34" s="169"/>
      <c r="HH34" s="169"/>
      <c r="HI34" s="169"/>
      <c r="HJ34" s="169"/>
      <c r="HK34" s="169"/>
      <c r="HL34" s="169"/>
      <c r="HM34" s="169"/>
      <c r="HN34" s="169"/>
      <c r="HO34" s="169"/>
      <c r="HP34" s="169"/>
      <c r="HQ34" s="169"/>
      <c r="HR34" s="169"/>
      <c r="HS34" s="169"/>
      <c r="HT34" s="169"/>
      <c r="HU34" s="169"/>
      <c r="HV34" s="169"/>
      <c r="HW34" s="169"/>
      <c r="HX34" s="169"/>
      <c r="HY34" s="169"/>
      <c r="HZ34" s="169"/>
      <c r="IA34" s="169"/>
      <c r="IB34" s="169"/>
      <c r="IC34" s="169"/>
      <c r="ID34" s="169"/>
      <c r="IE34" s="169"/>
      <c r="IF34" s="169"/>
      <c r="IG34" s="169"/>
      <c r="IH34" s="169"/>
      <c r="II34" s="169"/>
      <c r="IJ34" s="169"/>
      <c r="IK34" s="169"/>
      <c r="IL34" s="169"/>
      <c r="IM34" s="169"/>
      <c r="IN34" s="169"/>
      <c r="IO34" s="169"/>
      <c r="IP34" s="169"/>
      <c r="IQ34" s="169"/>
      <c r="IR34" s="169"/>
    </row>
    <row r="35" spans="1:252" x14ac:dyDescent="0.25">
      <c r="A35" s="501" t="s">
        <v>1800</v>
      </c>
      <c r="B35" s="501"/>
      <c r="C35" s="501"/>
      <c r="D35" s="570"/>
      <c r="E35" s="570"/>
      <c r="F35" s="501"/>
      <c r="G35" s="501"/>
      <c r="H35" s="501"/>
      <c r="I35" s="591">
        <f>+I34</f>
        <v>53841.800655714353</v>
      </c>
    </row>
    <row r="36" spans="1:252" x14ac:dyDescent="0.25">
      <c r="A36" s="501" t="s">
        <v>1801</v>
      </c>
      <c r="B36" s="501"/>
      <c r="C36" s="501"/>
      <c r="D36" s="570"/>
      <c r="E36" s="570"/>
      <c r="F36" s="501"/>
      <c r="G36" s="501"/>
      <c r="H36" s="501"/>
      <c r="I36" s="591">
        <f>H34</f>
        <v>54485.16</v>
      </c>
    </row>
    <row r="37" spans="1:252" x14ac:dyDescent="0.25">
      <c r="A37" s="1449" t="s">
        <v>1802</v>
      </c>
      <c r="B37" s="1450"/>
      <c r="C37" s="1450"/>
      <c r="D37" s="1451"/>
      <c r="E37" s="1451"/>
      <c r="F37" s="1450"/>
      <c r="G37" s="1450"/>
      <c r="H37" s="1450"/>
      <c r="I37" s="1452">
        <f>+I35-I36</f>
        <v>-643.35934428565088</v>
      </c>
    </row>
  </sheetData>
  <mergeCells count="12">
    <mergeCell ref="A18:C18"/>
    <mergeCell ref="F18:G18"/>
    <mergeCell ref="A1:D1"/>
    <mergeCell ref="A3:C3"/>
    <mergeCell ref="A4:I4"/>
    <mergeCell ref="A5:I5"/>
    <mergeCell ref="A6:I6"/>
    <mergeCell ref="D8:I9"/>
    <mergeCell ref="D13:E13"/>
    <mergeCell ref="D14:E14"/>
    <mergeCell ref="D11:E11"/>
    <mergeCell ref="A2:D2"/>
  </mergeCells>
  <hyperlinks>
    <hyperlink ref="A7" r:id="rId1" display=" L.P.I.N  °"/>
  </hyperlinks>
  <printOptions horizontalCentered="1"/>
  <pageMargins left="0.59055118110236227" right="0.19685039370078741" top="0.51181102362204722" bottom="0.39370078740157483" header="0.51181102362204722" footer="0.47244094488188981"/>
  <pageSetup paperSize="9" scale="90" firstPageNumber="0" orientation="portrait" horizontalDpi="4294967294" verticalDpi="300" r:id="rId2"/>
  <headerFooter alignWithMargins="0"/>
  <drawing r:id="rId3"/>
  <legacyDrawing r:id="rId4"/>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W41"/>
  <sheetViews>
    <sheetView view="pageBreakPreview" topLeftCell="A4" zoomScale="85" zoomScaleNormal="75" zoomScaleSheetLayoutView="85" workbookViewId="0">
      <selection activeCell="H32" sqref="H32"/>
    </sheetView>
  </sheetViews>
  <sheetFormatPr baseColWidth="10" defaultColWidth="10.5546875" defaultRowHeight="13.2" x14ac:dyDescent="0.25"/>
  <cols>
    <col min="1" max="1" width="3.5546875" style="501" customWidth="1"/>
    <col min="2" max="2" width="14.44140625" style="501" customWidth="1"/>
    <col min="3" max="3" width="15.44140625" style="501" customWidth="1"/>
    <col min="4" max="4" width="13.5546875" style="501" customWidth="1"/>
    <col min="5" max="5" width="15.109375" style="501" customWidth="1"/>
    <col min="6" max="6" width="10.5546875" style="501" customWidth="1"/>
    <col min="7" max="7" width="14.5546875" style="501" customWidth="1"/>
    <col min="8" max="10" width="16.6640625" style="501" customWidth="1"/>
    <col min="11" max="11" width="13.5546875" style="501" bestFit="1" customWidth="1"/>
    <col min="12" max="12" width="10.5546875" style="501"/>
    <col min="13" max="13" width="10.44140625" style="501" customWidth="1"/>
    <col min="14" max="16384" width="10.5546875" style="501"/>
  </cols>
  <sheetData>
    <row r="1" spans="1:10" x14ac:dyDescent="0.25">
      <c r="A1" s="2313" t="str">
        <f>RESUM_VAL_!A1</f>
        <v>GOBIERNO REGIONAL AYACUCHO</v>
      </c>
      <c r="B1" s="2313"/>
      <c r="C1" s="2313"/>
      <c r="D1" s="2313"/>
      <c r="E1" s="2313"/>
    </row>
    <row r="2" spans="1:10" x14ac:dyDescent="0.25">
      <c r="A2" s="2313" t="str">
        <f>RESUM_VAL_!A2</f>
        <v>SUBGERENCIA DE SUPERVISION Y LIQUIDACION</v>
      </c>
      <c r="B2" s="2313"/>
      <c r="C2" s="2313"/>
      <c r="D2" s="2313"/>
      <c r="E2" s="2313"/>
    </row>
    <row r="3" spans="1:10" x14ac:dyDescent="0.25">
      <c r="A3" s="2314"/>
      <c r="B3" s="2314"/>
      <c r="C3" s="2314"/>
      <c r="D3" s="2314"/>
    </row>
    <row r="4" spans="1:10" ht="17.399999999999999" x14ac:dyDescent="0.3">
      <c r="A4" s="2315" t="s">
        <v>1407</v>
      </c>
      <c r="B4" s="2315"/>
      <c r="C4" s="2315"/>
      <c r="D4" s="2315"/>
      <c r="E4" s="2315"/>
      <c r="F4" s="2315"/>
      <c r="G4" s="2315"/>
      <c r="H4" s="2315"/>
      <c r="I4" s="1312"/>
      <c r="J4" s="1312"/>
    </row>
    <row r="5" spans="1:10" ht="17.399999999999999" x14ac:dyDescent="0.3">
      <c r="A5" s="2315"/>
      <c r="B5" s="2315"/>
      <c r="C5" s="2315"/>
      <c r="D5" s="2315"/>
      <c r="E5" s="2315"/>
    </row>
    <row r="6" spans="1:10" x14ac:dyDescent="0.25">
      <c r="B6" s="505" t="s">
        <v>1204</v>
      </c>
      <c r="C6" s="502"/>
      <c r="D6" s="502" t="s">
        <v>7</v>
      </c>
      <c r="E6" s="503" t="str">
        <f>CARAT_!$F$47</f>
        <v>ESPECIFICO Nº SP-2022-012</v>
      </c>
    </row>
    <row r="7" spans="1:10" x14ac:dyDescent="0.25">
      <c r="B7" s="505" t="s">
        <v>18</v>
      </c>
      <c r="C7" s="502"/>
      <c r="D7" s="502" t="s">
        <v>7</v>
      </c>
      <c r="E7" s="2309" t="str">
        <f>CARAT_!F48</f>
        <v>“CREACION DEL PUENTE VEHICULAR CCANCHIS SOBRE EL RIO PAMPAS, DISTRITO DE CHUNGUI - PROVINCIA LA MAR - DEPARTAMENTO AYACUCHO”.</v>
      </c>
      <c r="F7" s="2309"/>
      <c r="G7" s="2309"/>
      <c r="H7" s="2309"/>
      <c r="I7" s="1311"/>
      <c r="J7" s="1311"/>
    </row>
    <row r="8" spans="1:10" x14ac:dyDescent="0.25">
      <c r="B8" s="505"/>
      <c r="C8" s="502"/>
      <c r="D8" s="502"/>
      <c r="E8" s="2309"/>
      <c r="F8" s="2309"/>
      <c r="G8" s="2309"/>
      <c r="H8" s="2309"/>
      <c r="I8" s="1311"/>
      <c r="J8" s="1311"/>
    </row>
    <row r="9" spans="1:10" x14ac:dyDescent="0.25">
      <c r="B9" s="502" t="s">
        <v>1</v>
      </c>
      <c r="C9" s="502"/>
      <c r="D9" s="502" t="s">
        <v>7</v>
      </c>
      <c r="E9" s="503" t="str">
        <f>CARAT_!$F$52</f>
        <v>SIMA PERU S.A.</v>
      </c>
    </row>
    <row r="10" spans="1:10" x14ac:dyDescent="0.25">
      <c r="B10" s="502" t="s">
        <v>25</v>
      </c>
      <c r="C10" s="502"/>
      <c r="D10" s="502" t="s">
        <v>7</v>
      </c>
      <c r="E10" s="503" t="s">
        <v>1461</v>
      </c>
    </row>
    <row r="11" spans="1:10" x14ac:dyDescent="0.25">
      <c r="B11" s="502" t="s">
        <v>3</v>
      </c>
      <c r="C11" s="502"/>
      <c r="D11" s="502" t="s">
        <v>7</v>
      </c>
      <c r="E11" s="503" t="str">
        <f>CARAT_!$F$54</f>
        <v>MES DE DICIEMBRE DE 2022</v>
      </c>
    </row>
    <row r="12" spans="1:10" x14ac:dyDescent="0.25">
      <c r="B12" s="502" t="s">
        <v>26</v>
      </c>
      <c r="C12" s="502"/>
      <c r="D12" s="502" t="s">
        <v>7</v>
      </c>
      <c r="E12" s="502"/>
    </row>
    <row r="13" spans="1:10" ht="13.8" thickBot="1" x14ac:dyDescent="0.3"/>
    <row r="14" spans="1:10" x14ac:dyDescent="0.25">
      <c r="A14" s="2310" t="s">
        <v>1400</v>
      </c>
      <c r="B14" s="2311"/>
      <c r="C14" s="2311"/>
      <c r="D14" s="2312" t="s">
        <v>52</v>
      </c>
      <c r="E14" s="2312"/>
      <c r="F14" s="1280" t="s">
        <v>40</v>
      </c>
      <c r="G14" s="1280"/>
      <c r="H14" s="1280" t="s">
        <v>144</v>
      </c>
      <c r="I14" s="1317"/>
      <c r="J14" s="1317"/>
    </row>
    <row r="15" spans="1:10" x14ac:dyDescent="0.25">
      <c r="A15" s="1281"/>
      <c r="B15" s="1282"/>
      <c r="C15" s="1282" t="s">
        <v>55</v>
      </c>
      <c r="D15" s="1282"/>
      <c r="E15" s="1283" t="s">
        <v>1394</v>
      </c>
      <c r="F15" s="1283" t="s">
        <v>59</v>
      </c>
      <c r="G15" s="1283" t="s">
        <v>106</v>
      </c>
      <c r="H15" s="1283" t="s">
        <v>94</v>
      </c>
      <c r="I15" s="1317"/>
      <c r="J15" s="1317"/>
    </row>
    <row r="16" spans="1:10" x14ac:dyDescent="0.25">
      <c r="A16" s="1281" t="s">
        <v>487</v>
      </c>
      <c r="B16" s="1282" t="s">
        <v>44</v>
      </c>
      <c r="C16" s="1282" t="s">
        <v>60</v>
      </c>
      <c r="D16" s="1282" t="s">
        <v>3</v>
      </c>
      <c r="E16" s="1283" t="s">
        <v>45</v>
      </c>
      <c r="F16" s="1283" t="s">
        <v>1395</v>
      </c>
      <c r="G16" s="1282" t="s">
        <v>93</v>
      </c>
      <c r="H16" s="1284" t="s">
        <v>95</v>
      </c>
      <c r="I16" s="1317"/>
      <c r="J16" s="1317"/>
    </row>
    <row r="17" spans="1:13" ht="13.8" x14ac:dyDescent="0.25">
      <c r="A17" s="2308" t="s">
        <v>1210</v>
      </c>
      <c r="B17" s="2308"/>
      <c r="C17" s="2308"/>
      <c r="D17" s="2308"/>
      <c r="E17" s="2308"/>
      <c r="F17" s="2308"/>
      <c r="G17" s="2308"/>
      <c r="H17" s="2308"/>
      <c r="I17" s="1318"/>
      <c r="J17" s="1318"/>
    </row>
    <row r="18" spans="1:13" ht="13.8" x14ac:dyDescent="0.25">
      <c r="A18" s="1228"/>
      <c r="B18" s="1229"/>
      <c r="C18" s="1230"/>
      <c r="D18" s="1231"/>
      <c r="E18" s="1231"/>
      <c r="F18" s="1231"/>
      <c r="G18" s="1231"/>
      <c r="H18" s="1231"/>
      <c r="I18" s="530"/>
      <c r="J18" s="530"/>
    </row>
    <row r="19" spans="1:13" ht="13.8" x14ac:dyDescent="0.25">
      <c r="A19" s="1232">
        <v>1</v>
      </c>
      <c r="B19" s="1233">
        <f>+MT_VAL!B33</f>
        <v>44681</v>
      </c>
      <c r="C19" s="1234">
        <f>'REINT_REAJ_ (2)'!E18</f>
        <v>1689.85</v>
      </c>
      <c r="D19" s="1235">
        <f>+Hoja1!E14</f>
        <v>44657</v>
      </c>
      <c r="E19" s="1236">
        <v>1515107.81</v>
      </c>
      <c r="F19" s="1237">
        <f>ROUND(C19*0.1,2)</f>
        <v>168.99</v>
      </c>
      <c r="G19" s="1237">
        <f t="shared" ref="G19:G25" si="0">+F19</f>
        <v>168.99</v>
      </c>
      <c r="H19" s="1237">
        <f>$E$19-G19</f>
        <v>1514938.82</v>
      </c>
      <c r="I19" s="541"/>
      <c r="J19" s="541"/>
    </row>
    <row r="20" spans="1:13" ht="13.8" x14ac:dyDescent="0.25">
      <c r="A20" s="1232">
        <f>+A19+1</f>
        <v>2</v>
      </c>
      <c r="B20" s="1233">
        <f>+MT_VAL!B34</f>
        <v>44712</v>
      </c>
      <c r="C20" s="1234">
        <f>'REINT_REAJ_ (2)'!E19</f>
        <v>142315.32</v>
      </c>
      <c r="D20" s="1235"/>
      <c r="E20" s="1236"/>
      <c r="F20" s="1237">
        <f t="shared" ref="F20:F25" si="1">ROUND(C20*0.1,2)</f>
        <v>14231.53</v>
      </c>
      <c r="G20" s="1237">
        <f t="shared" si="0"/>
        <v>14231.53</v>
      </c>
      <c r="H20" s="1237">
        <f>$E$19-SUM(G19:G20)</f>
        <v>1500707.29</v>
      </c>
      <c r="I20" s="541"/>
      <c r="J20" s="541"/>
    </row>
    <row r="21" spans="1:13" ht="13.8" x14ac:dyDescent="0.25">
      <c r="A21" s="1232">
        <f t="shared" ref="A21:A31" si="2">+A20+1</f>
        <v>3</v>
      </c>
      <c r="B21" s="1233">
        <f>+MT_VAL!B35</f>
        <v>44742</v>
      </c>
      <c r="C21" s="1234">
        <f>'REINT_REAJ_ (2)'!E20</f>
        <v>174129.63</v>
      </c>
      <c r="D21" s="1235"/>
      <c r="E21" s="1236"/>
      <c r="F21" s="1237">
        <f t="shared" si="1"/>
        <v>17412.96</v>
      </c>
      <c r="G21" s="1237">
        <f t="shared" si="0"/>
        <v>17412.96</v>
      </c>
      <c r="H21" s="1237">
        <f>$E$19-SUM(G19:G21)</f>
        <v>1483294.33</v>
      </c>
      <c r="I21" s="541"/>
      <c r="J21" s="541"/>
      <c r="L21" s="501">
        <f t="shared" ref="L21:L26" si="3">+C21/$E$19</f>
        <v>0.11492887096925465</v>
      </c>
      <c r="M21" s="501">
        <f>+SUM(L21:L26)</f>
        <v>3.7176503235106413</v>
      </c>
    </row>
    <row r="22" spans="1:13" ht="13.8" x14ac:dyDescent="0.25">
      <c r="A22" s="1232">
        <f t="shared" si="2"/>
        <v>4</v>
      </c>
      <c r="B22" s="1233">
        <f>+MT_VAL!B36</f>
        <v>44773</v>
      </c>
      <c r="C22" s="1234">
        <f>'REINT_REAJ_ (2)'!E21</f>
        <v>680701.45</v>
      </c>
      <c r="D22" s="1235"/>
      <c r="E22" s="1236"/>
      <c r="F22" s="1237">
        <f t="shared" si="1"/>
        <v>68070.149999999994</v>
      </c>
      <c r="G22" s="1237">
        <f t="shared" si="0"/>
        <v>68070.149999999994</v>
      </c>
      <c r="H22" s="1237">
        <f>$E$19-SUM(G19:G22)</f>
        <v>1415224.1800000002</v>
      </c>
      <c r="I22" s="541"/>
      <c r="J22" s="541"/>
      <c r="L22" s="501">
        <f t="shared" si="3"/>
        <v>0.449275916543523</v>
      </c>
    </row>
    <row r="23" spans="1:13" ht="13.8" x14ac:dyDescent="0.25">
      <c r="A23" s="1232">
        <f t="shared" si="2"/>
        <v>5</v>
      </c>
      <c r="B23" s="1233">
        <f>+MT_VAL!B37</f>
        <v>44804</v>
      </c>
      <c r="C23" s="1234">
        <f>'REINT_REAJ_ (2)'!E22</f>
        <v>1560353.15</v>
      </c>
      <c r="D23" s="1235"/>
      <c r="E23" s="1236"/>
      <c r="F23" s="1237">
        <f>ROUND(C23*0.1,2)-0.01</f>
        <v>156035.31</v>
      </c>
      <c r="G23" s="1237">
        <f t="shared" si="0"/>
        <v>156035.31</v>
      </c>
      <c r="H23" s="1237">
        <f>$E$19-SUM(G19:G23)</f>
        <v>1259188.8700000001</v>
      </c>
      <c r="I23" s="541"/>
      <c r="J23" s="541"/>
      <c r="L23" s="501">
        <f t="shared" si="3"/>
        <v>1.0298627858040015</v>
      </c>
    </row>
    <row r="24" spans="1:13" ht="13.8" x14ac:dyDescent="0.25">
      <c r="A24" s="1232">
        <f t="shared" si="2"/>
        <v>6</v>
      </c>
      <c r="B24" s="1233">
        <f>+MT_VAL!B38</f>
        <v>44834</v>
      </c>
      <c r="C24" s="1234">
        <f>'REINT_REAJ_ (2)'!E23</f>
        <v>1669307.74</v>
      </c>
      <c r="D24" s="1235"/>
      <c r="E24" s="1236"/>
      <c r="F24" s="1237">
        <f t="shared" si="1"/>
        <v>166930.76999999999</v>
      </c>
      <c r="G24" s="1237">
        <f t="shared" si="0"/>
        <v>166930.76999999999</v>
      </c>
      <c r="H24" s="1237">
        <f>$E$19-SUM(G19:G24)</f>
        <v>1092258.1000000001</v>
      </c>
      <c r="I24" s="541"/>
      <c r="J24" s="541">
        <f>G19+G20+G21+G22+G23+G24</f>
        <v>422849.70999999996</v>
      </c>
      <c r="L24" s="501">
        <f t="shared" si="3"/>
        <v>1.1017748895373987</v>
      </c>
    </row>
    <row r="25" spans="1:13" ht="13.8" x14ac:dyDescent="0.25">
      <c r="A25" s="1232">
        <f t="shared" si="2"/>
        <v>7</v>
      </c>
      <c r="B25" s="1233">
        <f>+MT_VAL!B39</f>
        <v>44865</v>
      </c>
      <c r="C25" s="1234">
        <f>'REINT_REAJ_ (2)'!E24</f>
        <v>134499.1</v>
      </c>
      <c r="D25" s="1235"/>
      <c r="E25" s="1236"/>
      <c r="F25" s="1237">
        <f t="shared" si="1"/>
        <v>13449.91</v>
      </c>
      <c r="G25" s="1237">
        <f t="shared" si="0"/>
        <v>13449.91</v>
      </c>
      <c r="H25" s="1237">
        <f>$E$19-SUM(G19:G25)</f>
        <v>1078808.1900000002</v>
      </c>
      <c r="I25" s="541"/>
      <c r="J25" s="541"/>
      <c r="L25" s="501">
        <f t="shared" si="3"/>
        <v>8.8771966662887183E-2</v>
      </c>
    </row>
    <row r="26" spans="1:13" ht="13.8" x14ac:dyDescent="0.25">
      <c r="A26" s="1232">
        <f t="shared" si="2"/>
        <v>8</v>
      </c>
      <c r="B26" s="1233">
        <f>+MT_VAL!B40</f>
        <v>44895</v>
      </c>
      <c r="C26" s="1234">
        <f>'REINT_REAJ_ (2)'!E25</f>
        <v>1413649.97</v>
      </c>
      <c r="D26" s="1235"/>
      <c r="E26" s="1236"/>
      <c r="F26" s="1237">
        <f t="shared" ref="F26:F27" si="4">ROUND(C26*0.1,2)</f>
        <v>141365</v>
      </c>
      <c r="G26" s="1237">
        <f t="shared" ref="G26:G27" si="5">+F26</f>
        <v>141365</v>
      </c>
      <c r="H26" s="1237">
        <f>$E$19-SUM(G19:G26)</f>
        <v>937443.19000000018</v>
      </c>
      <c r="I26" s="541"/>
      <c r="J26" s="541"/>
      <c r="L26" s="501">
        <f t="shared" si="3"/>
        <v>0.93303589399357656</v>
      </c>
    </row>
    <row r="27" spans="1:13" ht="13.8" x14ac:dyDescent="0.25">
      <c r="A27" s="1232">
        <f t="shared" si="2"/>
        <v>9</v>
      </c>
      <c r="B27" s="1233">
        <f>+MT_VAL!B41</f>
        <v>44926</v>
      </c>
      <c r="C27" s="1234">
        <f>'REINT_REAJ_ (2)'!E26</f>
        <v>213592.8</v>
      </c>
      <c r="D27" s="1235"/>
      <c r="E27" s="1236"/>
      <c r="F27" s="1237">
        <f t="shared" si="4"/>
        <v>21359.279999999999</v>
      </c>
      <c r="G27" s="1237">
        <f t="shared" si="5"/>
        <v>21359.279999999999</v>
      </c>
      <c r="H27" s="1237">
        <f>$E$19-SUM(G19:G27)</f>
        <v>916083.91000000015</v>
      </c>
      <c r="I27" s="541"/>
      <c r="J27" s="541"/>
    </row>
    <row r="28" spans="1:13" ht="13.8" x14ac:dyDescent="0.25">
      <c r="A28" s="1232">
        <f t="shared" si="2"/>
        <v>10</v>
      </c>
      <c r="B28" s="1233">
        <f>+MT_VAL!B42</f>
        <v>44957</v>
      </c>
      <c r="C28" s="1234"/>
      <c r="D28" s="1235"/>
      <c r="E28" s="1236"/>
      <c r="F28" s="1237"/>
      <c r="G28" s="1237"/>
      <c r="H28" s="1237"/>
      <c r="I28" s="541"/>
      <c r="J28" s="541"/>
    </row>
    <row r="29" spans="1:13" ht="13.8" x14ac:dyDescent="0.25">
      <c r="A29" s="1232">
        <f t="shared" si="2"/>
        <v>11</v>
      </c>
      <c r="B29" s="1233">
        <f>+MT_VAL!B43</f>
        <v>44985</v>
      </c>
      <c r="C29" s="1234"/>
      <c r="D29" s="1235"/>
      <c r="E29" s="1236"/>
      <c r="F29" s="1237"/>
      <c r="G29" s="1237"/>
      <c r="H29" s="1237"/>
      <c r="I29" s="541"/>
      <c r="J29" s="541"/>
    </row>
    <row r="30" spans="1:13" ht="13.8" x14ac:dyDescent="0.25">
      <c r="A30" s="1232">
        <f t="shared" si="2"/>
        <v>12</v>
      </c>
      <c r="B30" s="1233">
        <f>+MT_VAL!B44</f>
        <v>45016</v>
      </c>
      <c r="C30" s="1234"/>
      <c r="D30" s="1235"/>
      <c r="E30" s="1236"/>
      <c r="F30" s="1237"/>
      <c r="G30" s="1237"/>
      <c r="H30" s="1237"/>
      <c r="I30" s="541"/>
      <c r="J30" s="541"/>
    </row>
    <row r="31" spans="1:13" ht="13.8" x14ac:dyDescent="0.25">
      <c r="A31" s="1238">
        <f t="shared" si="2"/>
        <v>13</v>
      </c>
      <c r="B31" s="1239">
        <f>+MT_VAL!B45</f>
        <v>45046</v>
      </c>
      <c r="C31" s="1240"/>
      <c r="D31" s="1241"/>
      <c r="E31" s="1242"/>
      <c r="F31" s="1243"/>
      <c r="G31" s="1243"/>
      <c r="H31" s="1243"/>
      <c r="I31" s="541"/>
      <c r="J31" s="541"/>
    </row>
    <row r="32" spans="1:13" ht="13.8" x14ac:dyDescent="0.25">
      <c r="A32" s="554"/>
      <c r="B32" s="555"/>
      <c r="C32" s="556"/>
      <c r="D32" s="557"/>
      <c r="E32" s="558"/>
      <c r="F32" s="561"/>
      <c r="G32" s="1244">
        <f>SUM(G19:G31)</f>
        <v>599023.89999999991</v>
      </c>
      <c r="H32" s="1244">
        <f>+E19-G32</f>
        <v>916083.91000000015</v>
      </c>
      <c r="I32" s="1319"/>
      <c r="J32" s="1319"/>
    </row>
    <row r="33" spans="1:23" x14ac:dyDescent="0.25">
      <c r="A33" s="2304" t="s">
        <v>1483</v>
      </c>
      <c r="B33" s="2304"/>
      <c r="C33" s="2304"/>
      <c r="D33" s="2304"/>
      <c r="E33" s="2304"/>
      <c r="F33" s="1447"/>
      <c r="G33" s="2306">
        <f>G27</f>
        <v>21359.279999999999</v>
      </c>
      <c r="H33" s="596"/>
      <c r="I33" s="541"/>
      <c r="J33" s="541"/>
      <c r="L33" s="597">
        <f>G19</f>
        <v>168.99</v>
      </c>
      <c r="M33" s="597">
        <f>H19</f>
        <v>1514938.82</v>
      </c>
      <c r="N33" s="597" t="e">
        <f>+G21+#REF!+#REF!</f>
        <v>#REF!</v>
      </c>
      <c r="O33" s="597" t="e">
        <f>+G22+#REF!+#REF!</f>
        <v>#REF!</v>
      </c>
      <c r="P33" s="597" t="e">
        <f>+#REF!+#REF!+G23</f>
        <v>#REF!</v>
      </c>
      <c r="Q33" s="597" t="e">
        <f>+#REF!+#REF!+G24</f>
        <v>#REF!</v>
      </c>
      <c r="R33" s="597" t="e">
        <f>+#REF!+#REF!+G25</f>
        <v>#REF!</v>
      </c>
      <c r="S33" s="597" t="e">
        <f>+#REF!+#REF!+G26</f>
        <v>#REF!</v>
      </c>
      <c r="T33" s="597" t="e">
        <f>+#REF!+#REF!+G26</f>
        <v>#REF!</v>
      </c>
      <c r="U33" s="597" t="e">
        <f>+#REF!+#REF!+G26</f>
        <v>#REF!</v>
      </c>
      <c r="V33" s="597" t="e">
        <f>+#REF!+#REF!+G26</f>
        <v>#REF!</v>
      </c>
      <c r="W33" s="597" t="e">
        <f>+#REF!+#REF!+G26</f>
        <v>#REF!</v>
      </c>
    </row>
    <row r="34" spans="1:23" ht="13.8" thickBot="1" x14ac:dyDescent="0.3">
      <c r="A34" s="2305"/>
      <c r="B34" s="2305"/>
      <c r="C34" s="2305"/>
      <c r="D34" s="2305"/>
      <c r="E34" s="2305"/>
      <c r="F34" s="1448"/>
      <c r="G34" s="2307"/>
      <c r="H34" s="670" t="e">
        <f>+#REF!-#REF!</f>
        <v>#REF!</v>
      </c>
      <c r="I34" s="1320"/>
      <c r="J34" s="1320"/>
    </row>
    <row r="35" spans="1:23" x14ac:dyDescent="0.25">
      <c r="N35" s="501">
        <v>24398.55</v>
      </c>
    </row>
    <row r="36" spans="1:23" x14ac:dyDescent="0.25">
      <c r="E36" s="591"/>
      <c r="G36" s="600"/>
      <c r="N36" s="591" t="e">
        <f>+N33-N35</f>
        <v>#REF!</v>
      </c>
    </row>
    <row r="37" spans="1:23" x14ac:dyDescent="0.25">
      <c r="E37" s="501" t="e">
        <f>+#REF!/#REF!</f>
        <v>#REF!</v>
      </c>
      <c r="G37" s="600"/>
    </row>
    <row r="39" spans="1:23" x14ac:dyDescent="0.25">
      <c r="E39" s="591"/>
    </row>
    <row r="41" spans="1:23" x14ac:dyDescent="0.25">
      <c r="E41" s="591"/>
    </row>
  </sheetData>
  <mergeCells count="11">
    <mergeCell ref="A1:E1"/>
    <mergeCell ref="A2:E2"/>
    <mergeCell ref="A3:D3"/>
    <mergeCell ref="A4:H4"/>
    <mergeCell ref="A5:E5"/>
    <mergeCell ref="A33:E34"/>
    <mergeCell ref="G33:G34"/>
    <mergeCell ref="A17:H17"/>
    <mergeCell ref="E7:H8"/>
    <mergeCell ref="A14:C14"/>
    <mergeCell ref="D14:E14"/>
  </mergeCells>
  <hyperlinks>
    <hyperlink ref="B6" r:id="rId1" display=" L.P.I.N  °"/>
  </hyperlinks>
  <printOptions horizontalCentered="1"/>
  <pageMargins left="0.78740157480314965" right="0.39370078740157483" top="0.51181102362204722" bottom="0.47244094488188981" header="0.51181102362204722" footer="0.51181102362204722"/>
  <pageSetup paperSize="9" scale="80" firstPageNumber="0" orientation="portrait" horizontalDpi="4294967295" verticalDpi="300" r:id="rId2"/>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25"/>
  <sheetViews>
    <sheetView workbookViewId="0">
      <selection activeCell="J26" sqref="J26"/>
    </sheetView>
  </sheetViews>
  <sheetFormatPr baseColWidth="10" defaultRowHeight="13.2" x14ac:dyDescent="0.25"/>
  <sheetData>
    <row r="2" spans="2:10" ht="13.8" thickBot="1" x14ac:dyDescent="0.3"/>
    <row r="3" spans="2:10" x14ac:dyDescent="0.25">
      <c r="B3" s="2310" t="s">
        <v>1400</v>
      </c>
      <c r="C3" s="2311"/>
      <c r="D3" s="2311"/>
      <c r="E3" s="2312" t="s">
        <v>52</v>
      </c>
      <c r="F3" s="2312"/>
      <c r="G3" s="2312"/>
      <c r="H3" s="2329" t="s">
        <v>1701</v>
      </c>
      <c r="I3" s="2329" t="s">
        <v>1702</v>
      </c>
      <c r="J3" s="1684" t="s">
        <v>144</v>
      </c>
    </row>
    <row r="4" spans="2:10" ht="20.399999999999999" x14ac:dyDescent="0.25">
      <c r="B4" s="2323" t="s">
        <v>1392</v>
      </c>
      <c r="C4" s="2325" t="s">
        <v>44</v>
      </c>
      <c r="D4" s="2327" t="s">
        <v>1700</v>
      </c>
      <c r="E4" s="2325" t="s">
        <v>3</v>
      </c>
      <c r="F4" s="2325" t="s">
        <v>1394</v>
      </c>
      <c r="G4" s="2325" t="s">
        <v>494</v>
      </c>
      <c r="H4" s="2330"/>
      <c r="I4" s="2330"/>
      <c r="J4" s="1685" t="s">
        <v>94</v>
      </c>
    </row>
    <row r="5" spans="2:10" x14ac:dyDescent="0.25">
      <c r="B5" s="2324"/>
      <c r="C5" s="2326"/>
      <c r="D5" s="2328"/>
      <c r="E5" s="2326"/>
      <c r="F5" s="2326"/>
      <c r="G5" s="2326"/>
      <c r="H5" s="2328"/>
      <c r="I5" s="2328"/>
      <c r="J5" s="1686" t="s">
        <v>497</v>
      </c>
    </row>
    <row r="6" spans="2:10" ht="13.8" x14ac:dyDescent="0.25">
      <c r="B6" s="2319" t="s">
        <v>1210</v>
      </c>
      <c r="C6" s="2319"/>
      <c r="D6" s="2319"/>
      <c r="E6" s="2319"/>
      <c r="F6" s="2319"/>
      <c r="G6" s="2319"/>
      <c r="H6" s="2319"/>
      <c r="I6" s="2319"/>
      <c r="J6" s="2319"/>
    </row>
    <row r="7" spans="2:10" ht="13.8" x14ac:dyDescent="0.25">
      <c r="B7" s="1670"/>
      <c r="C7" s="1671"/>
      <c r="D7" s="1672"/>
      <c r="E7" s="1673"/>
      <c r="F7" s="1673"/>
      <c r="G7" s="1673"/>
      <c r="H7" s="1673"/>
      <c r="I7" s="1673"/>
      <c r="J7" s="1673"/>
    </row>
    <row r="8" spans="2:10" ht="13.8" x14ac:dyDescent="0.25">
      <c r="B8" s="2320" t="s">
        <v>52</v>
      </c>
      <c r="C8" s="2321"/>
      <c r="D8" s="2322"/>
      <c r="E8" s="1674">
        <v>44657</v>
      </c>
      <c r="F8" s="1675">
        <v>1515107.81</v>
      </c>
      <c r="G8" s="1676">
        <f>F8*1.18</f>
        <v>1787827.2157999999</v>
      </c>
      <c r="H8" s="1677"/>
      <c r="I8" s="1677"/>
      <c r="J8" s="1677"/>
    </row>
    <row r="9" spans="2:10" ht="13.8" x14ac:dyDescent="0.25">
      <c r="B9" s="1678">
        <v>1</v>
      </c>
      <c r="C9" s="1679">
        <v>44681</v>
      </c>
      <c r="D9" s="1680">
        <v>1689.85</v>
      </c>
      <c r="E9" s="1674"/>
      <c r="F9" s="1675"/>
      <c r="G9" s="1681"/>
      <c r="H9" s="1682">
        <v>168.99</v>
      </c>
      <c r="I9" s="1682">
        <f>H9*1.18</f>
        <v>199.40819999999999</v>
      </c>
      <c r="J9" s="1682">
        <f>G8-I9</f>
        <v>1787627.8075999999</v>
      </c>
    </row>
    <row r="10" spans="2:10" ht="13.8" x14ac:dyDescent="0.25">
      <c r="B10" s="1678">
        <v>2</v>
      </c>
      <c r="C10" s="1679">
        <v>44712</v>
      </c>
      <c r="D10" s="1680">
        <v>142315.32</v>
      </c>
      <c r="E10" s="1674"/>
      <c r="F10" s="1675"/>
      <c r="G10" s="1681"/>
      <c r="H10" s="1682">
        <v>14231.53</v>
      </c>
      <c r="I10" s="1682">
        <f t="shared" ref="I10:I15" si="0">H10*1.18</f>
        <v>16793.205399999999</v>
      </c>
      <c r="J10" s="1682">
        <f>J9-I10</f>
        <v>1770834.6021999998</v>
      </c>
    </row>
    <row r="11" spans="2:10" ht="13.8" x14ac:dyDescent="0.25">
      <c r="B11" s="1678">
        <v>3</v>
      </c>
      <c r="C11" s="1679">
        <v>44742</v>
      </c>
      <c r="D11" s="1680">
        <v>174129.63</v>
      </c>
      <c r="E11" s="1674"/>
      <c r="F11" s="1675"/>
      <c r="G11" s="1681"/>
      <c r="H11" s="1682">
        <v>17412.96</v>
      </c>
      <c r="I11" s="1682">
        <f t="shared" si="0"/>
        <v>20547.292799999999</v>
      </c>
      <c r="J11" s="1682">
        <f t="shared" ref="J11:J15" si="1">J10-I11</f>
        <v>1750287.3093999999</v>
      </c>
    </row>
    <row r="12" spans="2:10" ht="13.8" x14ac:dyDescent="0.25">
      <c r="B12" s="1678">
        <v>4</v>
      </c>
      <c r="C12" s="1679">
        <v>44773</v>
      </c>
      <c r="D12" s="1680">
        <v>680701.45</v>
      </c>
      <c r="E12" s="1674"/>
      <c r="F12" s="1675"/>
      <c r="G12" s="1681"/>
      <c r="H12" s="1682">
        <v>68070.149999999994</v>
      </c>
      <c r="I12" s="1682">
        <f t="shared" si="0"/>
        <v>80322.776999999987</v>
      </c>
      <c r="J12" s="1682">
        <f t="shared" si="1"/>
        <v>1669964.5323999999</v>
      </c>
    </row>
    <row r="13" spans="2:10" ht="13.8" x14ac:dyDescent="0.25">
      <c r="B13" s="1678">
        <v>5</v>
      </c>
      <c r="C13" s="1679">
        <v>44804</v>
      </c>
      <c r="D13" s="1680">
        <v>1560353.15</v>
      </c>
      <c r="E13" s="1674"/>
      <c r="F13" s="1675"/>
      <c r="G13" s="1681"/>
      <c r="H13" s="1682">
        <v>156035.31</v>
      </c>
      <c r="I13" s="1682">
        <f t="shared" si="0"/>
        <v>184121.66579999999</v>
      </c>
      <c r="J13" s="1682">
        <f t="shared" si="1"/>
        <v>1485842.8665999998</v>
      </c>
    </row>
    <row r="14" spans="2:10" ht="13.8" x14ac:dyDescent="0.25">
      <c r="B14" s="1678">
        <v>6</v>
      </c>
      <c r="C14" s="1679">
        <v>44834</v>
      </c>
      <c r="D14" s="1680">
        <v>1669307.74</v>
      </c>
      <c r="E14" s="1674"/>
      <c r="F14" s="1675"/>
      <c r="G14" s="1681"/>
      <c r="H14" s="1682">
        <v>166930.76999999999</v>
      </c>
      <c r="I14" s="1682">
        <f t="shared" si="0"/>
        <v>196978.30859999999</v>
      </c>
      <c r="J14" s="1682">
        <f t="shared" si="1"/>
        <v>1288864.5579999997</v>
      </c>
    </row>
    <row r="15" spans="2:10" ht="13.8" x14ac:dyDescent="0.25">
      <c r="B15" s="1678">
        <v>7</v>
      </c>
      <c r="C15" s="1679">
        <v>44865</v>
      </c>
      <c r="D15" s="1680">
        <v>134499.1</v>
      </c>
      <c r="E15" s="1674"/>
      <c r="F15" s="1675"/>
      <c r="G15" s="1681"/>
      <c r="H15" s="1682">
        <v>13449.91</v>
      </c>
      <c r="I15" s="1682">
        <f t="shared" si="0"/>
        <v>15870.8938</v>
      </c>
      <c r="J15" s="1682">
        <f t="shared" si="1"/>
        <v>1272993.6641999998</v>
      </c>
    </row>
    <row r="16" spans="2:10" ht="13.8" x14ac:dyDescent="0.25">
      <c r="B16" s="1678">
        <v>8</v>
      </c>
      <c r="C16" s="1679">
        <v>44895</v>
      </c>
      <c r="D16" s="1680"/>
      <c r="E16" s="1674"/>
      <c r="F16" s="1675"/>
      <c r="G16" s="1681"/>
      <c r="H16" s="1682"/>
      <c r="I16" s="1682"/>
      <c r="J16" s="1682"/>
    </row>
    <row r="17" spans="2:10" ht="13.8" x14ac:dyDescent="0.25">
      <c r="B17" s="1678">
        <v>9</v>
      </c>
      <c r="C17" s="1679">
        <v>44926</v>
      </c>
      <c r="D17" s="1680"/>
      <c r="E17" s="1674"/>
      <c r="F17" s="1675"/>
      <c r="G17" s="1681"/>
      <c r="H17" s="1682"/>
      <c r="I17" s="1682"/>
      <c r="J17" s="1682"/>
    </row>
    <row r="18" spans="2:10" ht="13.8" x14ac:dyDescent="0.25">
      <c r="B18" s="1678">
        <v>10</v>
      </c>
      <c r="C18" s="1679">
        <v>44957</v>
      </c>
      <c r="D18" s="1680"/>
      <c r="E18" s="1674"/>
      <c r="F18" s="1675"/>
      <c r="G18" s="1681"/>
      <c r="H18" s="1682"/>
      <c r="I18" s="1682"/>
      <c r="J18" s="1682"/>
    </row>
    <row r="19" spans="2:10" ht="13.8" x14ac:dyDescent="0.25">
      <c r="B19" s="1678">
        <v>11</v>
      </c>
      <c r="C19" s="1679">
        <v>44985</v>
      </c>
      <c r="D19" s="1680"/>
      <c r="E19" s="1674"/>
      <c r="F19" s="1675"/>
      <c r="G19" s="1681"/>
      <c r="H19" s="1682"/>
      <c r="I19" s="1682"/>
      <c r="J19" s="1682"/>
    </row>
    <row r="20" spans="2:10" ht="13.8" x14ac:dyDescent="0.25">
      <c r="B20" s="1678">
        <v>12</v>
      </c>
      <c r="C20" s="1679">
        <v>45016</v>
      </c>
      <c r="D20" s="1680"/>
      <c r="E20" s="1674"/>
      <c r="F20" s="1675"/>
      <c r="G20" s="1681"/>
      <c r="H20" s="1682"/>
      <c r="I20" s="1682"/>
      <c r="J20" s="1682"/>
    </row>
    <row r="21" spans="2:10" ht="13.8" x14ac:dyDescent="0.25">
      <c r="B21" s="1678">
        <v>13</v>
      </c>
      <c r="C21" s="1687">
        <v>45046</v>
      </c>
      <c r="D21" s="1688"/>
      <c r="E21" s="1689"/>
      <c r="F21" s="1681"/>
      <c r="G21" s="1681"/>
      <c r="H21" s="1690"/>
      <c r="I21" s="1690"/>
      <c r="J21" s="1690"/>
    </row>
    <row r="22" spans="2:10" ht="13.8" x14ac:dyDescent="0.25">
      <c r="B22" s="1678">
        <v>14</v>
      </c>
      <c r="C22" s="1679">
        <v>45077</v>
      </c>
      <c r="D22" s="1688"/>
      <c r="E22" s="1689"/>
      <c r="F22" s="1681"/>
      <c r="G22" s="1681"/>
      <c r="H22" s="1690"/>
      <c r="I22" s="1690"/>
      <c r="J22" s="1690"/>
    </row>
    <row r="23" spans="2:10" ht="13.8" x14ac:dyDescent="0.25">
      <c r="B23" s="1678">
        <v>15</v>
      </c>
      <c r="C23" s="1687">
        <v>45107</v>
      </c>
      <c r="D23" s="1688"/>
      <c r="E23" s="1689"/>
      <c r="F23" s="1681"/>
      <c r="G23" s="1681"/>
      <c r="H23" s="1690"/>
      <c r="I23" s="1690"/>
      <c r="J23" s="1690"/>
    </row>
    <row r="24" spans="2:10" ht="13.8" x14ac:dyDescent="0.25">
      <c r="B24" s="1691"/>
      <c r="C24" s="1692"/>
      <c r="D24" s="1693"/>
      <c r="E24" s="1694"/>
      <c r="F24" s="1695"/>
      <c r="G24" s="1695"/>
      <c r="H24" s="1696"/>
      <c r="I24" s="1696"/>
      <c r="J24" s="1696"/>
    </row>
    <row r="25" spans="2:10" ht="13.8" x14ac:dyDescent="0.25">
      <c r="B25" s="2316" t="s">
        <v>19</v>
      </c>
      <c r="C25" s="2317"/>
      <c r="D25" s="2317"/>
      <c r="E25" s="2317"/>
      <c r="F25" s="2317"/>
      <c r="G25" s="2318"/>
      <c r="H25" s="1683">
        <f>SUM(H9:H15)</f>
        <v>436299.61999999994</v>
      </c>
      <c r="I25" s="1683">
        <f>SUM(I9:I15)</f>
        <v>514833.55159999995</v>
      </c>
      <c r="J25" s="1683">
        <f>J15</f>
        <v>1272993.6641999998</v>
      </c>
    </row>
  </sheetData>
  <mergeCells count="13">
    <mergeCell ref="B25:G25"/>
    <mergeCell ref="B3:D3"/>
    <mergeCell ref="B6:J6"/>
    <mergeCell ref="E3:G3"/>
    <mergeCell ref="B8:D8"/>
    <mergeCell ref="B4:B5"/>
    <mergeCell ref="C4:C5"/>
    <mergeCell ref="D4:D5"/>
    <mergeCell ref="F4:F5"/>
    <mergeCell ref="G4:G5"/>
    <mergeCell ref="E4:E5"/>
    <mergeCell ref="H3:H5"/>
    <mergeCell ref="I3:I5"/>
  </mergeCells>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T170"/>
  <sheetViews>
    <sheetView view="pageBreakPreview" topLeftCell="A56" zoomScale="75" zoomScaleNormal="100" zoomScaleSheetLayoutView="75" workbookViewId="0">
      <selection activeCell="N141" sqref="N141"/>
    </sheetView>
  </sheetViews>
  <sheetFormatPr baseColWidth="10" defaultRowHeight="13.2" x14ac:dyDescent="0.25"/>
  <cols>
    <col min="1" max="1" width="11.44140625" style="501" customWidth="1"/>
    <col min="2" max="2" width="19.109375" style="501" customWidth="1"/>
    <col min="3" max="3" width="22.44140625" style="501" customWidth="1"/>
    <col min="4" max="4" width="14.5546875" style="501" customWidth="1"/>
    <col min="5" max="5" width="13.6640625" style="501" customWidth="1"/>
    <col min="6" max="6" width="14.44140625" style="501" customWidth="1"/>
    <col min="7" max="7" width="14.109375" style="501" customWidth="1"/>
    <col min="8" max="8" width="17.109375" style="501" customWidth="1"/>
    <col min="9" max="9" width="13.109375" style="501" customWidth="1"/>
    <col min="10" max="10" width="15" style="501" customWidth="1"/>
    <col min="11" max="11" width="14.44140625" style="501" customWidth="1"/>
    <col min="12" max="12" width="16" style="501" customWidth="1"/>
    <col min="13" max="13" width="16.6640625" style="501" customWidth="1"/>
  </cols>
  <sheetData>
    <row r="1" spans="1:13" x14ac:dyDescent="0.25">
      <c r="A1" s="2313" t="str">
        <f>RESUM_VAL_!A1</f>
        <v>GOBIERNO REGIONAL AYACUCHO</v>
      </c>
      <c r="B1" s="2313"/>
      <c r="C1" s="2313"/>
      <c r="D1" s="2313"/>
      <c r="E1" s="2313"/>
    </row>
    <row r="2" spans="1:13" x14ac:dyDescent="0.25">
      <c r="A2" s="2313" t="str">
        <f>RESUM_VAL_!A2</f>
        <v>SUBGERENCIA DE SUPERVISION Y LIQUIDACION</v>
      </c>
      <c r="B2" s="2313"/>
      <c r="C2" s="2313"/>
      <c r="D2" s="2313"/>
      <c r="E2" s="2313"/>
    </row>
    <row r="3" spans="1:13" x14ac:dyDescent="0.25">
      <c r="A3" s="2314"/>
      <c r="B3" s="2314"/>
      <c r="C3" s="2314"/>
      <c r="D3" s="2314"/>
    </row>
    <row r="4" spans="1:13" ht="17.399999999999999" x14ac:dyDescent="0.3">
      <c r="A4" s="2315" t="s">
        <v>1184</v>
      </c>
      <c r="B4" s="2315"/>
      <c r="C4" s="2315"/>
      <c r="D4" s="2315"/>
      <c r="E4" s="2315"/>
      <c r="F4" s="2315"/>
      <c r="G4" s="2315"/>
      <c r="H4" s="2315"/>
      <c r="I4" s="2315"/>
      <c r="J4" s="2315"/>
      <c r="K4" s="2315"/>
      <c r="L4" s="2315"/>
      <c r="M4" s="2315"/>
    </row>
    <row r="5" spans="1:13" ht="17.399999999999999" x14ac:dyDescent="0.3">
      <c r="A5" s="2315"/>
      <c r="B5" s="2315"/>
      <c r="C5" s="2315"/>
      <c r="D5" s="2315"/>
      <c r="E5" s="2315"/>
      <c r="F5" s="2315"/>
      <c r="G5" s="2315"/>
      <c r="H5" s="2315"/>
      <c r="I5" s="2315"/>
    </row>
    <row r="6" spans="1:13" x14ac:dyDescent="0.25">
      <c r="B6" s="505" t="s">
        <v>1162</v>
      </c>
      <c r="C6" s="502"/>
      <c r="D6" s="502" t="s">
        <v>7</v>
      </c>
      <c r="E6" s="503" t="str">
        <f>CARAT_!$F$47</f>
        <v>ESPECIFICO Nº SP-2022-012</v>
      </c>
      <c r="F6" s="504"/>
    </row>
    <row r="7" spans="1:13" x14ac:dyDescent="0.25">
      <c r="B7" s="505" t="s">
        <v>18</v>
      </c>
      <c r="C7" s="502"/>
      <c r="D7" s="502" t="s">
        <v>7</v>
      </c>
      <c r="E7" s="2309" t="str">
        <f>CARAT_!F48</f>
        <v>“CREACION DEL PUENTE VEHICULAR CCANCHIS SOBRE EL RIO PAMPAS, DISTRITO DE CHUNGUI - PROVINCIA LA MAR - DEPARTAMENTO AYACUCHO”.</v>
      </c>
      <c r="F7" s="2309"/>
      <c r="G7" s="2309"/>
      <c r="H7" s="2309"/>
      <c r="I7" s="2309"/>
      <c r="J7" s="2309"/>
      <c r="K7" s="2309"/>
      <c r="L7" s="2309"/>
      <c r="M7" s="2309"/>
    </row>
    <row r="8" spans="1:13" x14ac:dyDescent="0.25">
      <c r="B8" s="505"/>
      <c r="C8" s="502"/>
      <c r="D8" s="502"/>
      <c r="E8" s="2309"/>
      <c r="F8" s="2309"/>
      <c r="G8" s="2309"/>
      <c r="H8" s="2309"/>
      <c r="I8" s="2309"/>
      <c r="J8" s="2309"/>
      <c r="K8" s="2309"/>
      <c r="L8" s="2309"/>
      <c r="M8" s="2309"/>
    </row>
    <row r="9" spans="1:13" x14ac:dyDescent="0.25">
      <c r="B9" s="502" t="s">
        <v>1</v>
      </c>
      <c r="C9" s="502"/>
      <c r="D9" s="502" t="s">
        <v>7</v>
      </c>
      <c r="E9" s="503" t="str">
        <f>CARAT_!$F$52</f>
        <v>SIMA PERU S.A.</v>
      </c>
      <c r="F9" s="504"/>
    </row>
    <row r="10" spans="1:13" x14ac:dyDescent="0.25">
      <c r="B10" s="502" t="s">
        <v>25</v>
      </c>
      <c r="C10" s="502"/>
      <c r="D10" s="502" t="s">
        <v>7</v>
      </c>
      <c r="E10" s="503" t="str">
        <f>CARAT_!$F$53</f>
        <v>SUB GERENCIA DE SUPERVISION Y LIQUIDACION</v>
      </c>
      <c r="F10" s="504"/>
    </row>
    <row r="11" spans="1:13" x14ac:dyDescent="0.25">
      <c r="B11" s="502" t="s">
        <v>3</v>
      </c>
      <c r="C11" s="502"/>
      <c r="D11" s="502" t="s">
        <v>7</v>
      </c>
      <c r="E11" s="503" t="str">
        <f>CARAT_!$F$54</f>
        <v>MES DE DICIEMBRE DE 2022</v>
      </c>
      <c r="F11" s="504"/>
    </row>
    <row r="12" spans="1:13" x14ac:dyDescent="0.25">
      <c r="B12" s="502" t="s">
        <v>1165</v>
      </c>
      <c r="C12" s="502"/>
      <c r="D12" s="502" t="s">
        <v>7</v>
      </c>
      <c r="E12" s="502" t="e">
        <f>+#REF!</f>
        <v>#REF!</v>
      </c>
      <c r="F12" s="504"/>
      <c r="G12" s="504"/>
      <c r="H12" s="504" t="s">
        <v>247</v>
      </c>
      <c r="I12" s="506">
        <v>1</v>
      </c>
    </row>
    <row r="13" spans="1:13" ht="13.8" thickBot="1" x14ac:dyDescent="0.3"/>
    <row r="14" spans="1:13" x14ac:dyDescent="0.25">
      <c r="A14" s="2333" t="s">
        <v>21</v>
      </c>
      <c r="B14" s="2334"/>
      <c r="C14" s="2334"/>
      <c r="D14" s="2335" t="s">
        <v>52</v>
      </c>
      <c r="E14" s="2335"/>
      <c r="F14" s="2340" t="s">
        <v>53</v>
      </c>
      <c r="G14" s="2340"/>
      <c r="H14" s="2335" t="s">
        <v>54</v>
      </c>
      <c r="I14" s="2335"/>
      <c r="J14" s="507" t="s">
        <v>40</v>
      </c>
      <c r="K14" s="507" t="s">
        <v>55</v>
      </c>
      <c r="L14" s="507"/>
      <c r="M14" s="507" t="s">
        <v>144</v>
      </c>
    </row>
    <row r="15" spans="1:13" x14ac:dyDescent="0.25">
      <c r="A15" s="508"/>
      <c r="B15" s="509"/>
      <c r="C15" s="509" t="s">
        <v>55</v>
      </c>
      <c r="D15" s="509"/>
      <c r="E15" s="510" t="s">
        <v>55</v>
      </c>
      <c r="F15" s="509" t="s">
        <v>56</v>
      </c>
      <c r="G15" s="509" t="s">
        <v>57</v>
      </c>
      <c r="H15" s="511"/>
      <c r="I15" s="511"/>
      <c r="J15" s="510" t="s">
        <v>59</v>
      </c>
      <c r="K15" s="510" t="s">
        <v>100</v>
      </c>
      <c r="L15" s="510" t="s">
        <v>106</v>
      </c>
      <c r="M15" s="510" t="s">
        <v>94</v>
      </c>
    </row>
    <row r="16" spans="1:13" ht="13.8" thickBot="1" x14ac:dyDescent="0.3">
      <c r="A16" s="512" t="s">
        <v>487</v>
      </c>
      <c r="B16" s="513" t="s">
        <v>44</v>
      </c>
      <c r="C16" s="513" t="s">
        <v>60</v>
      </c>
      <c r="D16" s="513" t="s">
        <v>3</v>
      </c>
      <c r="E16" s="514" t="s">
        <v>45</v>
      </c>
      <c r="F16" s="513" t="s">
        <v>46</v>
      </c>
      <c r="G16" s="513" t="s">
        <v>17</v>
      </c>
      <c r="H16" s="513" t="s">
        <v>28</v>
      </c>
      <c r="I16" s="513" t="s">
        <v>61</v>
      </c>
      <c r="J16" s="510" t="s">
        <v>63</v>
      </c>
      <c r="K16" s="509" t="s">
        <v>92</v>
      </c>
      <c r="L16" s="509" t="s">
        <v>93</v>
      </c>
      <c r="M16" s="515" t="s">
        <v>95</v>
      </c>
    </row>
    <row r="17" spans="1:13" ht="13.8" x14ac:dyDescent="0.25">
      <c r="A17" s="516" t="e">
        <f>+#REF!</f>
        <v>#REF!</v>
      </c>
      <c r="B17" s="517"/>
      <c r="C17" s="517"/>
      <c r="D17" s="518"/>
      <c r="E17" s="519"/>
      <c r="F17" s="520"/>
      <c r="G17" s="521"/>
      <c r="H17" s="522">
        <v>43235</v>
      </c>
      <c r="I17" s="522">
        <v>43738</v>
      </c>
      <c r="J17" s="523"/>
      <c r="K17" s="524"/>
      <c r="L17" s="525"/>
      <c r="M17" s="524"/>
    </row>
    <row r="18" spans="1:13" ht="13.8" x14ac:dyDescent="0.25">
      <c r="A18" s="526"/>
      <c r="B18" s="527"/>
      <c r="C18" s="528"/>
      <c r="D18" s="529"/>
      <c r="E18" s="529"/>
      <c r="F18" s="520"/>
      <c r="G18" s="521"/>
      <c r="H18" s="520"/>
      <c r="I18" s="530"/>
      <c r="J18" s="531"/>
      <c r="K18" s="532"/>
      <c r="L18" s="530"/>
      <c r="M18" s="532"/>
    </row>
    <row r="19" spans="1:13" ht="13.8" x14ac:dyDescent="0.25">
      <c r="A19" s="533">
        <v>8</v>
      </c>
      <c r="B19" s="534">
        <f>+MT_VAL!B40</f>
        <v>44895</v>
      </c>
      <c r="C19" s="1003">
        <f>+'[3]3. ARQUITECTURA'!J566</f>
        <v>26592.292299999997</v>
      </c>
      <c r="D19" s="536" t="e">
        <f>+Hoja1!#REF!</f>
        <v>#REF!</v>
      </c>
      <c r="E19" s="495">
        <f>420847.46*I12</f>
        <v>420847.46</v>
      </c>
      <c r="F19" s="537" t="e">
        <f>+#REF!</f>
        <v>#REF!</v>
      </c>
      <c r="G19" s="538" t="e">
        <f>+#REF!</f>
        <v>#REF!</v>
      </c>
      <c r="H19" s="495" t="e">
        <f>+#REF!</f>
        <v>#REF!</v>
      </c>
      <c r="I19" s="495" t="e">
        <f>+#REF!</f>
        <v>#REF!</v>
      </c>
      <c r="J19" s="539" t="e">
        <f>+$F$19*C19</f>
        <v>#REF!</v>
      </c>
      <c r="K19" s="540" t="e">
        <f t="shared" ref="K19:K24" si="0">ROUND(J19*I19/$H$19,2)</f>
        <v>#REF!</v>
      </c>
      <c r="L19" s="541" t="e">
        <f>K19</f>
        <v>#REF!</v>
      </c>
      <c r="M19" s="540" t="e">
        <f>$E$19-SUM(L16:L19)</f>
        <v>#REF!</v>
      </c>
    </row>
    <row r="20" spans="1:13" ht="13.8" x14ac:dyDescent="0.25">
      <c r="A20" s="533">
        <v>9</v>
      </c>
      <c r="B20" s="534">
        <f>+MT_VAL!B41</f>
        <v>44926</v>
      </c>
      <c r="C20" s="535">
        <v>0</v>
      </c>
      <c r="D20" s="536"/>
      <c r="E20" s="495"/>
      <c r="F20" s="542"/>
      <c r="G20" s="543"/>
      <c r="H20" s="496"/>
      <c r="I20" s="495" t="e">
        <f>+#REF!</f>
        <v>#REF!</v>
      </c>
      <c r="J20" s="539" t="e">
        <f>+$F$19*C20</f>
        <v>#REF!</v>
      </c>
      <c r="K20" s="540" t="e">
        <f t="shared" si="0"/>
        <v>#REF!</v>
      </c>
      <c r="L20" s="541" t="e">
        <f>K20</f>
        <v>#REF!</v>
      </c>
      <c r="M20" s="540" t="e">
        <f>$E$19-SUM(L17:L20)</f>
        <v>#REF!</v>
      </c>
    </row>
    <row r="21" spans="1:13" ht="14.4" customHeight="1" x14ac:dyDescent="0.25">
      <c r="A21" s="533">
        <v>10</v>
      </c>
      <c r="B21" s="534">
        <f>+MT_VAL!B42</f>
        <v>44957</v>
      </c>
      <c r="C21" s="626">
        <v>200006.13459999999</v>
      </c>
      <c r="D21" s="536"/>
      <c r="E21" s="495"/>
      <c r="F21" s="542"/>
      <c r="G21" s="543"/>
      <c r="H21" s="496"/>
      <c r="I21" s="495" t="e">
        <f>+#REF!</f>
        <v>#REF!</v>
      </c>
      <c r="J21" s="539" t="e">
        <f>+$F$19*C21</f>
        <v>#REF!</v>
      </c>
      <c r="K21" s="540" t="e">
        <f t="shared" si="0"/>
        <v>#REF!</v>
      </c>
      <c r="L21" s="541" t="e">
        <f>K21</f>
        <v>#REF!</v>
      </c>
      <c r="M21" s="540" t="e">
        <f>$E$19-SUM(L18:L21)</f>
        <v>#REF!</v>
      </c>
    </row>
    <row r="22" spans="1:13" ht="14.4" customHeight="1" x14ac:dyDescent="0.25">
      <c r="A22" s="533">
        <v>11</v>
      </c>
      <c r="B22" s="534">
        <f>+MT_VAL!B43</f>
        <v>44985</v>
      </c>
      <c r="C22" s="535">
        <v>112802.42450000001</v>
      </c>
      <c r="D22" s="536"/>
      <c r="E22" s="495"/>
      <c r="F22" s="542"/>
      <c r="G22" s="543"/>
      <c r="H22" s="496"/>
      <c r="I22" s="495" t="e">
        <f>+#REF!</f>
        <v>#REF!</v>
      </c>
      <c r="J22" s="539" t="e">
        <f>+$F$19*C22</f>
        <v>#REF!</v>
      </c>
      <c r="K22" s="540" t="e">
        <f t="shared" si="0"/>
        <v>#REF!</v>
      </c>
      <c r="L22" s="541" t="e">
        <f>K22</f>
        <v>#REF!</v>
      </c>
      <c r="M22" s="540" t="e">
        <f>$E$19-SUM(L19:L22)</f>
        <v>#REF!</v>
      </c>
    </row>
    <row r="23" spans="1:13" ht="14.4" customHeight="1" x14ac:dyDescent="0.25">
      <c r="A23" s="533">
        <v>12</v>
      </c>
      <c r="B23" s="534">
        <f>+MT_VAL!B44</f>
        <v>45016</v>
      </c>
      <c r="C23" s="535">
        <v>0</v>
      </c>
      <c r="D23" s="536"/>
      <c r="E23" s="495"/>
      <c r="F23" s="542"/>
      <c r="G23" s="543"/>
      <c r="H23" s="496"/>
      <c r="I23" s="495" t="e">
        <f>+#REF!</f>
        <v>#REF!</v>
      </c>
      <c r="J23" s="539" t="e">
        <f t="shared" ref="J23" si="1">+$F$19*C23</f>
        <v>#REF!</v>
      </c>
      <c r="K23" s="540" t="e">
        <f t="shared" si="0"/>
        <v>#REF!</v>
      </c>
      <c r="L23" s="541" t="e">
        <f t="shared" ref="L23:L24" si="2">K23</f>
        <v>#REF!</v>
      </c>
      <c r="M23" s="540" t="e">
        <f t="shared" ref="M23" si="3">$E$19-SUM(L20:L23)</f>
        <v>#REF!</v>
      </c>
    </row>
    <row r="24" spans="1:13" ht="13.95" customHeight="1" x14ac:dyDescent="0.25">
      <c r="A24" s="533">
        <v>13</v>
      </c>
      <c r="B24" s="534" t="e">
        <f>+MT_VAL!#REF!</f>
        <v>#REF!</v>
      </c>
      <c r="C24" s="535" t="e">
        <f>+#REF!</f>
        <v>#REF!</v>
      </c>
      <c r="D24" s="536"/>
      <c r="E24" s="495"/>
      <c r="F24" s="542"/>
      <c r="G24" s="543"/>
      <c r="H24" s="496"/>
      <c r="I24" s="495" t="e">
        <f>+#REF!</f>
        <v>#REF!</v>
      </c>
      <c r="J24" s="539" t="e">
        <f>+$F$19*C24</f>
        <v>#REF!</v>
      </c>
      <c r="K24" s="540" t="e">
        <f t="shared" si="0"/>
        <v>#REF!</v>
      </c>
      <c r="L24" s="541" t="e">
        <f t="shared" si="2"/>
        <v>#REF!</v>
      </c>
      <c r="M24" s="540" t="e">
        <f>$E$19-SUM(L21:L24)</f>
        <v>#REF!</v>
      </c>
    </row>
    <row r="25" spans="1:13" ht="13.95" customHeight="1" x14ac:dyDescent="0.25">
      <c r="A25" s="533">
        <v>14</v>
      </c>
      <c r="B25" s="534" t="e">
        <f>+MT_VAL!#REF!</f>
        <v>#REF!</v>
      </c>
      <c r="C25" s="535">
        <v>0</v>
      </c>
      <c r="D25" s="536"/>
      <c r="E25" s="495"/>
      <c r="F25" s="542"/>
      <c r="G25" s="543"/>
      <c r="H25" s="496"/>
      <c r="I25" s="495" t="e">
        <f>+#REF!</f>
        <v>#REF!</v>
      </c>
      <c r="J25" s="539" t="e">
        <f>+$F$19*C25</f>
        <v>#REF!</v>
      </c>
      <c r="K25" s="540" t="e">
        <f t="shared" ref="K25:K26" si="4">ROUND(J25*I25/$H$19,2)</f>
        <v>#REF!</v>
      </c>
      <c r="L25" s="541" t="e">
        <f t="shared" ref="L25:L26" si="5">K25</f>
        <v>#REF!</v>
      </c>
      <c r="M25" s="540" t="e">
        <f t="shared" ref="M25:M26" si="6">$E$19-SUM(L22:L25)</f>
        <v>#REF!</v>
      </c>
    </row>
    <row r="26" spans="1:13" ht="13.95" customHeight="1" x14ac:dyDescent="0.25">
      <c r="A26" s="533">
        <v>15</v>
      </c>
      <c r="B26" s="534" t="e">
        <f>+MT_VAL!#REF!</f>
        <v>#REF!</v>
      </c>
      <c r="C26" s="535">
        <v>0</v>
      </c>
      <c r="D26" s="536"/>
      <c r="E26" s="495"/>
      <c r="F26" s="542"/>
      <c r="G26" s="543"/>
      <c r="H26" s="496"/>
      <c r="I26" s="495" t="e">
        <f>+#REF!</f>
        <v>#REF!</v>
      </c>
      <c r="J26" s="539" t="e">
        <f>+$F$19*C26</f>
        <v>#REF!</v>
      </c>
      <c r="K26" s="540" t="e">
        <f t="shared" si="4"/>
        <v>#REF!</v>
      </c>
      <c r="L26" s="541" t="e">
        <f t="shared" si="5"/>
        <v>#REF!</v>
      </c>
      <c r="M26" s="540" t="e">
        <f t="shared" si="6"/>
        <v>#REF!</v>
      </c>
    </row>
    <row r="27" spans="1:13" ht="13.95" customHeight="1" x14ac:dyDescent="0.25">
      <c r="A27" s="533">
        <v>16</v>
      </c>
      <c r="B27" s="534" t="e">
        <f>+MT_VAL!#REF!</f>
        <v>#REF!</v>
      </c>
      <c r="C27" s="535">
        <v>0</v>
      </c>
      <c r="D27" s="536"/>
      <c r="E27" s="495"/>
      <c r="F27" s="542"/>
      <c r="G27" s="543"/>
      <c r="H27" s="496"/>
      <c r="I27" s="495" t="e">
        <f>+#REF!</f>
        <v>#REF!</v>
      </c>
      <c r="J27" s="539" t="e">
        <f>+$F$19*C27</f>
        <v>#REF!</v>
      </c>
      <c r="K27" s="540" t="e">
        <f t="shared" ref="K27" si="7">ROUND(J27*I27/$H$19,2)</f>
        <v>#REF!</v>
      </c>
      <c r="L27" s="541" t="e">
        <f t="shared" ref="L27" si="8">K27</f>
        <v>#REF!</v>
      </c>
      <c r="M27" s="540" t="e">
        <f t="shared" ref="M27" si="9">$E$19-SUM(L24:L27)</f>
        <v>#REF!</v>
      </c>
    </row>
    <row r="28" spans="1:13" ht="13.8" x14ac:dyDescent="0.25">
      <c r="A28" s="544"/>
      <c r="B28" s="545"/>
      <c r="C28" s="546"/>
      <c r="D28" s="547"/>
      <c r="E28" s="548"/>
      <c r="F28" s="549"/>
      <c r="G28" s="550"/>
      <c r="H28" s="548"/>
      <c r="I28" s="551"/>
      <c r="J28" s="552"/>
      <c r="K28" s="553"/>
      <c r="M28" s="553"/>
    </row>
    <row r="29" spans="1:13" ht="13.8" x14ac:dyDescent="0.25">
      <c r="A29" s="554"/>
      <c r="B29" s="555"/>
      <c r="C29" s="556"/>
      <c r="D29" s="557"/>
      <c r="E29" s="558"/>
      <c r="F29" s="559"/>
      <c r="G29" s="560"/>
      <c r="H29" s="558"/>
      <c r="I29" s="558"/>
      <c r="J29" s="561"/>
      <c r="K29" s="562" t="e">
        <f>SUM(K19:K28)</f>
        <v>#REF!</v>
      </c>
      <c r="L29" s="562" t="e">
        <f>SUM(L19:L28)</f>
        <v>#REF!</v>
      </c>
      <c r="M29" s="562" t="e">
        <f>+E19-L29</f>
        <v>#REF!</v>
      </c>
    </row>
    <row r="30" spans="1:13" ht="13.8" x14ac:dyDescent="0.25">
      <c r="A30" s="564" t="e">
        <f>+#REF!</f>
        <v>#REF!</v>
      </c>
      <c r="B30" s="565"/>
      <c r="C30" s="566"/>
      <c r="D30" s="567"/>
      <c r="E30" s="568"/>
      <c r="F30" s="569"/>
      <c r="G30" s="543"/>
      <c r="H30" s="569"/>
      <c r="I30" s="570"/>
      <c r="J30" s="571"/>
      <c r="K30" s="572"/>
      <c r="L30" s="573"/>
      <c r="M30" s="572"/>
    </row>
    <row r="31" spans="1:13" ht="13.8" x14ac:dyDescent="0.25">
      <c r="A31" s="526"/>
      <c r="B31" s="574"/>
      <c r="C31" s="535"/>
      <c r="D31" s="536"/>
      <c r="E31" s="575"/>
      <c r="F31" s="569"/>
      <c r="G31" s="543"/>
      <c r="H31" s="569"/>
      <c r="I31" s="570"/>
      <c r="J31" s="552"/>
      <c r="K31" s="553"/>
      <c r="M31" s="553"/>
    </row>
    <row r="32" spans="1:13" ht="13.8" x14ac:dyDescent="0.25">
      <c r="A32" s="533">
        <f>+A19</f>
        <v>8</v>
      </c>
      <c r="B32" s="534">
        <f>B19</f>
        <v>44895</v>
      </c>
      <c r="C32" s="535">
        <f>C19</f>
        <v>26592.292299999997</v>
      </c>
      <c r="D32" s="536" t="e">
        <f>D19</f>
        <v>#REF!</v>
      </c>
      <c r="E32" s="495">
        <f>130000*I12</f>
        <v>130000</v>
      </c>
      <c r="F32" s="537" t="e">
        <f>+#REF!</f>
        <v>#REF!</v>
      </c>
      <c r="G32" s="538" t="e">
        <f>+#REF!</f>
        <v>#REF!</v>
      </c>
      <c r="H32" s="496" t="e">
        <f>+#REF!</f>
        <v>#REF!</v>
      </c>
      <c r="I32" s="496" t="e">
        <f>+#REF!</f>
        <v>#REF!</v>
      </c>
      <c r="J32" s="539" t="e">
        <f>+$F$32*C32</f>
        <v>#REF!</v>
      </c>
      <c r="K32" s="540" t="e">
        <f>ROUND(J32*I32/$H$32,2)</f>
        <v>#REF!</v>
      </c>
      <c r="L32" s="541" t="e">
        <f>K32</f>
        <v>#REF!</v>
      </c>
      <c r="M32" s="540" t="e">
        <f>$E$32-L32</f>
        <v>#REF!</v>
      </c>
    </row>
    <row r="33" spans="1:13" ht="13.8" x14ac:dyDescent="0.25">
      <c r="A33" s="533">
        <f>A20</f>
        <v>9</v>
      </c>
      <c r="B33" s="534">
        <f>B20</f>
        <v>44926</v>
      </c>
      <c r="C33" s="535">
        <f>C20</f>
        <v>0</v>
      </c>
      <c r="D33" s="536"/>
      <c r="E33" s="495"/>
      <c r="F33" s="542"/>
      <c r="G33" s="543"/>
      <c r="H33" s="496"/>
      <c r="I33" s="496" t="e">
        <f>+#REF!</f>
        <v>#REF!</v>
      </c>
      <c r="J33" s="539" t="e">
        <f>+$F$32*C33</f>
        <v>#REF!</v>
      </c>
      <c r="K33" s="540" t="e">
        <f>ROUND(J33*I33/$H$32,2)</f>
        <v>#REF!</v>
      </c>
      <c r="L33" s="541" t="e">
        <f>K33</f>
        <v>#REF!</v>
      </c>
      <c r="M33" s="540" t="e">
        <f>$E$32-L33</f>
        <v>#REF!</v>
      </c>
    </row>
    <row r="34" spans="1:13" ht="13.95" customHeight="1" x14ac:dyDescent="0.25">
      <c r="A34" s="533">
        <f t="shared" ref="A34:B39" si="10">A21</f>
        <v>10</v>
      </c>
      <c r="B34" s="534">
        <f t="shared" si="10"/>
        <v>44957</v>
      </c>
      <c r="C34" s="535">
        <f>+C21</f>
        <v>200006.13459999999</v>
      </c>
      <c r="D34" s="536"/>
      <c r="E34" s="495"/>
      <c r="F34" s="542"/>
      <c r="G34" s="543"/>
      <c r="H34" s="496"/>
      <c r="I34" s="496" t="e">
        <f>+#REF!</f>
        <v>#REF!</v>
      </c>
      <c r="J34" s="539" t="e">
        <f>+$F$32*C34</f>
        <v>#REF!</v>
      </c>
      <c r="K34" s="540" t="e">
        <f>ROUND(J34*I34/$H$32,2)</f>
        <v>#REF!</v>
      </c>
      <c r="L34" s="541" t="e">
        <f>K34</f>
        <v>#REF!</v>
      </c>
      <c r="M34" s="540" t="e">
        <f>$E$32-L34</f>
        <v>#REF!</v>
      </c>
    </row>
    <row r="35" spans="1:13" ht="13.95" customHeight="1" x14ac:dyDescent="0.25">
      <c r="A35" s="533">
        <f t="shared" si="10"/>
        <v>11</v>
      </c>
      <c r="B35" s="534">
        <f t="shared" si="10"/>
        <v>44985</v>
      </c>
      <c r="C35" s="535">
        <f>+C22</f>
        <v>112802.42450000001</v>
      </c>
      <c r="D35" s="536"/>
      <c r="E35" s="495"/>
      <c r="F35" s="542"/>
      <c r="G35" s="543"/>
      <c r="H35" s="496"/>
      <c r="I35" s="496" t="e">
        <f>+#REF!</f>
        <v>#REF!</v>
      </c>
      <c r="J35" s="539" t="e">
        <f>+$F$32*C35</f>
        <v>#REF!</v>
      </c>
      <c r="K35" s="540" t="e">
        <f>ROUND(J35*I35/$H$32,2)</f>
        <v>#REF!</v>
      </c>
      <c r="L35" s="541" t="e">
        <f>K35</f>
        <v>#REF!</v>
      </c>
      <c r="M35" s="540" t="e">
        <f>$E$32-L35</f>
        <v>#REF!</v>
      </c>
    </row>
    <row r="36" spans="1:13" ht="13.95" customHeight="1" x14ac:dyDescent="0.25">
      <c r="A36" s="533">
        <f t="shared" si="10"/>
        <v>12</v>
      </c>
      <c r="B36" s="534">
        <f t="shared" si="10"/>
        <v>45016</v>
      </c>
      <c r="C36" s="535">
        <f>+C23</f>
        <v>0</v>
      </c>
      <c r="D36" s="536"/>
      <c r="E36" s="495"/>
      <c r="F36" s="542"/>
      <c r="G36" s="543"/>
      <c r="H36" s="496"/>
      <c r="I36" s="496" t="e">
        <f>+#REF!</f>
        <v>#REF!</v>
      </c>
      <c r="J36" s="539" t="e">
        <f t="shared" ref="J36:J37" si="11">+$F$32*C36</f>
        <v>#REF!</v>
      </c>
      <c r="K36" s="540" t="e">
        <f t="shared" ref="K36:K37" si="12">ROUND(J36*I36/$H$32,2)</f>
        <v>#REF!</v>
      </c>
      <c r="L36" s="541" t="e">
        <f t="shared" ref="L36:L37" si="13">K36</f>
        <v>#REF!</v>
      </c>
      <c r="M36" s="540" t="e">
        <f t="shared" ref="M36:M37" si="14">$E$32-L36</f>
        <v>#REF!</v>
      </c>
    </row>
    <row r="37" spans="1:13" ht="13.95" customHeight="1" x14ac:dyDescent="0.25">
      <c r="A37" s="533">
        <f t="shared" si="10"/>
        <v>13</v>
      </c>
      <c r="B37" s="534" t="e">
        <f t="shared" si="10"/>
        <v>#REF!</v>
      </c>
      <c r="C37" s="535" t="e">
        <f>+C24</f>
        <v>#REF!</v>
      </c>
      <c r="D37" s="536"/>
      <c r="E37" s="495"/>
      <c r="F37" s="542"/>
      <c r="G37" s="543"/>
      <c r="H37" s="496"/>
      <c r="I37" s="496" t="e">
        <f>+#REF!</f>
        <v>#REF!</v>
      </c>
      <c r="J37" s="539" t="e">
        <f t="shared" si="11"/>
        <v>#REF!</v>
      </c>
      <c r="K37" s="540" t="e">
        <f t="shared" si="12"/>
        <v>#REF!</v>
      </c>
      <c r="L37" s="541" t="e">
        <f t="shared" si="13"/>
        <v>#REF!</v>
      </c>
      <c r="M37" s="540" t="e">
        <f t="shared" si="14"/>
        <v>#REF!</v>
      </c>
    </row>
    <row r="38" spans="1:13" ht="13.95" hidden="1" customHeight="1" x14ac:dyDescent="0.25">
      <c r="A38" s="533">
        <f t="shared" si="10"/>
        <v>14</v>
      </c>
      <c r="B38" s="534" t="e">
        <f t="shared" si="10"/>
        <v>#REF!</v>
      </c>
      <c r="C38" s="535">
        <f>+C25</f>
        <v>0</v>
      </c>
      <c r="D38" s="536"/>
      <c r="E38" s="495"/>
      <c r="F38" s="542"/>
      <c r="G38" s="543"/>
      <c r="H38" s="496"/>
      <c r="I38" s="496"/>
      <c r="J38" s="539"/>
      <c r="K38" s="540"/>
      <c r="L38" s="541"/>
      <c r="M38" s="540"/>
    </row>
    <row r="39" spans="1:13" ht="14.4" hidden="1" customHeight="1" x14ac:dyDescent="0.25">
      <c r="A39" s="533">
        <f t="shared" si="10"/>
        <v>15</v>
      </c>
      <c r="B39" s="534" t="e">
        <f t="shared" si="10"/>
        <v>#REF!</v>
      </c>
      <c r="C39" s="535">
        <v>0</v>
      </c>
      <c r="D39" s="536"/>
      <c r="E39" s="495"/>
      <c r="F39" s="542"/>
      <c r="G39" s="543"/>
      <c r="H39" s="496"/>
      <c r="I39" s="496"/>
      <c r="J39" s="539"/>
      <c r="K39" s="540"/>
      <c r="L39" s="541"/>
      <c r="M39" s="540"/>
    </row>
    <row r="40" spans="1:13" ht="13.8" x14ac:dyDescent="0.25">
      <c r="A40" s="544"/>
      <c r="B40" s="545"/>
      <c r="C40" s="546"/>
      <c r="D40" s="547"/>
      <c r="E40" s="548"/>
      <c r="F40" s="549"/>
      <c r="G40" s="550"/>
      <c r="H40" s="548"/>
      <c r="I40" s="551"/>
      <c r="J40" s="576"/>
      <c r="K40" s="577"/>
      <c r="L40" s="578"/>
      <c r="M40" s="577"/>
    </row>
    <row r="41" spans="1:13" ht="13.8" x14ac:dyDescent="0.25">
      <c r="A41" s="554"/>
      <c r="B41" s="555"/>
      <c r="C41" s="556"/>
      <c r="D41" s="557"/>
      <c r="E41" s="558"/>
      <c r="F41" s="559"/>
      <c r="G41" s="560"/>
      <c r="H41" s="558"/>
      <c r="I41" s="558"/>
      <c r="J41" s="561"/>
      <c r="K41" s="562" t="e">
        <f>SUM(K32:K40)</f>
        <v>#REF!</v>
      </c>
      <c r="L41" s="562" t="e">
        <f>SUM(L32:L40)</f>
        <v>#REF!</v>
      </c>
      <c r="M41" s="562" t="e">
        <f>+E32-L41</f>
        <v>#REF!</v>
      </c>
    </row>
    <row r="42" spans="1:13" ht="14.4" hidden="1" customHeight="1" x14ac:dyDescent="0.25">
      <c r="A42" s="564"/>
      <c r="B42" s="565"/>
      <c r="C42" s="566"/>
      <c r="D42" s="567"/>
      <c r="E42" s="568"/>
      <c r="F42" s="569"/>
      <c r="G42" s="543"/>
      <c r="H42" s="569"/>
      <c r="I42" s="570"/>
      <c r="J42" s="571"/>
      <c r="K42" s="572"/>
      <c r="L42" s="573"/>
      <c r="M42" s="572"/>
    </row>
    <row r="43" spans="1:13" ht="13.95" hidden="1" customHeight="1" x14ac:dyDescent="0.25">
      <c r="A43" s="526"/>
      <c r="B43" s="574"/>
      <c r="C43" s="535"/>
      <c r="D43" s="575"/>
      <c r="E43" s="575"/>
      <c r="F43" s="569"/>
      <c r="G43" s="543"/>
      <c r="H43" s="569"/>
      <c r="I43" s="570"/>
      <c r="J43" s="552"/>
      <c r="K43" s="553"/>
      <c r="M43" s="553"/>
    </row>
    <row r="44" spans="1:13" ht="13.95" hidden="1" customHeight="1" x14ac:dyDescent="0.25">
      <c r="A44" s="533"/>
      <c r="B44" s="534"/>
      <c r="C44" s="535"/>
      <c r="D44" s="536"/>
      <c r="E44" s="495"/>
      <c r="F44" s="537"/>
      <c r="G44" s="538"/>
      <c r="H44" s="496"/>
      <c r="I44" s="496"/>
      <c r="J44" s="539"/>
      <c r="K44" s="540"/>
      <c r="L44" s="541"/>
      <c r="M44" s="540"/>
    </row>
    <row r="45" spans="1:13" ht="13.95" hidden="1" customHeight="1" x14ac:dyDescent="0.25">
      <c r="A45" s="533"/>
      <c r="B45" s="534"/>
      <c r="C45" s="535"/>
      <c r="D45" s="536"/>
      <c r="E45" s="495"/>
      <c r="F45" s="542"/>
      <c r="G45" s="543"/>
      <c r="H45" s="496"/>
      <c r="I45" s="496"/>
      <c r="J45" s="539"/>
      <c r="K45" s="540"/>
      <c r="L45" s="541"/>
      <c r="M45" s="540"/>
    </row>
    <row r="46" spans="1:13" ht="13.95" hidden="1" customHeight="1" x14ac:dyDescent="0.25">
      <c r="A46" s="533"/>
      <c r="B46" s="534"/>
      <c r="C46" s="535"/>
      <c r="D46" s="536"/>
      <c r="E46" s="495"/>
      <c r="F46" s="542"/>
      <c r="G46" s="543"/>
      <c r="H46" s="496"/>
      <c r="I46" s="496"/>
      <c r="J46" s="539"/>
      <c r="K46" s="540"/>
      <c r="L46" s="541"/>
      <c r="M46" s="540"/>
    </row>
    <row r="47" spans="1:13" ht="13.95" hidden="1" customHeight="1" x14ac:dyDescent="0.25">
      <c r="A47" s="533"/>
      <c r="B47" s="534"/>
      <c r="C47" s="535"/>
      <c r="D47" s="536"/>
      <c r="E47" s="495"/>
      <c r="F47" s="542"/>
      <c r="G47" s="543"/>
      <c r="H47" s="496"/>
      <c r="I47" s="496"/>
      <c r="J47" s="539"/>
      <c r="K47" s="540"/>
      <c r="L47" s="541"/>
      <c r="M47" s="540"/>
    </row>
    <row r="48" spans="1:13" ht="14.4" hidden="1" customHeight="1" x14ac:dyDescent="0.25">
      <c r="A48" s="533"/>
      <c r="B48" s="534"/>
      <c r="C48" s="535"/>
      <c r="D48" s="536"/>
      <c r="E48" s="495"/>
      <c r="F48" s="542"/>
      <c r="G48" s="543"/>
      <c r="H48" s="496"/>
      <c r="I48" s="496"/>
      <c r="J48" s="539"/>
      <c r="K48" s="540"/>
      <c r="L48" s="541"/>
      <c r="M48" s="540"/>
    </row>
    <row r="49" spans="1:20" ht="14.4" hidden="1" customHeight="1" x14ac:dyDescent="0.25">
      <c r="A49" s="533"/>
      <c r="B49" s="534"/>
      <c r="C49" s="535"/>
      <c r="D49" s="536"/>
      <c r="E49" s="495"/>
      <c r="F49" s="542"/>
      <c r="G49" s="543"/>
      <c r="H49" s="496"/>
      <c r="I49" s="496"/>
      <c r="J49" s="539"/>
      <c r="K49" s="540"/>
      <c r="L49" s="541"/>
      <c r="M49" s="540"/>
    </row>
    <row r="50" spans="1:20" ht="14.4" hidden="1" customHeight="1" x14ac:dyDescent="0.25">
      <c r="A50" s="533"/>
      <c r="B50" s="534"/>
      <c r="C50" s="535"/>
      <c r="D50" s="536"/>
      <c r="E50" s="495"/>
      <c r="F50" s="542"/>
      <c r="G50" s="543"/>
      <c r="H50" s="496"/>
      <c r="I50" s="496"/>
      <c r="J50" s="539"/>
      <c r="K50" s="540"/>
      <c r="L50" s="541"/>
      <c r="M50" s="540"/>
    </row>
    <row r="51" spans="1:20" ht="14.4" hidden="1" customHeight="1" x14ac:dyDescent="0.25">
      <c r="A51" s="533"/>
      <c r="B51" s="534"/>
      <c r="C51" s="535"/>
      <c r="D51" s="536"/>
      <c r="E51" s="495"/>
      <c r="F51" s="542"/>
      <c r="G51" s="543"/>
      <c r="H51" s="496"/>
      <c r="I51" s="496"/>
      <c r="J51" s="539"/>
      <c r="K51" s="540"/>
      <c r="L51" s="541"/>
      <c r="M51" s="540"/>
    </row>
    <row r="52" spans="1:20" ht="13.95" hidden="1" customHeight="1" x14ac:dyDescent="0.25">
      <c r="A52" s="544"/>
      <c r="B52" s="545"/>
      <c r="C52" s="546"/>
      <c r="D52" s="547"/>
      <c r="E52" s="548"/>
      <c r="F52" s="549"/>
      <c r="G52" s="550"/>
      <c r="H52" s="548"/>
      <c r="I52" s="551"/>
      <c r="J52" s="552"/>
      <c r="K52" s="553"/>
      <c r="M52" s="553"/>
    </row>
    <row r="53" spans="1:20" ht="13.95" hidden="1" customHeight="1" x14ac:dyDescent="0.25">
      <c r="A53" s="554"/>
      <c r="B53" s="555"/>
      <c r="C53" s="556"/>
      <c r="D53" s="557"/>
      <c r="E53" s="558"/>
      <c r="F53" s="559"/>
      <c r="G53" s="560"/>
      <c r="H53" s="558"/>
      <c r="I53" s="558"/>
      <c r="J53" s="561"/>
      <c r="K53" s="562">
        <f>SUM(K44:K52)</f>
        <v>0</v>
      </c>
      <c r="L53" s="562">
        <f>SUM(L44:L52)</f>
        <v>0</v>
      </c>
      <c r="M53" s="562">
        <f>+E44-L53</f>
        <v>0</v>
      </c>
    </row>
    <row r="54" spans="1:20" ht="14.4" thickBot="1" x14ac:dyDescent="0.3">
      <c r="A54" s="579"/>
      <c r="B54" s="580"/>
      <c r="C54" s="581"/>
      <c r="D54" s="582"/>
      <c r="E54" s="583"/>
      <c r="F54" s="584"/>
      <c r="G54" s="585"/>
      <c r="H54" s="583"/>
      <c r="I54" s="583"/>
      <c r="J54" s="571"/>
      <c r="K54" s="562"/>
      <c r="L54" s="562"/>
      <c r="M54" s="563"/>
    </row>
    <row r="55" spans="1:20" ht="16.2" thickBot="1" x14ac:dyDescent="0.35">
      <c r="A55" s="586" t="s">
        <v>19</v>
      </c>
      <c r="B55" s="587"/>
      <c r="C55" s="674"/>
      <c r="D55" s="587"/>
      <c r="E55" s="588">
        <f>SUM(E19:E53)</f>
        <v>550847.46</v>
      </c>
      <c r="F55" s="588"/>
      <c r="G55" s="587"/>
      <c r="H55" s="587"/>
      <c r="I55" s="587"/>
      <c r="J55" s="589"/>
      <c r="K55" s="589"/>
      <c r="L55" s="589"/>
      <c r="M55" s="590"/>
    </row>
    <row r="56" spans="1:20" x14ac:dyDescent="0.25">
      <c r="C56" s="591"/>
      <c r="I56" s="592" t="s">
        <v>74</v>
      </c>
      <c r="J56" s="593"/>
      <c r="K56" s="593"/>
      <c r="L56" s="972" t="e">
        <f>SUM(L29+L41)</f>
        <v>#REF!</v>
      </c>
      <c r="M56" s="594"/>
      <c r="O56" t="s">
        <v>1186</v>
      </c>
      <c r="P56" s="1011">
        <v>43739</v>
      </c>
    </row>
    <row r="57" spans="1:20" x14ac:dyDescent="0.25">
      <c r="I57" s="595" t="s">
        <v>80</v>
      </c>
      <c r="L57" s="535">
        <f>SUM(O57:T57)</f>
        <v>11711.74</v>
      </c>
      <c r="M57" s="596"/>
      <c r="O57" s="984">
        <v>11711.74</v>
      </c>
      <c r="P57" s="984">
        <v>0</v>
      </c>
      <c r="Q57" s="984"/>
      <c r="R57" s="984"/>
      <c r="S57" s="984"/>
      <c r="T57" s="984"/>
    </row>
    <row r="58" spans="1:20" ht="13.8" thickBot="1" x14ac:dyDescent="0.3">
      <c r="I58" s="598" t="s">
        <v>81</v>
      </c>
      <c r="J58" s="599"/>
      <c r="K58" s="599"/>
      <c r="L58" s="980" t="e">
        <f>+L56-L57</f>
        <v>#REF!</v>
      </c>
      <c r="M58" s="670" t="e">
        <f>+E55-L56</f>
        <v>#REF!</v>
      </c>
    </row>
    <row r="60" spans="1:20" ht="17.399999999999999" x14ac:dyDescent="0.3">
      <c r="A60" s="2315" t="s">
        <v>1185</v>
      </c>
      <c r="B60" s="2315"/>
      <c r="C60" s="2315"/>
      <c r="D60" s="2315"/>
      <c r="E60" s="2315"/>
      <c r="F60" s="2315"/>
      <c r="G60" s="2315"/>
      <c r="H60" s="2315"/>
      <c r="I60" s="2315"/>
      <c r="J60" s="2315"/>
      <c r="K60" s="2315"/>
      <c r="L60" s="2315"/>
      <c r="M60" s="2315"/>
    </row>
    <row r="61" spans="1:20" ht="17.399999999999999" x14ac:dyDescent="0.3">
      <c r="A61" s="2315"/>
      <c r="B61" s="2315"/>
      <c r="C61" s="2315"/>
      <c r="D61" s="2315"/>
      <c r="E61" s="2315"/>
      <c r="F61" s="2315"/>
      <c r="G61" s="2315"/>
      <c r="H61" s="2315"/>
      <c r="I61" s="2315"/>
    </row>
    <row r="62" spans="1:20" x14ac:dyDescent="0.25">
      <c r="B62" s="505" t="s">
        <v>1204</v>
      </c>
      <c r="C62" s="502"/>
      <c r="D62" s="502" t="s">
        <v>7</v>
      </c>
      <c r="E62" s="503" t="str">
        <f>CARAT_!$F$47</f>
        <v>ESPECIFICO Nº SP-2022-012</v>
      </c>
      <c r="F62" s="504"/>
    </row>
    <row r="63" spans="1:20" ht="12.75" customHeight="1" x14ac:dyDescent="0.25">
      <c r="B63" s="505" t="s">
        <v>18</v>
      </c>
      <c r="C63" s="502"/>
      <c r="D63" s="502" t="s">
        <v>7</v>
      </c>
      <c r="E63" s="2341" t="str">
        <f>CARAT_!F48</f>
        <v>“CREACION DEL PUENTE VEHICULAR CCANCHIS SOBRE EL RIO PAMPAS, DISTRITO DE CHUNGUI - PROVINCIA LA MAR - DEPARTAMENTO AYACUCHO”.</v>
      </c>
      <c r="F63" s="2341"/>
      <c r="G63" s="2341"/>
      <c r="H63" s="2341"/>
      <c r="I63" s="2341"/>
      <c r="J63" s="2341"/>
      <c r="K63" s="2341"/>
      <c r="L63" s="2341"/>
      <c r="M63" s="1009"/>
    </row>
    <row r="64" spans="1:20" x14ac:dyDescent="0.25">
      <c r="B64" s="502" t="s">
        <v>3</v>
      </c>
      <c r="C64" s="502"/>
      <c r="D64" s="502" t="s">
        <v>7</v>
      </c>
      <c r="E64" s="503" t="str">
        <f>CARAT_!$F$54</f>
        <v>MES DE DICIEMBRE DE 2022</v>
      </c>
      <c r="F64" s="1009"/>
      <c r="G64" s="1009"/>
      <c r="H64" s="1009"/>
      <c r="I64" s="1009"/>
      <c r="J64" s="1009"/>
      <c r="K64" s="1009"/>
      <c r="L64" s="1009"/>
      <c r="M64" s="1009"/>
    </row>
    <row r="65" spans="1:13" ht="16.2" customHeight="1" x14ac:dyDescent="0.25">
      <c r="B65" s="505" t="s">
        <v>25</v>
      </c>
      <c r="C65" s="502"/>
      <c r="D65" s="502"/>
      <c r="E65" s="2341" t="s">
        <v>1461</v>
      </c>
      <c r="F65" s="2341"/>
      <c r="G65" s="1009"/>
      <c r="H65" s="1009"/>
      <c r="I65" s="1009"/>
      <c r="J65" s="1009"/>
      <c r="K65" s="1009"/>
      <c r="L65" s="1009"/>
      <c r="M65" s="1009"/>
    </row>
    <row r="66" spans="1:13" x14ac:dyDescent="0.25">
      <c r="A66"/>
      <c r="B66"/>
      <c r="C66"/>
      <c r="D66"/>
      <c r="E66"/>
      <c r="F66"/>
      <c r="G66"/>
      <c r="H66"/>
      <c r="I66"/>
      <c r="J66"/>
      <c r="K66"/>
    </row>
    <row r="67" spans="1:13" x14ac:dyDescent="0.25">
      <c r="A67"/>
      <c r="B67"/>
      <c r="C67"/>
      <c r="D67"/>
      <c r="E67"/>
      <c r="F67"/>
      <c r="G67"/>
      <c r="H67"/>
      <c r="I67"/>
      <c r="J67"/>
      <c r="K67"/>
    </row>
    <row r="68" spans="1:13" x14ac:dyDescent="0.25">
      <c r="A68"/>
      <c r="B68" t="s">
        <v>1409</v>
      </c>
      <c r="C68" s="1444"/>
      <c r="D68" s="502" t="s">
        <v>7</v>
      </c>
      <c r="E68" s="1444" t="s">
        <v>1476</v>
      </c>
      <c r="F68"/>
      <c r="G68"/>
      <c r="I68"/>
      <c r="J68"/>
      <c r="K68"/>
    </row>
    <row r="69" spans="1:13" x14ac:dyDescent="0.25">
      <c r="A69"/>
      <c r="B69" s="1008" t="s">
        <v>1475</v>
      </c>
      <c r="C69" s="1444"/>
      <c r="D69" s="502" t="s">
        <v>7</v>
      </c>
      <c r="E69" s="1446" t="s">
        <v>1482</v>
      </c>
      <c r="F69"/>
      <c r="G69"/>
      <c r="H69"/>
      <c r="I69"/>
      <c r="J69"/>
      <c r="K69"/>
    </row>
    <row r="70" spans="1:13" x14ac:dyDescent="0.25">
      <c r="A70"/>
      <c r="B70" s="1445" t="s">
        <v>1477</v>
      </c>
      <c r="C70" s="502"/>
      <c r="D70" s="502" t="s">
        <v>7</v>
      </c>
      <c r="E70" s="1444" t="s">
        <v>1166</v>
      </c>
      <c r="F70" s="502"/>
      <c r="G70" s="1444"/>
      <c r="H70" s="1444"/>
      <c r="I70" s="1444"/>
      <c r="J70"/>
      <c r="K70"/>
    </row>
    <row r="71" spans="1:13" x14ac:dyDescent="0.25">
      <c r="A71"/>
      <c r="B71" s="502"/>
      <c r="C71" s="502"/>
      <c r="D71" s="502"/>
      <c r="E71" s="193"/>
      <c r="F71" s="504"/>
      <c r="G71"/>
      <c r="H71"/>
      <c r="I71"/>
      <c r="J71"/>
      <c r="K71"/>
    </row>
    <row r="72" spans="1:13" ht="14.4" x14ac:dyDescent="0.3">
      <c r="A72" s="985" t="s">
        <v>1410</v>
      </c>
      <c r="B72"/>
      <c r="C72"/>
      <c r="D72" s="986" t="s">
        <v>40</v>
      </c>
      <c r="E72" s="987">
        <v>418147.27</v>
      </c>
      <c r="F72"/>
      <c r="G72"/>
      <c r="H72"/>
      <c r="I72"/>
      <c r="J72"/>
      <c r="K72"/>
    </row>
    <row r="73" spans="1:13" ht="14.4" x14ac:dyDescent="0.3">
      <c r="A73" s="2336" t="s">
        <v>1167</v>
      </c>
      <c r="B73" s="2337"/>
      <c r="C73" s="994">
        <v>1</v>
      </c>
      <c r="D73" s="994">
        <v>2</v>
      </c>
      <c r="E73" s="995" t="s">
        <v>1168</v>
      </c>
      <c r="F73" s="996">
        <v>4</v>
      </c>
      <c r="G73" s="994">
        <v>5</v>
      </c>
      <c r="H73" s="994">
        <v>6</v>
      </c>
      <c r="I73" s="994">
        <v>7</v>
      </c>
      <c r="J73" s="994">
        <v>8</v>
      </c>
      <c r="K73" s="994">
        <v>9</v>
      </c>
      <c r="L73" s="997" t="s">
        <v>1192</v>
      </c>
    </row>
    <row r="74" spans="1:13" ht="14.4" x14ac:dyDescent="0.3">
      <c r="A74" s="998" t="s">
        <v>1169</v>
      </c>
      <c r="B74" s="998" t="s">
        <v>3</v>
      </c>
      <c r="C74" s="999" t="s">
        <v>1170</v>
      </c>
      <c r="D74" s="998" t="s">
        <v>1171</v>
      </c>
      <c r="E74" s="1000" t="s">
        <v>1172</v>
      </c>
      <c r="F74" s="2338" t="s">
        <v>241</v>
      </c>
      <c r="G74" s="1001" t="s">
        <v>1173</v>
      </c>
      <c r="H74" s="1000" t="s">
        <v>1174</v>
      </c>
      <c r="I74" s="1002" t="s">
        <v>1188</v>
      </c>
      <c r="J74" s="1000" t="s">
        <v>1175</v>
      </c>
      <c r="K74" s="1001" t="s">
        <v>1175</v>
      </c>
      <c r="L74" s="1001" t="s">
        <v>1177</v>
      </c>
    </row>
    <row r="75" spans="1:13" ht="14.4" x14ac:dyDescent="0.3">
      <c r="A75" s="1001"/>
      <c r="B75" s="1001"/>
      <c r="C75" s="999" t="s">
        <v>1421</v>
      </c>
      <c r="D75" s="1001"/>
      <c r="E75" s="1000"/>
      <c r="F75" s="2339"/>
      <c r="G75" s="1001"/>
      <c r="H75" s="1000"/>
      <c r="I75" s="1002" t="s">
        <v>1178</v>
      </c>
      <c r="J75" s="1000"/>
      <c r="K75" s="1001" t="s">
        <v>1189</v>
      </c>
      <c r="L75" s="1001" t="s">
        <v>1179</v>
      </c>
    </row>
    <row r="76" spans="1:13" x14ac:dyDescent="0.25">
      <c r="A76" s="1106" t="s">
        <v>1412</v>
      </c>
      <c r="B76" s="989">
        <v>44712</v>
      </c>
      <c r="C76" s="990">
        <v>0</v>
      </c>
      <c r="D76" s="990">
        <v>5.0199999999999996</v>
      </c>
      <c r="E76" s="991">
        <f t="shared" ref="E76" si="15">+D76*C76</f>
        <v>0</v>
      </c>
      <c r="F76" s="992">
        <v>1</v>
      </c>
      <c r="G76" s="990">
        <v>948.77</v>
      </c>
      <c r="H76" s="990">
        <v>811.32</v>
      </c>
      <c r="I76" s="1010">
        <f>+E72</f>
        <v>418147.27</v>
      </c>
      <c r="J76" s="990">
        <f t="shared" ref="J76" si="16">+E76*G76/H76</f>
        <v>0</v>
      </c>
      <c r="K76" s="990">
        <f>+J76</f>
        <v>0</v>
      </c>
      <c r="L76" s="990">
        <f t="shared" ref="L76:L81" si="17">+$I$76-K76</f>
        <v>418147.27</v>
      </c>
    </row>
    <row r="77" spans="1:13" x14ac:dyDescent="0.25">
      <c r="A77" s="1106" t="s">
        <v>1413</v>
      </c>
      <c r="B77" s="989">
        <v>44742</v>
      </c>
      <c r="C77" s="990">
        <v>0</v>
      </c>
      <c r="D77" s="990">
        <v>5.0199999999999996</v>
      </c>
      <c r="E77" s="991">
        <f t="shared" ref="E77:E82" si="18">+D77*C77</f>
        <v>0</v>
      </c>
      <c r="F77" s="992">
        <v>1</v>
      </c>
      <c r="G77" s="990">
        <v>948.77</v>
      </c>
      <c r="H77" s="990">
        <v>811.32</v>
      </c>
      <c r="I77" s="1010">
        <f>+E72</f>
        <v>418147.27</v>
      </c>
      <c r="J77" s="990">
        <f t="shared" ref="J77" si="19">+E77*G77/H77</f>
        <v>0</v>
      </c>
      <c r="K77" s="990">
        <f>+K76+J77</f>
        <v>0</v>
      </c>
      <c r="L77" s="990">
        <f t="shared" si="17"/>
        <v>418147.27</v>
      </c>
    </row>
    <row r="78" spans="1:13" x14ac:dyDescent="0.25">
      <c r="A78" s="1106" t="s">
        <v>1414</v>
      </c>
      <c r="B78" s="989">
        <v>44773</v>
      </c>
      <c r="C78" s="990">
        <v>0</v>
      </c>
      <c r="D78" s="990">
        <v>5.0199999999999996</v>
      </c>
      <c r="E78" s="991">
        <f t="shared" si="18"/>
        <v>0</v>
      </c>
      <c r="F78" s="992">
        <v>1</v>
      </c>
      <c r="G78" s="990">
        <v>948.77</v>
      </c>
      <c r="H78" s="990">
        <v>811.32</v>
      </c>
      <c r="I78" s="1010">
        <f>+E72</f>
        <v>418147.27</v>
      </c>
      <c r="J78" s="990">
        <f t="shared" ref="J78" si="20">+E78*G78/H78</f>
        <v>0</v>
      </c>
      <c r="K78" s="990">
        <f>+K77+J78</f>
        <v>0</v>
      </c>
      <c r="L78" s="990">
        <f t="shared" si="17"/>
        <v>418147.27</v>
      </c>
    </row>
    <row r="79" spans="1:13" x14ac:dyDescent="0.25">
      <c r="A79" s="1106" t="s">
        <v>1415</v>
      </c>
      <c r="B79" s="989">
        <v>44804</v>
      </c>
      <c r="C79" s="990">
        <v>0</v>
      </c>
      <c r="D79" s="990">
        <v>5.0199999999999996</v>
      </c>
      <c r="E79" s="991">
        <f t="shared" si="18"/>
        <v>0</v>
      </c>
      <c r="F79" s="992">
        <v>1</v>
      </c>
      <c r="G79" s="990">
        <v>948.77</v>
      </c>
      <c r="H79" s="990">
        <v>811.32</v>
      </c>
      <c r="I79" s="1010">
        <f>+E72</f>
        <v>418147.27</v>
      </c>
      <c r="J79" s="990">
        <f t="shared" ref="J79" si="21">+E79*G79/H79</f>
        <v>0</v>
      </c>
      <c r="K79" s="990">
        <f>+K78+J79</f>
        <v>0</v>
      </c>
      <c r="L79" s="990">
        <f t="shared" si="17"/>
        <v>418147.27</v>
      </c>
    </row>
    <row r="80" spans="1:13" x14ac:dyDescent="0.25">
      <c r="A80" s="1106" t="s">
        <v>1416</v>
      </c>
      <c r="B80" s="989">
        <v>44834</v>
      </c>
      <c r="C80" s="990">
        <v>0</v>
      </c>
      <c r="D80" s="990">
        <v>5.0199999999999996</v>
      </c>
      <c r="E80" s="991">
        <f t="shared" si="18"/>
        <v>0</v>
      </c>
      <c r="F80" s="992">
        <v>1</v>
      </c>
      <c r="G80" s="990">
        <v>948.77</v>
      </c>
      <c r="H80" s="990">
        <v>811.32</v>
      </c>
      <c r="I80" s="1010">
        <f>+E72</f>
        <v>418147.27</v>
      </c>
      <c r="J80" s="990">
        <f t="shared" ref="J80" si="22">+E80*G80/H80</f>
        <v>0</v>
      </c>
      <c r="K80" s="990">
        <f>+K79+J80</f>
        <v>0</v>
      </c>
      <c r="L80" s="990">
        <f t="shared" si="17"/>
        <v>418147.27</v>
      </c>
    </row>
    <row r="81" spans="1:12" x14ac:dyDescent="0.25">
      <c r="A81" s="1106" t="s">
        <v>1417</v>
      </c>
      <c r="B81" s="989">
        <v>44864</v>
      </c>
      <c r="C81" s="990">
        <f>8510.21*1.07</f>
        <v>9105.9246999999996</v>
      </c>
      <c r="D81" s="990">
        <v>5.0199999999999996</v>
      </c>
      <c r="E81" s="991">
        <f t="shared" si="18"/>
        <v>45711.741993999996</v>
      </c>
      <c r="F81" s="992">
        <v>1</v>
      </c>
      <c r="G81" s="990">
        <v>948.77</v>
      </c>
      <c r="H81" s="990">
        <v>811.32</v>
      </c>
      <c r="I81" s="1010">
        <f>+E72</f>
        <v>418147.27</v>
      </c>
      <c r="J81" s="990">
        <f>+E81*G81/H81</f>
        <v>53456.009283201915</v>
      </c>
      <c r="K81" s="990">
        <f>+K80+J81</f>
        <v>53456.009283201915</v>
      </c>
      <c r="L81" s="990">
        <f t="shared" si="17"/>
        <v>364691.26071679813</v>
      </c>
    </row>
    <row r="82" spans="1:12" x14ac:dyDescent="0.25">
      <c r="A82" s="1106" t="s">
        <v>1180</v>
      </c>
      <c r="B82" s="989">
        <v>44895</v>
      </c>
      <c r="C82" s="990">
        <v>0</v>
      </c>
      <c r="D82" s="990">
        <v>5.0199999999999996</v>
      </c>
      <c r="E82" s="991">
        <f t="shared" si="18"/>
        <v>0</v>
      </c>
      <c r="F82" s="992">
        <v>1</v>
      </c>
      <c r="G82" s="990">
        <v>948.77</v>
      </c>
      <c r="H82" s="990">
        <v>811.32</v>
      </c>
      <c r="I82" s="1010">
        <f>+E72</f>
        <v>418147.27</v>
      </c>
      <c r="J82" s="990">
        <f t="shared" ref="J82" si="23">+E82*G82/H82</f>
        <v>0</v>
      </c>
      <c r="K82" s="990">
        <v>0</v>
      </c>
      <c r="L82" s="990">
        <f>+$I$76-K81</f>
        <v>364691.26071679813</v>
      </c>
    </row>
    <row r="83" spans="1:12" x14ac:dyDescent="0.25">
      <c r="A83" s="1106" t="s">
        <v>1804</v>
      </c>
      <c r="B83" s="989">
        <v>44925</v>
      </c>
      <c r="C83" s="990">
        <v>0</v>
      </c>
      <c r="D83" s="990">
        <v>5.0199999999999996</v>
      </c>
      <c r="E83" s="991">
        <f t="shared" ref="E83" si="24">+D83*C83</f>
        <v>0</v>
      </c>
      <c r="F83" s="992">
        <v>1</v>
      </c>
      <c r="G83" s="990">
        <v>948.77</v>
      </c>
      <c r="H83" s="990">
        <v>811.32</v>
      </c>
      <c r="I83" s="1010">
        <f>+E72</f>
        <v>418147.27</v>
      </c>
      <c r="J83" s="990">
        <f t="shared" ref="J83" si="25">+E83*G83/H83</f>
        <v>0</v>
      </c>
      <c r="K83" s="990">
        <v>0</v>
      </c>
      <c r="L83" s="990">
        <f>+$I$76-K82</f>
        <v>418147.27</v>
      </c>
    </row>
    <row r="84" spans="1:12" x14ac:dyDescent="0.25">
      <c r="A84" s="193"/>
      <c r="B84" s="193"/>
      <c r="C84" s="993">
        <f>SUM(C76:C83)</f>
        <v>9105.9246999999996</v>
      </c>
      <c r="D84" s="179"/>
      <c r="E84" s="993">
        <f>SUM(E76:E83)</f>
        <v>45711.741993999996</v>
      </c>
      <c r="G84" s="179"/>
      <c r="H84" s="179"/>
      <c r="I84" s="340"/>
      <c r="J84" s="1300">
        <f>+J82</f>
        <v>0</v>
      </c>
      <c r="K84" s="1300">
        <f>+K81</f>
        <v>53456.009283201915</v>
      </c>
      <c r="L84" s="1300">
        <f>+L81</f>
        <v>364691.26071679813</v>
      </c>
    </row>
    <row r="85" spans="1:12" x14ac:dyDescent="0.25">
      <c r="A85"/>
      <c r="B85" s="502"/>
      <c r="C85" s="502"/>
      <c r="D85" s="502"/>
      <c r="E85" s="193"/>
      <c r="F85" s="504"/>
      <c r="G85"/>
      <c r="H85"/>
      <c r="I85"/>
      <c r="J85"/>
      <c r="K85"/>
    </row>
    <row r="86" spans="1:12" ht="14.4" x14ac:dyDescent="0.3">
      <c r="A86" s="985" t="s">
        <v>1411</v>
      </c>
      <c r="B86"/>
      <c r="C86"/>
      <c r="D86" s="986" t="s">
        <v>40</v>
      </c>
      <c r="E86" s="987">
        <v>2402564.4500000002</v>
      </c>
      <c r="F86"/>
      <c r="G86"/>
      <c r="H86"/>
      <c r="I86"/>
      <c r="J86"/>
      <c r="K86"/>
    </row>
    <row r="87" spans="1:12" ht="14.4" x14ac:dyDescent="0.3">
      <c r="A87" s="2336" t="s">
        <v>1167</v>
      </c>
      <c r="B87" s="2337"/>
      <c r="C87" s="994">
        <v>1</v>
      </c>
      <c r="D87" s="994">
        <v>2</v>
      </c>
      <c r="E87" s="995" t="s">
        <v>1168</v>
      </c>
      <c r="F87" s="996">
        <v>4</v>
      </c>
      <c r="G87" s="994">
        <v>5</v>
      </c>
      <c r="H87" s="994">
        <v>6</v>
      </c>
      <c r="I87" s="994">
        <v>7</v>
      </c>
      <c r="J87" s="994">
        <v>8</v>
      </c>
      <c r="K87" s="994">
        <v>9</v>
      </c>
      <c r="L87" s="997" t="s">
        <v>1192</v>
      </c>
    </row>
    <row r="88" spans="1:12" ht="14.4" x14ac:dyDescent="0.3">
      <c r="A88" s="998" t="s">
        <v>1169</v>
      </c>
      <c r="B88" s="998" t="s">
        <v>3</v>
      </c>
      <c r="C88" s="999" t="s">
        <v>1170</v>
      </c>
      <c r="D88" s="998" t="s">
        <v>1171</v>
      </c>
      <c r="E88" s="1000" t="s">
        <v>1172</v>
      </c>
      <c r="F88" s="2338" t="s">
        <v>241</v>
      </c>
      <c r="G88" s="1001" t="s">
        <v>1173</v>
      </c>
      <c r="H88" s="1000" t="s">
        <v>1174</v>
      </c>
      <c r="I88" s="1002" t="s">
        <v>1188</v>
      </c>
      <c r="J88" s="1000" t="s">
        <v>1175</v>
      </c>
      <c r="K88" s="1001" t="s">
        <v>1175</v>
      </c>
      <c r="L88" s="1001" t="s">
        <v>1177</v>
      </c>
    </row>
    <row r="89" spans="1:12" ht="14.4" x14ac:dyDescent="0.3">
      <c r="A89" s="1001"/>
      <c r="B89" s="1001"/>
      <c r="C89" s="999" t="s">
        <v>1422</v>
      </c>
      <c r="D89" s="1001"/>
      <c r="E89" s="1000"/>
      <c r="F89" s="2339"/>
      <c r="G89" s="1001"/>
      <c r="H89" s="1000"/>
      <c r="I89" s="1002" t="s">
        <v>1178</v>
      </c>
      <c r="J89" s="1000"/>
      <c r="K89" s="1001" t="s">
        <v>1189</v>
      </c>
      <c r="L89" s="1001" t="s">
        <v>1179</v>
      </c>
    </row>
    <row r="90" spans="1:12" x14ac:dyDescent="0.25">
      <c r="A90" s="988" t="str">
        <f>+A76</f>
        <v>VAL Nº 02</v>
      </c>
      <c r="B90" s="989">
        <f>+B76</f>
        <v>44712</v>
      </c>
      <c r="C90" s="990">
        <v>4.5153999999999996</v>
      </c>
      <c r="D90" s="990">
        <v>6332.41</v>
      </c>
      <c r="E90" s="991">
        <f>+D90*C90</f>
        <v>28593.364113999996</v>
      </c>
      <c r="F90" s="992">
        <v>1</v>
      </c>
      <c r="G90" s="990">
        <v>908.09</v>
      </c>
      <c r="H90" s="990">
        <v>811.32</v>
      </c>
      <c r="I90" s="1010">
        <f>+E86</f>
        <v>2402564.4500000002</v>
      </c>
      <c r="J90" s="990">
        <f>+E90*G90/H90</f>
        <v>32003.830816795169</v>
      </c>
      <c r="K90" s="990">
        <f>+J90</f>
        <v>32003.830816795169</v>
      </c>
      <c r="L90" s="990">
        <f t="shared" ref="L90:L94" si="26">+$I$90-K90</f>
        <v>2370560.6191832051</v>
      </c>
    </row>
    <row r="91" spans="1:12" x14ac:dyDescent="0.25">
      <c r="A91" s="988" t="str">
        <f t="shared" ref="A91:A97" si="27">+A77</f>
        <v>VAL Nº 03</v>
      </c>
      <c r="B91" s="989">
        <f t="shared" ref="B91:B97" si="28">+B77</f>
        <v>44742</v>
      </c>
      <c r="C91" s="990">
        <v>10.090205193629901</v>
      </c>
      <c r="D91" s="990">
        <v>6332.41</v>
      </c>
      <c r="E91" s="991">
        <f t="shared" ref="E91" si="29">+D91*C91</f>
        <v>63895.316270193915</v>
      </c>
      <c r="F91" s="992">
        <v>1</v>
      </c>
      <c r="G91" s="990">
        <v>948.77</v>
      </c>
      <c r="H91" s="990">
        <v>811.32</v>
      </c>
      <c r="I91" s="1010">
        <f>+E86</f>
        <v>2402564.4500000002</v>
      </c>
      <c r="J91" s="990">
        <f>+E91*G91/H91-0.78</f>
        <v>74719.378775417688</v>
      </c>
      <c r="K91" s="990">
        <f>+K90+J91+0.01</f>
        <v>106723.21959221286</v>
      </c>
      <c r="L91" s="990">
        <f t="shared" si="26"/>
        <v>2295841.2304077875</v>
      </c>
    </row>
    <row r="92" spans="1:12" x14ac:dyDescent="0.25">
      <c r="A92" s="988" t="str">
        <f t="shared" si="27"/>
        <v>VAL Nº 04</v>
      </c>
      <c r="B92" s="989">
        <f t="shared" si="28"/>
        <v>44773</v>
      </c>
      <c r="C92" s="990">
        <v>46.940900999999997</v>
      </c>
      <c r="D92" s="990">
        <v>6332.41</v>
      </c>
      <c r="E92" s="991">
        <f t="shared" ref="E92" si="30">+D92*C92</f>
        <v>297249.03090140998</v>
      </c>
      <c r="F92" s="992">
        <v>1</v>
      </c>
      <c r="G92" s="990">
        <v>946.24</v>
      </c>
      <c r="H92" s="990">
        <v>811.32</v>
      </c>
      <c r="I92" s="1010">
        <f>+E86</f>
        <v>2402564.4500000002</v>
      </c>
      <c r="J92" s="990">
        <f t="shared" ref="J92:J97" si="31">+E92*G92/H92</f>
        <v>346680.62293564831</v>
      </c>
      <c r="K92" s="990">
        <f>+K91+J92-0.01</f>
        <v>453403.83252786117</v>
      </c>
      <c r="L92" s="990">
        <f t="shared" si="26"/>
        <v>1949160.617472139</v>
      </c>
    </row>
    <row r="93" spans="1:12" x14ac:dyDescent="0.25">
      <c r="A93" s="988" t="str">
        <f t="shared" si="27"/>
        <v>VAL Nº 05</v>
      </c>
      <c r="B93" s="989">
        <f t="shared" si="28"/>
        <v>44804</v>
      </c>
      <c r="C93" s="990">
        <v>111.1409</v>
      </c>
      <c r="D93" s="990">
        <v>6332.41</v>
      </c>
      <c r="E93" s="991">
        <f t="shared" ref="E93" si="32">+D93*C93</f>
        <v>703789.74656899995</v>
      </c>
      <c r="F93" s="992">
        <v>1</v>
      </c>
      <c r="G93" s="990">
        <v>985.34</v>
      </c>
      <c r="H93" s="990">
        <v>811.32</v>
      </c>
      <c r="I93" s="1010">
        <f>+E86</f>
        <v>2402564.4500000002</v>
      </c>
      <c r="J93" s="990">
        <f t="shared" si="31"/>
        <v>854745.58606258733</v>
      </c>
      <c r="K93" s="990">
        <f>+K92+J93</f>
        <v>1308149.4185904486</v>
      </c>
      <c r="L93" s="990">
        <f t="shared" si="26"/>
        <v>1094415.0314095516</v>
      </c>
    </row>
    <row r="94" spans="1:12" x14ac:dyDescent="0.25">
      <c r="A94" s="988" t="str">
        <f t="shared" si="27"/>
        <v>VAL Nº 06</v>
      </c>
      <c r="B94" s="989">
        <f t="shared" si="28"/>
        <v>44834</v>
      </c>
      <c r="C94" s="990">
        <v>120.0968</v>
      </c>
      <c r="D94" s="990">
        <v>6332.41</v>
      </c>
      <c r="E94" s="991">
        <f>+D94*C94</f>
        <v>760502.17728800001</v>
      </c>
      <c r="F94" s="992">
        <v>1</v>
      </c>
      <c r="G94" s="990">
        <v>898.31</v>
      </c>
      <c r="H94" s="990">
        <v>811.32</v>
      </c>
      <c r="I94" s="1010">
        <f>+E86</f>
        <v>2402564.4500000002</v>
      </c>
      <c r="J94" s="990">
        <f t="shared" si="31"/>
        <v>842043.47345015919</v>
      </c>
      <c r="K94" s="990">
        <f>+K93+J94</f>
        <v>2150192.8920406075</v>
      </c>
      <c r="L94" s="990">
        <f t="shared" si="26"/>
        <v>252371.55795939267</v>
      </c>
    </row>
    <row r="95" spans="1:12" x14ac:dyDescent="0.25">
      <c r="A95" s="988" t="str">
        <f t="shared" si="27"/>
        <v>VAL Nº 07</v>
      </c>
      <c r="B95" s="989">
        <f t="shared" si="28"/>
        <v>44864</v>
      </c>
      <c r="C95" s="990">
        <v>0</v>
      </c>
      <c r="D95" s="990">
        <v>6332.41</v>
      </c>
      <c r="E95" s="991">
        <f>+D95*C95</f>
        <v>0</v>
      </c>
      <c r="F95" s="992">
        <v>1</v>
      </c>
      <c r="G95" s="990">
        <v>948.77</v>
      </c>
      <c r="H95" s="990">
        <v>811.32</v>
      </c>
      <c r="I95" s="1010">
        <f>+E86</f>
        <v>2402564.4500000002</v>
      </c>
      <c r="J95" s="990">
        <f t="shared" si="31"/>
        <v>0</v>
      </c>
      <c r="K95" s="990">
        <f>+K94+J95</f>
        <v>2150192.8920406075</v>
      </c>
      <c r="L95" s="990">
        <f>+$I$90-K95</f>
        <v>252371.55795939267</v>
      </c>
    </row>
    <row r="96" spans="1:12" x14ac:dyDescent="0.25">
      <c r="A96" s="988" t="str">
        <f t="shared" si="27"/>
        <v>VAL Nº 08</v>
      </c>
      <c r="B96" s="989">
        <f t="shared" si="28"/>
        <v>44895</v>
      </c>
      <c r="C96" s="990">
        <v>34.080238000000001</v>
      </c>
      <c r="D96" s="990">
        <v>6332.41</v>
      </c>
      <c r="E96" s="991">
        <f>+D96*C96</f>
        <v>215810.03991358</v>
      </c>
      <c r="F96" s="992">
        <v>1</v>
      </c>
      <c r="G96" s="990">
        <v>948.77</v>
      </c>
      <c r="H96" s="990">
        <v>811.32</v>
      </c>
      <c r="I96" s="1010">
        <f>+E86</f>
        <v>2402564.4500000002</v>
      </c>
      <c r="J96" s="990">
        <f t="shared" si="31"/>
        <v>252371.55693044333</v>
      </c>
      <c r="K96" s="990">
        <f>+K95+J96</f>
        <v>2402564.4489710508</v>
      </c>
      <c r="L96" s="990">
        <f>+$I$90-K96</f>
        <v>1.0289493948221207E-3</v>
      </c>
    </row>
    <row r="97" spans="1:12" x14ac:dyDescent="0.25">
      <c r="A97" s="988" t="str">
        <f t="shared" si="27"/>
        <v>VAL Nº 09</v>
      </c>
      <c r="B97" s="989">
        <f t="shared" si="28"/>
        <v>44925</v>
      </c>
      <c r="C97" s="990">
        <v>0</v>
      </c>
      <c r="D97" s="990">
        <v>6332.41</v>
      </c>
      <c r="E97" s="991">
        <f>+D97*C97</f>
        <v>0</v>
      </c>
      <c r="F97" s="992">
        <v>1</v>
      </c>
      <c r="G97" s="990">
        <v>948.77</v>
      </c>
      <c r="H97" s="990">
        <v>811.32</v>
      </c>
      <c r="I97" s="1010" t="str">
        <f>+E87</f>
        <v>3=1X2</v>
      </c>
      <c r="J97" s="990">
        <f t="shared" si="31"/>
        <v>0</v>
      </c>
      <c r="K97" s="990">
        <f>+K96+J97</f>
        <v>2402564.4489710508</v>
      </c>
      <c r="L97" s="990">
        <f>+$I$90-K97</f>
        <v>1.0289493948221207E-3</v>
      </c>
    </row>
    <row r="98" spans="1:12" x14ac:dyDescent="0.25">
      <c r="A98" s="193"/>
      <c r="B98" s="193"/>
      <c r="C98" s="993">
        <f>SUM(C90:C96)</f>
        <v>326.86444419362988</v>
      </c>
      <c r="D98" s="179"/>
      <c r="E98" s="993">
        <f>SUM(E90:E97)</f>
        <v>2069839.6750561839</v>
      </c>
      <c r="G98" s="179"/>
      <c r="H98" s="179"/>
      <c r="I98" s="340"/>
      <c r="J98" s="1300">
        <f>SUM(J90:J97)</f>
        <v>2402564.4489710508</v>
      </c>
      <c r="K98" s="1300">
        <f>+K96</f>
        <v>2402564.4489710508</v>
      </c>
      <c r="L98" s="1300">
        <f>+L96</f>
        <v>1.0289493948221207E-3</v>
      </c>
    </row>
    <row r="99" spans="1:12" x14ac:dyDescent="0.25">
      <c r="A99" s="193"/>
      <c r="B99" s="193"/>
      <c r="C99" s="179"/>
      <c r="D99" s="179"/>
      <c r="E99" s="179"/>
      <c r="G99" s="179"/>
      <c r="H99" s="179"/>
      <c r="I99" s="340"/>
      <c r="J99" s="179"/>
      <c r="K99" s="179"/>
      <c r="L99" s="179"/>
    </row>
    <row r="100" spans="1:12" ht="14.4" x14ac:dyDescent="0.3">
      <c r="A100" s="985" t="s">
        <v>1419</v>
      </c>
      <c r="B100"/>
      <c r="C100"/>
      <c r="D100" s="986" t="s">
        <v>40</v>
      </c>
      <c r="E100" s="987">
        <v>68345.05</v>
      </c>
      <c r="F100"/>
      <c r="G100"/>
      <c r="H100"/>
      <c r="I100"/>
      <c r="J100"/>
      <c r="K100"/>
    </row>
    <row r="101" spans="1:12" ht="14.4" x14ac:dyDescent="0.3">
      <c r="A101" s="2336" t="s">
        <v>1167</v>
      </c>
      <c r="B101" s="2337"/>
      <c r="C101" s="994">
        <v>1</v>
      </c>
      <c r="D101" s="994">
        <v>2</v>
      </c>
      <c r="E101" s="995" t="s">
        <v>1168</v>
      </c>
      <c r="F101" s="996">
        <v>4</v>
      </c>
      <c r="G101" s="994">
        <v>5</v>
      </c>
      <c r="H101" s="994">
        <v>6</v>
      </c>
      <c r="I101" s="994">
        <v>7</v>
      </c>
      <c r="J101" s="994">
        <v>8</v>
      </c>
      <c r="K101" s="994">
        <v>9</v>
      </c>
      <c r="L101" s="997" t="s">
        <v>1192</v>
      </c>
    </row>
    <row r="102" spans="1:12" ht="14.4" x14ac:dyDescent="0.3">
      <c r="A102" s="998" t="s">
        <v>1169</v>
      </c>
      <c r="B102" s="998" t="s">
        <v>3</v>
      </c>
      <c r="C102" s="999" t="s">
        <v>1170</v>
      </c>
      <c r="D102" s="998" t="s">
        <v>1171</v>
      </c>
      <c r="E102" s="1000" t="s">
        <v>1172</v>
      </c>
      <c r="F102" s="2338" t="s">
        <v>241</v>
      </c>
      <c r="G102" s="1001" t="s">
        <v>1173</v>
      </c>
      <c r="H102" s="1000" t="s">
        <v>1174</v>
      </c>
      <c r="I102" s="1002" t="s">
        <v>1188</v>
      </c>
      <c r="J102" s="1000" t="s">
        <v>1175</v>
      </c>
      <c r="K102" s="1001" t="s">
        <v>1175</v>
      </c>
      <c r="L102" s="1001" t="s">
        <v>1177</v>
      </c>
    </row>
    <row r="103" spans="1:12" ht="14.4" x14ac:dyDescent="0.3">
      <c r="A103" s="1001"/>
      <c r="B103" s="1001"/>
      <c r="C103" s="999" t="s">
        <v>1423</v>
      </c>
      <c r="D103" s="1001"/>
      <c r="E103" s="1000"/>
      <c r="F103" s="2339"/>
      <c r="G103" s="1001"/>
      <c r="H103" s="1000"/>
      <c r="I103" s="1002" t="s">
        <v>1178</v>
      </c>
      <c r="J103" s="1000"/>
      <c r="K103" s="1001" t="s">
        <v>1189</v>
      </c>
      <c r="L103" s="1001" t="s">
        <v>1179</v>
      </c>
    </row>
    <row r="104" spans="1:12" x14ac:dyDescent="0.25">
      <c r="A104" s="988" t="str">
        <f t="shared" ref="A104:B108" si="33">+A76</f>
        <v>VAL Nº 02</v>
      </c>
      <c r="B104" s="989">
        <f t="shared" si="33"/>
        <v>44712</v>
      </c>
      <c r="C104" s="990">
        <v>0</v>
      </c>
      <c r="D104" s="990">
        <v>350</v>
      </c>
      <c r="E104" s="991">
        <f t="shared" ref="E104" si="34">+D104*C104</f>
        <v>0</v>
      </c>
      <c r="F104" s="992">
        <v>1</v>
      </c>
      <c r="G104" s="990">
        <v>948.77</v>
      </c>
      <c r="H104" s="990">
        <v>811.32</v>
      </c>
      <c r="I104" s="1010">
        <f>+E100</f>
        <v>68345.05</v>
      </c>
      <c r="J104" s="990">
        <f t="shared" ref="J104" si="35">+E104*G104/H104</f>
        <v>0</v>
      </c>
      <c r="K104" s="990">
        <f>+J104</f>
        <v>0</v>
      </c>
      <c r="L104" s="990">
        <f t="shared" ref="L104" si="36">+$I$104-K104</f>
        <v>68345.05</v>
      </c>
    </row>
    <row r="105" spans="1:12" x14ac:dyDescent="0.25">
      <c r="A105" s="988" t="str">
        <f t="shared" si="33"/>
        <v>VAL Nº 03</v>
      </c>
      <c r="B105" s="989">
        <f t="shared" si="33"/>
        <v>44742</v>
      </c>
      <c r="C105" s="990">
        <v>0</v>
      </c>
      <c r="D105" s="990">
        <v>350</v>
      </c>
      <c r="E105" s="991">
        <f t="shared" ref="E105" si="37">+D105*C105</f>
        <v>0</v>
      </c>
      <c r="F105" s="992">
        <v>1</v>
      </c>
      <c r="G105" s="990">
        <v>948.77</v>
      </c>
      <c r="H105" s="990">
        <v>811.32</v>
      </c>
      <c r="I105" s="1010">
        <f>+E100</f>
        <v>68345.05</v>
      </c>
      <c r="J105" s="990">
        <f t="shared" ref="J105" si="38">+E105*G105/H105</f>
        <v>0</v>
      </c>
      <c r="K105" s="990">
        <f t="shared" ref="K105:K111" si="39">+K104+J105</f>
        <v>0</v>
      </c>
      <c r="L105" s="990">
        <f t="shared" ref="L105" si="40">+$I$104-K105</f>
        <v>68345.05</v>
      </c>
    </row>
    <row r="106" spans="1:12" x14ac:dyDescent="0.25">
      <c r="A106" s="988" t="str">
        <f t="shared" si="33"/>
        <v>VAL Nº 04</v>
      </c>
      <c r="B106" s="989">
        <f t="shared" si="33"/>
        <v>44773</v>
      </c>
      <c r="C106" s="990">
        <v>0</v>
      </c>
      <c r="D106" s="990">
        <v>350</v>
      </c>
      <c r="E106" s="991">
        <f t="shared" ref="E106" si="41">+D106*C106</f>
        <v>0</v>
      </c>
      <c r="F106" s="992">
        <v>1</v>
      </c>
      <c r="G106" s="990">
        <v>948.77</v>
      </c>
      <c r="H106" s="990">
        <v>811.32</v>
      </c>
      <c r="I106" s="1010">
        <f>+E100</f>
        <v>68345.05</v>
      </c>
      <c r="J106" s="990">
        <f t="shared" ref="J106" si="42">+E106*G106/H106</f>
        <v>0</v>
      </c>
      <c r="K106" s="990">
        <f t="shared" si="39"/>
        <v>0</v>
      </c>
      <c r="L106" s="990">
        <f t="shared" ref="L106" si="43">+$I$104-K106</f>
        <v>68345.05</v>
      </c>
    </row>
    <row r="107" spans="1:12" x14ac:dyDescent="0.25">
      <c r="A107" s="988" t="str">
        <f t="shared" si="33"/>
        <v>VAL Nº 05</v>
      </c>
      <c r="B107" s="989">
        <f t="shared" si="33"/>
        <v>44804</v>
      </c>
      <c r="C107" s="990">
        <v>0</v>
      </c>
      <c r="D107" s="990">
        <v>350</v>
      </c>
      <c r="E107" s="991">
        <f t="shared" ref="E107" si="44">+D107*C107</f>
        <v>0</v>
      </c>
      <c r="F107" s="992">
        <v>1</v>
      </c>
      <c r="G107" s="990">
        <v>948.77</v>
      </c>
      <c r="H107" s="990">
        <v>811.32</v>
      </c>
      <c r="I107" s="1010">
        <f>E100</f>
        <v>68345.05</v>
      </c>
      <c r="J107" s="990">
        <f t="shared" ref="J107" si="45">+E107*G107/H107</f>
        <v>0</v>
      </c>
      <c r="K107" s="990">
        <f t="shared" si="39"/>
        <v>0</v>
      </c>
      <c r="L107" s="990">
        <f>+$I$104-K107</f>
        <v>68345.05</v>
      </c>
    </row>
    <row r="108" spans="1:12" x14ac:dyDescent="0.25">
      <c r="A108" s="988" t="str">
        <f t="shared" si="33"/>
        <v>VAL Nº 06</v>
      </c>
      <c r="B108" s="989">
        <f t="shared" si="33"/>
        <v>44834</v>
      </c>
      <c r="C108" s="990">
        <v>0</v>
      </c>
      <c r="D108" s="990">
        <v>350</v>
      </c>
      <c r="E108" s="991">
        <f t="shared" ref="E108" si="46">+D108*C108</f>
        <v>0</v>
      </c>
      <c r="F108" s="992">
        <v>1</v>
      </c>
      <c r="G108" s="990">
        <v>948.77</v>
      </c>
      <c r="H108" s="990">
        <v>811.32</v>
      </c>
      <c r="I108" s="1010">
        <f>E100</f>
        <v>68345.05</v>
      </c>
      <c r="J108" s="990">
        <f t="shared" ref="J108" si="47">+E108*G108/H108</f>
        <v>0</v>
      </c>
      <c r="K108" s="990">
        <f t="shared" si="39"/>
        <v>0</v>
      </c>
      <c r="L108" s="990">
        <f>+$I$108-K108</f>
        <v>68345.05</v>
      </c>
    </row>
    <row r="109" spans="1:12" x14ac:dyDescent="0.25">
      <c r="A109" s="988" t="str">
        <f>+A81</f>
        <v>VAL Nº 07</v>
      </c>
      <c r="B109" s="989">
        <f>+B95</f>
        <v>44864</v>
      </c>
      <c r="C109" s="990">
        <v>0</v>
      </c>
      <c r="D109" s="990">
        <v>350</v>
      </c>
      <c r="E109" s="991">
        <f>+D109*C109</f>
        <v>0</v>
      </c>
      <c r="F109" s="992">
        <v>1</v>
      </c>
      <c r="G109" s="990">
        <v>948.77</v>
      </c>
      <c r="H109" s="990">
        <v>811.32</v>
      </c>
      <c r="I109" s="1010">
        <f>+E100</f>
        <v>68345.05</v>
      </c>
      <c r="J109" s="990">
        <f>+E109*G109/H109</f>
        <v>0</v>
      </c>
      <c r="K109" s="990">
        <f t="shared" si="39"/>
        <v>0</v>
      </c>
      <c r="L109" s="990">
        <f>+$I$109-K109</f>
        <v>68345.05</v>
      </c>
    </row>
    <row r="110" spans="1:12" x14ac:dyDescent="0.25">
      <c r="A110" s="988" t="str">
        <f>+A82</f>
        <v>VAL Nº 08</v>
      </c>
      <c r="B110" s="989">
        <f>+B96</f>
        <v>44895</v>
      </c>
      <c r="C110" s="990">
        <v>0</v>
      </c>
      <c r="D110" s="990">
        <v>350</v>
      </c>
      <c r="E110" s="991">
        <f>+D110*C110</f>
        <v>0</v>
      </c>
      <c r="F110" s="992">
        <v>1</v>
      </c>
      <c r="G110" s="990">
        <v>948.77</v>
      </c>
      <c r="H110" s="990">
        <v>811.32</v>
      </c>
      <c r="I110" s="1010">
        <f>+E100</f>
        <v>68345.05</v>
      </c>
      <c r="J110" s="990">
        <f>+E110*G110/H110</f>
        <v>0</v>
      </c>
      <c r="K110" s="990">
        <f t="shared" si="39"/>
        <v>0</v>
      </c>
      <c r="L110" s="990">
        <f>+$I$109-K110</f>
        <v>68345.05</v>
      </c>
    </row>
    <row r="111" spans="1:12" x14ac:dyDescent="0.25">
      <c r="A111" s="988" t="str">
        <f>+A83</f>
        <v>VAL Nº 09</v>
      </c>
      <c r="B111" s="989">
        <f>+B97</f>
        <v>44925</v>
      </c>
      <c r="C111" s="990">
        <v>0</v>
      </c>
      <c r="D111" s="990">
        <v>350</v>
      </c>
      <c r="E111" s="991">
        <f>+D111*C111</f>
        <v>0</v>
      </c>
      <c r="F111" s="992">
        <v>1</v>
      </c>
      <c r="G111" s="990">
        <v>948.77</v>
      </c>
      <c r="H111" s="990">
        <v>811.32</v>
      </c>
      <c r="I111" s="1010">
        <f>+E100</f>
        <v>68345.05</v>
      </c>
      <c r="J111" s="990">
        <f>+E111*G111/H111</f>
        <v>0</v>
      </c>
      <c r="K111" s="990">
        <f t="shared" si="39"/>
        <v>0</v>
      </c>
      <c r="L111" s="990">
        <f>+$I$109-K111</f>
        <v>68345.05</v>
      </c>
    </row>
    <row r="112" spans="1:12" x14ac:dyDescent="0.25">
      <c r="A112" s="193"/>
      <c r="B112" s="193"/>
      <c r="C112" s="993">
        <f>SUM(C104:C110)</f>
        <v>0</v>
      </c>
      <c r="D112" s="179"/>
      <c r="E112" s="993">
        <f>SUM(E104:E110)</f>
        <v>0</v>
      </c>
      <c r="G112" s="179"/>
      <c r="H112" s="179"/>
      <c r="I112" s="340"/>
      <c r="J112" s="1300">
        <f>+J106</f>
        <v>0</v>
      </c>
      <c r="K112" s="1300">
        <f>+K106</f>
        <v>0</v>
      </c>
      <c r="L112" s="1300">
        <f>+L106</f>
        <v>68345.05</v>
      </c>
    </row>
    <row r="113" spans="1:12" x14ac:dyDescent="0.25">
      <c r="A113"/>
      <c r="B113"/>
      <c r="C113"/>
      <c r="D113"/>
      <c r="E113"/>
      <c r="G113"/>
      <c r="H113"/>
      <c r="I113"/>
      <c r="J113"/>
      <c r="K113"/>
      <c r="L113"/>
    </row>
    <row r="114" spans="1:12" ht="14.4" x14ac:dyDescent="0.3">
      <c r="A114" s="985" t="s">
        <v>1418</v>
      </c>
      <c r="B114"/>
      <c r="C114"/>
      <c r="D114" s="986" t="s">
        <v>40</v>
      </c>
      <c r="E114" s="987">
        <v>21696.84</v>
      </c>
      <c r="G114"/>
      <c r="H114"/>
      <c r="I114"/>
      <c r="J114"/>
      <c r="K114"/>
      <c r="L114"/>
    </row>
    <row r="115" spans="1:12" ht="14.4" x14ac:dyDescent="0.3">
      <c r="A115" s="2336" t="s">
        <v>1167</v>
      </c>
      <c r="B115" s="2337"/>
      <c r="C115" s="994">
        <v>1</v>
      </c>
      <c r="D115" s="994">
        <v>2</v>
      </c>
      <c r="E115" s="994" t="s">
        <v>1168</v>
      </c>
      <c r="F115" s="996">
        <v>4</v>
      </c>
      <c r="G115" s="994">
        <v>5</v>
      </c>
      <c r="H115" s="994">
        <v>6</v>
      </c>
      <c r="I115" s="994">
        <v>7</v>
      </c>
      <c r="J115" s="994">
        <v>8</v>
      </c>
      <c r="K115" s="994">
        <v>9</v>
      </c>
      <c r="L115" s="997" t="s">
        <v>1192</v>
      </c>
    </row>
    <row r="116" spans="1:12" ht="14.4" x14ac:dyDescent="0.3">
      <c r="A116" s="998" t="s">
        <v>1169</v>
      </c>
      <c r="B116" s="998" t="s">
        <v>3</v>
      </c>
      <c r="C116" s="999" t="s">
        <v>1181</v>
      </c>
      <c r="D116" s="998" t="s">
        <v>1171</v>
      </c>
      <c r="E116" s="1000" t="s">
        <v>1172</v>
      </c>
      <c r="F116" s="2338" t="s">
        <v>241</v>
      </c>
      <c r="G116" s="1001" t="s">
        <v>1173</v>
      </c>
      <c r="H116" s="1000" t="s">
        <v>1174</v>
      </c>
      <c r="I116" s="1002" t="s">
        <v>1176</v>
      </c>
      <c r="J116" s="1000" t="s">
        <v>1175</v>
      </c>
      <c r="K116" s="1001" t="s">
        <v>1190</v>
      </c>
      <c r="L116" s="1001" t="s">
        <v>1177</v>
      </c>
    </row>
    <row r="117" spans="1:12" ht="14.4" x14ac:dyDescent="0.3">
      <c r="A117" s="1001"/>
      <c r="B117" s="1001"/>
      <c r="C117" s="999" t="s">
        <v>1423</v>
      </c>
      <c r="D117" s="1001"/>
      <c r="E117" s="1000"/>
      <c r="F117" s="2339"/>
      <c r="G117" s="1001"/>
      <c r="H117" s="1000"/>
      <c r="I117" s="1002" t="s">
        <v>1178</v>
      </c>
      <c r="J117" s="1000"/>
      <c r="K117" s="1001" t="s">
        <v>1189</v>
      </c>
      <c r="L117" s="1001" t="s">
        <v>1179</v>
      </c>
    </row>
    <row r="118" spans="1:12" x14ac:dyDescent="0.25">
      <c r="A118" s="988" t="str">
        <f t="shared" ref="A118:B125" si="48">+A104</f>
        <v>VAL Nº 02</v>
      </c>
      <c r="B118" s="989">
        <f t="shared" si="48"/>
        <v>44712</v>
      </c>
      <c r="C118" s="990">
        <v>0</v>
      </c>
      <c r="D118" s="990">
        <v>400</v>
      </c>
      <c r="E118" s="990">
        <f t="shared" ref="E118" si="49">+D118*C118</f>
        <v>0</v>
      </c>
      <c r="F118" s="992">
        <v>1</v>
      </c>
      <c r="G118" s="990">
        <v>948.77</v>
      </c>
      <c r="H118" s="990">
        <v>811.32</v>
      </c>
      <c r="I118" s="990">
        <f>+E114</f>
        <v>21696.84</v>
      </c>
      <c r="J118" s="990">
        <f t="shared" ref="J118" si="50">+E118*G118/H118</f>
        <v>0</v>
      </c>
      <c r="K118" s="990">
        <f>+J118</f>
        <v>0</v>
      </c>
      <c r="L118" s="990">
        <f t="shared" ref="L118" si="51">+$I$118-K118</f>
        <v>21696.84</v>
      </c>
    </row>
    <row r="119" spans="1:12" x14ac:dyDescent="0.25">
      <c r="A119" s="988" t="str">
        <f t="shared" si="48"/>
        <v>VAL Nº 03</v>
      </c>
      <c r="B119" s="989">
        <f t="shared" si="48"/>
        <v>44742</v>
      </c>
      <c r="C119" s="990">
        <v>0</v>
      </c>
      <c r="D119" s="990">
        <v>400</v>
      </c>
      <c r="E119" s="990">
        <f t="shared" ref="E119" si="52">+D119*C119</f>
        <v>0</v>
      </c>
      <c r="F119" s="992">
        <v>1</v>
      </c>
      <c r="G119" s="990">
        <v>948.77</v>
      </c>
      <c r="H119" s="990">
        <v>811.32</v>
      </c>
      <c r="I119" s="990">
        <f>+E114</f>
        <v>21696.84</v>
      </c>
      <c r="J119" s="990">
        <f t="shared" ref="J119" si="53">+E119*G119/H119</f>
        <v>0</v>
      </c>
      <c r="K119" s="990">
        <f t="shared" ref="K119:K125" si="54">+K118+J119</f>
        <v>0</v>
      </c>
      <c r="L119" s="990">
        <f t="shared" ref="L119" si="55">+$I$118-K119</f>
        <v>21696.84</v>
      </c>
    </row>
    <row r="120" spans="1:12" x14ac:dyDescent="0.25">
      <c r="A120" s="988" t="str">
        <f t="shared" si="48"/>
        <v>VAL Nº 04</v>
      </c>
      <c r="B120" s="989">
        <f t="shared" si="48"/>
        <v>44773</v>
      </c>
      <c r="C120" s="990">
        <v>0</v>
      </c>
      <c r="D120" s="990">
        <v>400</v>
      </c>
      <c r="E120" s="990">
        <f t="shared" ref="E120" si="56">+D120*C120</f>
        <v>0</v>
      </c>
      <c r="F120" s="992">
        <v>1</v>
      </c>
      <c r="G120" s="990">
        <v>948.77</v>
      </c>
      <c r="H120" s="990">
        <v>811.32</v>
      </c>
      <c r="I120" s="990">
        <f>+E114</f>
        <v>21696.84</v>
      </c>
      <c r="J120" s="990">
        <f t="shared" ref="J120" si="57">+E120*G120/H120</f>
        <v>0</v>
      </c>
      <c r="K120" s="990">
        <f t="shared" si="54"/>
        <v>0</v>
      </c>
      <c r="L120" s="990">
        <f t="shared" ref="L120" si="58">+$I$118-K120</f>
        <v>21696.84</v>
      </c>
    </row>
    <row r="121" spans="1:12" x14ac:dyDescent="0.25">
      <c r="A121" s="988" t="str">
        <f t="shared" si="48"/>
        <v>VAL Nº 05</v>
      </c>
      <c r="B121" s="989">
        <f t="shared" si="48"/>
        <v>44804</v>
      </c>
      <c r="C121" s="990">
        <v>0</v>
      </c>
      <c r="D121" s="990">
        <v>400</v>
      </c>
      <c r="E121" s="990">
        <f t="shared" ref="E121" si="59">+D121*C121</f>
        <v>0</v>
      </c>
      <c r="F121" s="992">
        <v>1</v>
      </c>
      <c r="G121" s="990">
        <v>948.77</v>
      </c>
      <c r="H121" s="990">
        <v>811.32</v>
      </c>
      <c r="I121" s="990">
        <f>+E114</f>
        <v>21696.84</v>
      </c>
      <c r="J121" s="990">
        <f t="shared" ref="J121" si="60">+E121*G121/H121</f>
        <v>0</v>
      </c>
      <c r="K121" s="990">
        <f t="shared" si="54"/>
        <v>0</v>
      </c>
      <c r="L121" s="990">
        <f t="shared" ref="L121" si="61">+$I$118-K121</f>
        <v>21696.84</v>
      </c>
    </row>
    <row r="122" spans="1:12" x14ac:dyDescent="0.25">
      <c r="A122" s="988" t="str">
        <f t="shared" si="48"/>
        <v>VAL Nº 06</v>
      </c>
      <c r="B122" s="989">
        <f t="shared" si="48"/>
        <v>44834</v>
      </c>
      <c r="C122" s="990">
        <v>0</v>
      </c>
      <c r="D122" s="990">
        <v>400</v>
      </c>
      <c r="E122" s="990">
        <f>+D122*C122</f>
        <v>0</v>
      </c>
      <c r="F122" s="992">
        <v>1</v>
      </c>
      <c r="G122" s="990">
        <v>948.77</v>
      </c>
      <c r="H122" s="990">
        <v>811.32</v>
      </c>
      <c r="I122" s="990">
        <f>+E114</f>
        <v>21696.84</v>
      </c>
      <c r="J122" s="990">
        <f>+E122*G122/H122</f>
        <v>0</v>
      </c>
      <c r="K122" s="990">
        <f t="shared" si="54"/>
        <v>0</v>
      </c>
      <c r="L122" s="990">
        <f>+$I$118-K122</f>
        <v>21696.84</v>
      </c>
    </row>
    <row r="123" spans="1:12" x14ac:dyDescent="0.25">
      <c r="A123" s="988" t="str">
        <f t="shared" si="48"/>
        <v>VAL Nº 07</v>
      </c>
      <c r="B123" s="989">
        <f t="shared" si="48"/>
        <v>44864</v>
      </c>
      <c r="C123" s="990">
        <v>0</v>
      </c>
      <c r="D123" s="990">
        <v>400</v>
      </c>
      <c r="E123" s="990">
        <f>+D123*C123</f>
        <v>0</v>
      </c>
      <c r="F123" s="992">
        <v>1</v>
      </c>
      <c r="G123" s="990">
        <v>948.77</v>
      </c>
      <c r="H123" s="990">
        <v>811.32</v>
      </c>
      <c r="I123" s="990">
        <f>+E114</f>
        <v>21696.84</v>
      </c>
      <c r="J123" s="990">
        <f>+E123*G123/H123</f>
        <v>0</v>
      </c>
      <c r="K123" s="990">
        <f t="shared" si="54"/>
        <v>0</v>
      </c>
      <c r="L123" s="990">
        <f>+$I$118-K123</f>
        <v>21696.84</v>
      </c>
    </row>
    <row r="124" spans="1:12" x14ac:dyDescent="0.25">
      <c r="A124" s="988" t="str">
        <f t="shared" si="48"/>
        <v>VAL Nº 08</v>
      </c>
      <c r="B124" s="989">
        <f t="shared" si="48"/>
        <v>44895</v>
      </c>
      <c r="C124" s="990">
        <v>0</v>
      </c>
      <c r="D124" s="990">
        <v>400</v>
      </c>
      <c r="E124" s="990">
        <f>+D124*C124</f>
        <v>0</v>
      </c>
      <c r="F124" s="992">
        <v>1</v>
      </c>
      <c r="G124" s="990">
        <v>948.77</v>
      </c>
      <c r="H124" s="990">
        <v>811.32</v>
      </c>
      <c r="I124" s="990">
        <f>+E114</f>
        <v>21696.84</v>
      </c>
      <c r="J124" s="990">
        <f>+E124*G124/H124</f>
        <v>0</v>
      </c>
      <c r="K124" s="990">
        <f t="shared" si="54"/>
        <v>0</v>
      </c>
      <c r="L124" s="990">
        <f>+$I$118-K124</f>
        <v>21696.84</v>
      </c>
    </row>
    <row r="125" spans="1:12" x14ac:dyDescent="0.25">
      <c r="A125" s="988" t="str">
        <f t="shared" si="48"/>
        <v>VAL Nº 09</v>
      </c>
      <c r="B125" s="989">
        <f t="shared" si="48"/>
        <v>44925</v>
      </c>
      <c r="C125" s="990">
        <v>0</v>
      </c>
      <c r="D125" s="990">
        <v>400</v>
      </c>
      <c r="E125" s="990">
        <f>+D125*C125</f>
        <v>0</v>
      </c>
      <c r="F125" s="992">
        <v>1</v>
      </c>
      <c r="G125" s="990">
        <v>948.77</v>
      </c>
      <c r="H125" s="990">
        <v>811.32</v>
      </c>
      <c r="I125" s="990">
        <f>+E114</f>
        <v>21696.84</v>
      </c>
      <c r="J125" s="990">
        <f>+E125*G125/H125</f>
        <v>0</v>
      </c>
      <c r="K125" s="990">
        <f t="shared" si="54"/>
        <v>0</v>
      </c>
      <c r="L125" s="990">
        <f>+$I$118-K125</f>
        <v>21696.84</v>
      </c>
    </row>
    <row r="126" spans="1:12" x14ac:dyDescent="0.25">
      <c r="A126" s="193"/>
      <c r="B126" s="193"/>
      <c r="C126" s="993">
        <f>SUM(C118:C124)</f>
        <v>0</v>
      </c>
      <c r="D126" s="179"/>
      <c r="E126" s="993">
        <f>SUM(E118:E124)</f>
        <v>0</v>
      </c>
      <c r="G126" s="179"/>
      <c r="H126" s="179"/>
      <c r="I126" s="340"/>
      <c r="J126" s="1300">
        <f>+J120</f>
        <v>0</v>
      </c>
      <c r="K126" s="1300">
        <f t="shared" ref="K126:L126" si="62">+K120</f>
        <v>0</v>
      </c>
      <c r="L126" s="1300">
        <f t="shared" si="62"/>
        <v>21696.84</v>
      </c>
    </row>
    <row r="127" spans="1:12" x14ac:dyDescent="0.25">
      <c r="A127"/>
      <c r="B127"/>
      <c r="C127"/>
      <c r="D127"/>
      <c r="E127"/>
      <c r="G127"/>
      <c r="H127"/>
      <c r="I127"/>
      <c r="J127"/>
      <c r="K127"/>
      <c r="L127"/>
    </row>
    <row r="128" spans="1:12" ht="14.4" x14ac:dyDescent="0.3">
      <c r="A128" s="985" t="s">
        <v>1420</v>
      </c>
      <c r="B128"/>
      <c r="C128"/>
      <c r="D128" s="986" t="s">
        <v>40</v>
      </c>
      <c r="E128" s="987">
        <v>119462</v>
      </c>
      <c r="G128"/>
      <c r="H128"/>
      <c r="I128"/>
      <c r="J128"/>
      <c r="K128"/>
      <c r="L128"/>
    </row>
    <row r="129" spans="1:12" ht="14.4" x14ac:dyDescent="0.3">
      <c r="A129" s="2336" t="s">
        <v>1167</v>
      </c>
      <c r="B129" s="2337"/>
      <c r="C129" s="994">
        <v>1</v>
      </c>
      <c r="D129" s="994">
        <v>2</v>
      </c>
      <c r="E129" s="994" t="s">
        <v>1168</v>
      </c>
      <c r="F129" s="996">
        <v>4</v>
      </c>
      <c r="G129" s="994">
        <v>5</v>
      </c>
      <c r="H129" s="994">
        <v>6</v>
      </c>
      <c r="I129" s="994">
        <v>7</v>
      </c>
      <c r="J129" s="994">
        <v>8</v>
      </c>
      <c r="K129" s="994">
        <v>9</v>
      </c>
      <c r="L129" s="997" t="s">
        <v>1192</v>
      </c>
    </row>
    <row r="130" spans="1:12" ht="14.4" x14ac:dyDescent="0.3">
      <c r="A130" s="998" t="s">
        <v>1169</v>
      </c>
      <c r="B130" s="998" t="s">
        <v>3</v>
      </c>
      <c r="C130" s="999" t="s">
        <v>1181</v>
      </c>
      <c r="D130" s="998" t="s">
        <v>1171</v>
      </c>
      <c r="E130" s="1000" t="s">
        <v>1172</v>
      </c>
      <c r="F130" s="2338" t="s">
        <v>241</v>
      </c>
      <c r="G130" s="1001" t="s">
        <v>1173</v>
      </c>
      <c r="H130" s="1000" t="s">
        <v>1174</v>
      </c>
      <c r="I130" s="1002" t="s">
        <v>1176</v>
      </c>
      <c r="J130" s="1000" t="s">
        <v>1175</v>
      </c>
      <c r="K130" s="1001" t="s">
        <v>1175</v>
      </c>
      <c r="L130" s="1001" t="s">
        <v>1177</v>
      </c>
    </row>
    <row r="131" spans="1:12" ht="14.4" x14ac:dyDescent="0.3">
      <c r="A131" s="1001"/>
      <c r="B131" s="1001"/>
      <c r="C131" s="999" t="s">
        <v>1424</v>
      </c>
      <c r="D131" s="1001"/>
      <c r="E131" s="1000"/>
      <c r="F131" s="2339"/>
      <c r="G131" s="1001"/>
      <c r="H131" s="1000"/>
      <c r="I131" s="1002" t="s">
        <v>1178</v>
      </c>
      <c r="J131" s="1000"/>
      <c r="K131" s="1001" t="s">
        <v>1191</v>
      </c>
      <c r="L131" s="1001" t="s">
        <v>1179</v>
      </c>
    </row>
    <row r="132" spans="1:12" x14ac:dyDescent="0.25">
      <c r="A132" s="988" t="str">
        <f t="shared" ref="A132:B139" si="63">+A118</f>
        <v>VAL Nº 02</v>
      </c>
      <c r="B132" s="989">
        <f t="shared" si="63"/>
        <v>44712</v>
      </c>
      <c r="C132" s="990">
        <v>0</v>
      </c>
      <c r="D132" s="990">
        <v>25.97</v>
      </c>
      <c r="E132" s="990">
        <f t="shared" ref="E132" si="64">+D132*C132</f>
        <v>0</v>
      </c>
      <c r="F132" s="992">
        <v>1</v>
      </c>
      <c r="G132" s="990">
        <v>503.23</v>
      </c>
      <c r="H132" s="990">
        <v>503.23</v>
      </c>
      <c r="I132" s="990">
        <f>+E128</f>
        <v>119462</v>
      </c>
      <c r="J132" s="990">
        <f t="shared" ref="J132" si="65">+E132*G132/H132</f>
        <v>0</v>
      </c>
      <c r="K132" s="990">
        <f>+J132</f>
        <v>0</v>
      </c>
      <c r="L132" s="990">
        <f t="shared" ref="L132" si="66">+$I$132-K132</f>
        <v>119462</v>
      </c>
    </row>
    <row r="133" spans="1:12" x14ac:dyDescent="0.25">
      <c r="A133" s="988" t="str">
        <f t="shared" si="63"/>
        <v>VAL Nº 03</v>
      </c>
      <c r="B133" s="989">
        <f t="shared" si="63"/>
        <v>44742</v>
      </c>
      <c r="C133" s="990">
        <v>0</v>
      </c>
      <c r="D133" s="990">
        <v>25.97</v>
      </c>
      <c r="E133" s="990">
        <f t="shared" ref="E133" si="67">+D133*C133</f>
        <v>0</v>
      </c>
      <c r="F133" s="992">
        <v>1</v>
      </c>
      <c r="G133" s="990">
        <v>503.23</v>
      </c>
      <c r="H133" s="990">
        <v>503.23</v>
      </c>
      <c r="I133" s="990">
        <f>+E128</f>
        <v>119462</v>
      </c>
      <c r="J133" s="990">
        <f t="shared" ref="J133" si="68">+E133*G133/H133</f>
        <v>0</v>
      </c>
      <c r="K133" s="990">
        <f t="shared" ref="K133:K139" si="69">+K132+J133</f>
        <v>0</v>
      </c>
      <c r="L133" s="990">
        <f t="shared" ref="L133" si="70">+$I$132-K133</f>
        <v>119462</v>
      </c>
    </row>
    <row r="134" spans="1:12" x14ac:dyDescent="0.25">
      <c r="A134" s="988" t="str">
        <f t="shared" si="63"/>
        <v>VAL Nº 04</v>
      </c>
      <c r="B134" s="989">
        <f t="shared" si="63"/>
        <v>44773</v>
      </c>
      <c r="C134" s="990">
        <v>0</v>
      </c>
      <c r="D134" s="990">
        <v>25.97</v>
      </c>
      <c r="E134" s="990">
        <f t="shared" ref="E134" si="71">+D134*C134</f>
        <v>0</v>
      </c>
      <c r="F134" s="992">
        <v>1</v>
      </c>
      <c r="G134" s="990">
        <v>503.23</v>
      </c>
      <c r="H134" s="990">
        <v>503.23</v>
      </c>
      <c r="I134" s="990">
        <f>+E128</f>
        <v>119462</v>
      </c>
      <c r="J134" s="990">
        <f t="shared" ref="J134" si="72">+E134*G134/H134</f>
        <v>0</v>
      </c>
      <c r="K134" s="990">
        <f t="shared" si="69"/>
        <v>0</v>
      </c>
      <c r="L134" s="990">
        <f t="shared" ref="L134" si="73">+$I$132-K134</f>
        <v>119462</v>
      </c>
    </row>
    <row r="135" spans="1:12" x14ac:dyDescent="0.25">
      <c r="A135" s="988" t="str">
        <f t="shared" si="63"/>
        <v>VAL Nº 05</v>
      </c>
      <c r="B135" s="989">
        <f t="shared" si="63"/>
        <v>44804</v>
      </c>
      <c r="C135" s="990">
        <v>0</v>
      </c>
      <c r="D135" s="990">
        <v>25.97</v>
      </c>
      <c r="E135" s="990">
        <f t="shared" ref="E135" si="74">+D135*C135</f>
        <v>0</v>
      </c>
      <c r="F135" s="992">
        <v>1</v>
      </c>
      <c r="G135" s="990">
        <v>503.23</v>
      </c>
      <c r="H135" s="990">
        <v>503.23</v>
      </c>
      <c r="I135" s="990">
        <f>+E128</f>
        <v>119462</v>
      </c>
      <c r="J135" s="990">
        <f t="shared" ref="J135" si="75">+E135*G135/H135</f>
        <v>0</v>
      </c>
      <c r="K135" s="990">
        <f t="shared" si="69"/>
        <v>0</v>
      </c>
      <c r="L135" s="990">
        <f t="shared" ref="L135" si="76">+$I$132-K135</f>
        <v>119462</v>
      </c>
    </row>
    <row r="136" spans="1:12" x14ac:dyDescent="0.25">
      <c r="A136" s="988" t="str">
        <f t="shared" si="63"/>
        <v>VAL Nº 06</v>
      </c>
      <c r="B136" s="989">
        <f t="shared" si="63"/>
        <v>44834</v>
      </c>
      <c r="C136" s="990">
        <v>0</v>
      </c>
      <c r="D136" s="990">
        <v>25.97</v>
      </c>
      <c r="E136" s="990">
        <f t="shared" ref="E136" si="77">+D136*C136</f>
        <v>0</v>
      </c>
      <c r="F136" s="992">
        <v>1</v>
      </c>
      <c r="G136" s="990">
        <v>503.23</v>
      </c>
      <c r="H136" s="990">
        <v>503.23</v>
      </c>
      <c r="I136" s="990">
        <f>+E128</f>
        <v>119462</v>
      </c>
      <c r="J136" s="990">
        <f t="shared" ref="J136" si="78">+E136*G136/H136</f>
        <v>0</v>
      </c>
      <c r="K136" s="990">
        <f t="shared" si="69"/>
        <v>0</v>
      </c>
      <c r="L136" s="990">
        <f t="shared" ref="L136" si="79">+$I$132-K136</f>
        <v>119462</v>
      </c>
    </row>
    <row r="137" spans="1:12" x14ac:dyDescent="0.25">
      <c r="A137" s="988" t="str">
        <f t="shared" si="63"/>
        <v>VAL Nº 07</v>
      </c>
      <c r="B137" s="989">
        <f t="shared" si="63"/>
        <v>44864</v>
      </c>
      <c r="C137" s="990">
        <v>0</v>
      </c>
      <c r="D137" s="990">
        <v>25.97</v>
      </c>
      <c r="E137" s="990">
        <f t="shared" ref="E137" si="80">+D137*C137</f>
        <v>0</v>
      </c>
      <c r="F137" s="992">
        <v>1</v>
      </c>
      <c r="G137" s="990">
        <v>503.23</v>
      </c>
      <c r="H137" s="990">
        <v>503.23</v>
      </c>
      <c r="I137" s="990">
        <f>+E128</f>
        <v>119462</v>
      </c>
      <c r="J137" s="990">
        <f t="shared" ref="J137" si="81">+E137*G137/H137</f>
        <v>0</v>
      </c>
      <c r="K137" s="990">
        <f t="shared" si="69"/>
        <v>0</v>
      </c>
      <c r="L137" s="990">
        <f t="shared" ref="L137" si="82">+$I$132-K137</f>
        <v>119462</v>
      </c>
    </row>
    <row r="138" spans="1:12" x14ac:dyDescent="0.25">
      <c r="A138" s="988" t="str">
        <f t="shared" si="63"/>
        <v>VAL Nº 08</v>
      </c>
      <c r="B138" s="989">
        <f t="shared" si="63"/>
        <v>44895</v>
      </c>
      <c r="C138" s="990">
        <v>0</v>
      </c>
      <c r="D138" s="990">
        <v>25.97</v>
      </c>
      <c r="E138" s="990">
        <f t="shared" ref="E138" si="83">+D138*C138</f>
        <v>0</v>
      </c>
      <c r="F138" s="992">
        <v>1</v>
      </c>
      <c r="G138" s="990">
        <v>503.23</v>
      </c>
      <c r="H138" s="990">
        <v>503.23</v>
      </c>
      <c r="I138" s="990">
        <f>+E128</f>
        <v>119462</v>
      </c>
      <c r="J138" s="990">
        <f t="shared" ref="J138" si="84">+E138*G138/H138</f>
        <v>0</v>
      </c>
      <c r="K138" s="990">
        <f t="shared" si="69"/>
        <v>0</v>
      </c>
      <c r="L138" s="990">
        <f t="shared" ref="L138" si="85">+$I$132-K138</f>
        <v>119462</v>
      </c>
    </row>
    <row r="139" spans="1:12" x14ac:dyDescent="0.25">
      <c r="A139" s="988" t="str">
        <f t="shared" si="63"/>
        <v>VAL Nº 09</v>
      </c>
      <c r="B139" s="989">
        <f t="shared" si="63"/>
        <v>44925</v>
      </c>
      <c r="C139" s="990">
        <v>0</v>
      </c>
      <c r="D139" s="990">
        <v>25.97</v>
      </c>
      <c r="E139" s="990">
        <f t="shared" ref="E139" si="86">+D139*C139</f>
        <v>0</v>
      </c>
      <c r="F139" s="992">
        <v>1</v>
      </c>
      <c r="G139" s="990">
        <v>503.23</v>
      </c>
      <c r="H139" s="990">
        <v>503.23</v>
      </c>
      <c r="I139" s="990">
        <f>+E128</f>
        <v>119462</v>
      </c>
      <c r="J139" s="990">
        <f t="shared" ref="J139" si="87">+E139*G139/H139</f>
        <v>0</v>
      </c>
      <c r="K139" s="990">
        <f t="shared" si="69"/>
        <v>0</v>
      </c>
      <c r="L139" s="990">
        <f t="shared" ref="L139" si="88">+$I$132-K139</f>
        <v>119462</v>
      </c>
    </row>
    <row r="140" spans="1:12" x14ac:dyDescent="0.25">
      <c r="A140" s="193"/>
      <c r="B140" s="193"/>
      <c r="C140" s="993">
        <f>SUM(C132:C138)</f>
        <v>0</v>
      </c>
      <c r="D140" s="179"/>
      <c r="E140" s="993">
        <f>SUM(E132:E138)</f>
        <v>0</v>
      </c>
      <c r="G140" s="179"/>
      <c r="H140" s="179"/>
      <c r="I140" s="340"/>
      <c r="J140" s="1410">
        <f>+J134</f>
        <v>0</v>
      </c>
      <c r="K140" s="1300">
        <f t="shared" ref="K140:L140" si="89">+K134</f>
        <v>0</v>
      </c>
      <c r="L140" s="1300">
        <f t="shared" si="89"/>
        <v>119462</v>
      </c>
    </row>
    <row r="141" spans="1:12" ht="19.95" customHeight="1" x14ac:dyDescent="0.3">
      <c r="A141"/>
      <c r="B141"/>
      <c r="C141"/>
      <c r="D141"/>
      <c r="E141"/>
      <c r="G141"/>
      <c r="H141" s="1411" t="s">
        <v>1460</v>
      </c>
      <c r="I141" s="1411"/>
      <c r="J141" s="1412">
        <f>+J143-J142</f>
        <v>2456020.4582542526</v>
      </c>
      <c r="K141"/>
      <c r="L141"/>
    </row>
    <row r="142" spans="1:12" ht="17.25" customHeight="1" x14ac:dyDescent="0.3">
      <c r="A142"/>
      <c r="B142"/>
      <c r="C142" s="1004" t="s">
        <v>1182</v>
      </c>
      <c r="D142" s="1005"/>
      <c r="E142" s="1006">
        <f>+E72+E86+E100+E114+E128</f>
        <v>3030215.61</v>
      </c>
      <c r="G142"/>
      <c r="H142" s="1004" t="s">
        <v>1183</v>
      </c>
      <c r="I142" s="1005"/>
      <c r="J142" s="1006">
        <v>0</v>
      </c>
      <c r="K142"/>
      <c r="L142" s="1007">
        <f>+E142-J143</f>
        <v>574195.15174574731</v>
      </c>
    </row>
    <row r="143" spans="1:12" ht="17.25" customHeight="1" x14ac:dyDescent="0.3">
      <c r="H143" s="1004" t="s">
        <v>1187</v>
      </c>
      <c r="I143" s="1005"/>
      <c r="J143" s="1006">
        <f>+K140+K126+K112+K98+K84</f>
        <v>2456020.4582542526</v>
      </c>
    </row>
    <row r="147" spans="1:9" ht="29.4" customHeight="1" x14ac:dyDescent="0.25">
      <c r="A147" s="1347">
        <v>1</v>
      </c>
      <c r="B147" s="1349" t="s">
        <v>44</v>
      </c>
      <c r="C147" s="1347" t="s">
        <v>1425</v>
      </c>
      <c r="D147" s="1347"/>
      <c r="E147" s="1347" t="s">
        <v>1426</v>
      </c>
      <c r="F147" s="1347" t="s">
        <v>1437</v>
      </c>
      <c r="G147" s="1348" t="s">
        <v>1428</v>
      </c>
      <c r="H147" s="1347" t="s">
        <v>1438</v>
      </c>
      <c r="I147" s="1303" t="s">
        <v>1445</v>
      </c>
    </row>
    <row r="148" spans="1:9" x14ac:dyDescent="0.25">
      <c r="A148" s="1303" t="s">
        <v>1440</v>
      </c>
      <c r="B148" s="1350">
        <v>44713</v>
      </c>
      <c r="C148" s="1301" t="s">
        <v>1431</v>
      </c>
      <c r="D148" s="1301"/>
      <c r="E148" s="1304">
        <v>1108872.71</v>
      </c>
      <c r="F148" s="1304">
        <v>151751.97640000001</v>
      </c>
      <c r="G148" s="1305">
        <v>0</v>
      </c>
      <c r="H148" s="1306">
        <f>+F148*G148/E148</f>
        <v>0</v>
      </c>
      <c r="I148" s="1303">
        <v>8</v>
      </c>
    </row>
    <row r="149" spans="1:9" x14ac:dyDescent="0.25">
      <c r="A149" s="1303" t="s">
        <v>1459</v>
      </c>
      <c r="B149" s="1350">
        <v>44743</v>
      </c>
      <c r="C149" s="1301" t="s">
        <v>1431</v>
      </c>
      <c r="D149" s="1301"/>
      <c r="E149" s="1304">
        <v>1108872.71</v>
      </c>
      <c r="F149" s="1304">
        <v>151751.97640000001</v>
      </c>
      <c r="G149" s="1305">
        <v>0</v>
      </c>
      <c r="H149" s="1306">
        <f>+F149*G149/E149</f>
        <v>0</v>
      </c>
      <c r="I149" s="1303">
        <v>8</v>
      </c>
    </row>
    <row r="150" spans="1:9" x14ac:dyDescent="0.25">
      <c r="B150" s="597"/>
      <c r="C150" s="1345"/>
      <c r="D150" s="591"/>
      <c r="E150" s="1346"/>
      <c r="F150" s="1346"/>
      <c r="G150" s="1302"/>
      <c r="H150" s="597"/>
    </row>
    <row r="151" spans="1:9" x14ac:dyDescent="0.25">
      <c r="B151" s="570"/>
    </row>
    <row r="152" spans="1:9" ht="20.399999999999999" customHeight="1" x14ac:dyDescent="0.25">
      <c r="A152" s="1347">
        <v>2</v>
      </c>
      <c r="B152" s="1349" t="s">
        <v>44</v>
      </c>
      <c r="C152" s="1347" t="s">
        <v>1425</v>
      </c>
      <c r="D152" s="1347"/>
      <c r="E152" s="1347" t="s">
        <v>1426</v>
      </c>
      <c r="F152" s="1347" t="s">
        <v>1427</v>
      </c>
      <c r="G152" s="1348" t="s">
        <v>1428</v>
      </c>
      <c r="H152" s="1347" t="s">
        <v>1429</v>
      </c>
      <c r="I152" s="1303" t="s">
        <v>1445</v>
      </c>
    </row>
    <row r="153" spans="1:9" x14ac:dyDescent="0.25">
      <c r="A153" s="1303" t="s">
        <v>1439</v>
      </c>
      <c r="B153" s="1350">
        <v>44682</v>
      </c>
      <c r="C153" s="1301" t="s">
        <v>1430</v>
      </c>
      <c r="D153" s="1301"/>
      <c r="E153" s="1304">
        <v>5054238.47</v>
      </c>
      <c r="F153" s="1304">
        <v>409.24290000000002</v>
      </c>
      <c r="G153" s="1305">
        <v>55766.75</v>
      </c>
      <c r="H153" s="1306">
        <f>+F153*G153/E153</f>
        <v>4.5154471101904692</v>
      </c>
      <c r="I153" s="1303">
        <v>1</v>
      </c>
    </row>
    <row r="154" spans="1:9" x14ac:dyDescent="0.25">
      <c r="A154" s="1303" t="s">
        <v>1440</v>
      </c>
      <c r="B154" s="1350">
        <v>44713</v>
      </c>
      <c r="C154" s="1301" t="s">
        <v>1430</v>
      </c>
      <c r="D154" s="1301"/>
      <c r="E154" s="1304">
        <v>5054238.47</v>
      </c>
      <c r="F154" s="1304">
        <v>409.24290000000002</v>
      </c>
      <c r="G154" s="1305">
        <v>124616.22</v>
      </c>
      <c r="H154" s="1306">
        <f>+F154*G154/E154</f>
        <v>10.090205193629894</v>
      </c>
      <c r="I154" s="1303">
        <v>1</v>
      </c>
    </row>
    <row r="155" spans="1:9" x14ac:dyDescent="0.25">
      <c r="A155" s="1303" t="s">
        <v>1459</v>
      </c>
      <c r="B155" s="1350">
        <v>44743</v>
      </c>
      <c r="C155" s="1301" t="s">
        <v>1430</v>
      </c>
      <c r="D155" s="1301"/>
      <c r="E155" s="1304">
        <v>5054238.47</v>
      </c>
      <c r="F155" s="1304">
        <v>409.24290000000002</v>
      </c>
      <c r="G155" s="1305">
        <v>579736.35</v>
      </c>
      <c r="H155" s="1306">
        <f>+F155*G155/E155</f>
        <v>46.941391174487855</v>
      </c>
      <c r="I155" s="1303">
        <v>1</v>
      </c>
    </row>
    <row r="156" spans="1:9" x14ac:dyDescent="0.25">
      <c r="A156" s="591"/>
      <c r="B156" s="597"/>
      <c r="C156" s="591"/>
      <c r="D156" s="591"/>
      <c r="E156" s="591"/>
      <c r="F156" s="1302"/>
      <c r="G156" s="591"/>
    </row>
    <row r="157" spans="1:9" x14ac:dyDescent="0.25">
      <c r="A157" s="591"/>
      <c r="B157" s="597"/>
      <c r="C157" s="591"/>
      <c r="D157" s="591"/>
      <c r="E157" s="591"/>
      <c r="F157" s="1302"/>
      <c r="G157" s="591"/>
    </row>
    <row r="158" spans="1:9" ht="29.4" customHeight="1" x14ac:dyDescent="0.25">
      <c r="A158" s="1347">
        <v>3</v>
      </c>
      <c r="B158" s="1349" t="s">
        <v>44</v>
      </c>
      <c r="C158" s="1347" t="s">
        <v>1425</v>
      </c>
      <c r="D158" s="1347"/>
      <c r="E158" s="1347" t="s">
        <v>1426</v>
      </c>
      <c r="F158" s="1347" t="s">
        <v>1441</v>
      </c>
      <c r="G158" s="1348" t="s">
        <v>1428</v>
      </c>
      <c r="H158" s="1347" t="s">
        <v>1442</v>
      </c>
      <c r="I158" s="1303" t="s">
        <v>1445</v>
      </c>
    </row>
    <row r="159" spans="1:9" x14ac:dyDescent="0.25">
      <c r="A159" s="1303" t="s">
        <v>1440</v>
      </c>
      <c r="B159" s="1350">
        <v>44713</v>
      </c>
      <c r="C159" s="2331" t="s">
        <v>1432</v>
      </c>
      <c r="D159" s="2332"/>
      <c r="E159" s="1304">
        <v>151800</v>
      </c>
      <c r="F159" s="1304">
        <v>180.84</v>
      </c>
      <c r="G159" s="1305">
        <v>0</v>
      </c>
      <c r="H159" s="1306">
        <f>+F159*G159/E159</f>
        <v>0</v>
      </c>
      <c r="I159" s="1303">
        <v>1</v>
      </c>
    </row>
    <row r="160" spans="1:9" x14ac:dyDescent="0.25">
      <c r="A160" s="1303" t="s">
        <v>1459</v>
      </c>
      <c r="B160" s="1350">
        <v>44743</v>
      </c>
      <c r="C160" s="2331" t="s">
        <v>1432</v>
      </c>
      <c r="D160" s="2332"/>
      <c r="E160" s="1304">
        <v>151800</v>
      </c>
      <c r="F160" s="1304">
        <v>180.84</v>
      </c>
      <c r="G160" s="1305">
        <v>0</v>
      </c>
      <c r="H160" s="1306">
        <f>+F160*G160/E160</f>
        <v>0</v>
      </c>
      <c r="I160" s="1303">
        <v>1</v>
      </c>
    </row>
    <row r="161" spans="1:9" x14ac:dyDescent="0.25">
      <c r="A161" s="591"/>
      <c r="B161" s="597"/>
      <c r="C161" s="591"/>
      <c r="D161" s="591"/>
      <c r="E161" s="591"/>
      <c r="F161" s="1302"/>
      <c r="G161" s="591"/>
    </row>
    <row r="162" spans="1:9" x14ac:dyDescent="0.25">
      <c r="A162" s="591"/>
      <c r="B162" s="597"/>
      <c r="C162" s="591"/>
      <c r="D162" s="591"/>
      <c r="E162" s="591"/>
      <c r="F162" s="1302"/>
      <c r="G162" s="591"/>
    </row>
    <row r="163" spans="1:9" ht="29.4" customHeight="1" x14ac:dyDescent="0.25">
      <c r="A163" s="1347">
        <v>4</v>
      </c>
      <c r="B163" s="1349" t="s">
        <v>44</v>
      </c>
      <c r="C163" s="1347" t="s">
        <v>1425</v>
      </c>
      <c r="D163" s="1347"/>
      <c r="E163" s="1347" t="s">
        <v>1426</v>
      </c>
      <c r="F163" s="1347" t="s">
        <v>1441</v>
      </c>
      <c r="G163" s="1348" t="s">
        <v>1428</v>
      </c>
      <c r="H163" s="1347" t="s">
        <v>1442</v>
      </c>
      <c r="I163" s="1303" t="s">
        <v>1445</v>
      </c>
    </row>
    <row r="164" spans="1:9" x14ac:dyDescent="0.25">
      <c r="A164" s="1303" t="s">
        <v>1440</v>
      </c>
      <c r="B164" s="1350">
        <v>44713</v>
      </c>
      <c r="C164" s="2331" t="s">
        <v>1433</v>
      </c>
      <c r="D164" s="2332"/>
      <c r="E164" s="1304">
        <v>151800</v>
      </c>
      <c r="F164" s="1304">
        <v>44</v>
      </c>
      <c r="G164" s="1305">
        <v>0</v>
      </c>
      <c r="H164" s="1306">
        <f>+F164*G164/E164</f>
        <v>0</v>
      </c>
      <c r="I164" s="1303">
        <v>1</v>
      </c>
    </row>
    <row r="165" spans="1:9" x14ac:dyDescent="0.25">
      <c r="A165" s="1303" t="s">
        <v>1459</v>
      </c>
      <c r="B165" s="1350">
        <v>44743</v>
      </c>
      <c r="C165" s="2331" t="s">
        <v>1433</v>
      </c>
      <c r="D165" s="2332"/>
      <c r="E165" s="1304">
        <v>151800</v>
      </c>
      <c r="F165" s="1304">
        <v>44</v>
      </c>
      <c r="G165" s="1305">
        <v>0</v>
      </c>
      <c r="H165" s="1306">
        <f>+F165*G165/E165</f>
        <v>0</v>
      </c>
      <c r="I165" s="1303">
        <v>1</v>
      </c>
    </row>
    <row r="166" spans="1:9" x14ac:dyDescent="0.25">
      <c r="B166" s="570"/>
    </row>
    <row r="167" spans="1:9" x14ac:dyDescent="0.25">
      <c r="B167" s="570"/>
    </row>
    <row r="168" spans="1:9" ht="29.4" customHeight="1" x14ac:dyDescent="0.25">
      <c r="A168" s="1347">
        <v>5</v>
      </c>
      <c r="B168" s="1349" t="s">
        <v>44</v>
      </c>
      <c r="C168" s="1347" t="s">
        <v>1425</v>
      </c>
      <c r="D168" s="1347"/>
      <c r="E168" s="1347" t="s">
        <v>1426</v>
      </c>
      <c r="F168" s="1347" t="s">
        <v>1443</v>
      </c>
      <c r="G168" s="1348" t="s">
        <v>1428</v>
      </c>
      <c r="H168" s="1347" t="s">
        <v>1444</v>
      </c>
      <c r="I168" s="1303" t="s">
        <v>1445</v>
      </c>
    </row>
    <row r="169" spans="1:9" x14ac:dyDescent="0.25">
      <c r="A169" s="1303" t="s">
        <v>1440</v>
      </c>
      <c r="B169" s="1350">
        <v>44713</v>
      </c>
      <c r="C169" s="2331" t="s">
        <v>243</v>
      </c>
      <c r="D169" s="2332"/>
      <c r="E169" s="1304">
        <v>912644.29</v>
      </c>
      <c r="F169" s="1304">
        <v>16344.1572</v>
      </c>
      <c r="G169" s="1305">
        <v>0</v>
      </c>
      <c r="H169" s="1306">
        <f>+F169*G169/E169</f>
        <v>0</v>
      </c>
      <c r="I169" s="1303">
        <v>12</v>
      </c>
    </row>
    <row r="170" spans="1:9" x14ac:dyDescent="0.25">
      <c r="A170" s="1303" t="s">
        <v>1459</v>
      </c>
      <c r="B170" s="1350">
        <v>44713</v>
      </c>
      <c r="C170" s="2331" t="s">
        <v>243</v>
      </c>
      <c r="D170" s="2332"/>
      <c r="E170" s="1304">
        <v>912644.29</v>
      </c>
      <c r="F170" s="1304">
        <v>16344.1572</v>
      </c>
      <c r="G170" s="1305">
        <v>0</v>
      </c>
      <c r="H170" s="1306">
        <f>+F170*G170/E170</f>
        <v>0</v>
      </c>
      <c r="I170" s="1303">
        <v>12</v>
      </c>
    </row>
  </sheetData>
  <mergeCells count="30">
    <mergeCell ref="E63:L63"/>
    <mergeCell ref="A73:B73"/>
    <mergeCell ref="F74:F75"/>
    <mergeCell ref="A87:B87"/>
    <mergeCell ref="F88:F89"/>
    <mergeCell ref="E65:F65"/>
    <mergeCell ref="F14:G14"/>
    <mergeCell ref="H14:I14"/>
    <mergeCell ref="A1:E1"/>
    <mergeCell ref="A2:E2"/>
    <mergeCell ref="A3:D3"/>
    <mergeCell ref="A4:M4"/>
    <mergeCell ref="A5:I5"/>
    <mergeCell ref="E7:M8"/>
    <mergeCell ref="C160:D160"/>
    <mergeCell ref="C165:D165"/>
    <mergeCell ref="C170:D170"/>
    <mergeCell ref="A14:C14"/>
    <mergeCell ref="D14:E14"/>
    <mergeCell ref="C159:D159"/>
    <mergeCell ref="C164:D164"/>
    <mergeCell ref="C169:D169"/>
    <mergeCell ref="A60:M60"/>
    <mergeCell ref="A61:I61"/>
    <mergeCell ref="A115:B115"/>
    <mergeCell ref="A129:B129"/>
    <mergeCell ref="F102:F103"/>
    <mergeCell ref="F116:F117"/>
    <mergeCell ref="F130:F131"/>
    <mergeCell ref="A101:B101"/>
  </mergeCells>
  <phoneticPr fontId="110" type="noConversion"/>
  <hyperlinks>
    <hyperlink ref="B6" r:id="rId1" display=" L.P.I.N  °"/>
    <hyperlink ref="B62" r:id="rId2" display=" L.P.I.N  °"/>
  </hyperlinks>
  <printOptions horizontalCentered="1"/>
  <pageMargins left="0.51181102362204722" right="0.31496062992125984" top="0.74803149606299213" bottom="0.74803149606299213" header="0.31496062992125984" footer="0.31496062992125984"/>
  <pageSetup paperSize="9" scale="49" orientation="portrait" r:id="rId3"/>
  <rowBreaks count="1" manualBreakCount="1">
    <brk id="59" max="16383" man="1"/>
  </rowBreaks>
  <legacyDrawing r:id="rId4"/>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IR49"/>
  <sheetViews>
    <sheetView tabSelected="1" view="pageBreakPreview" topLeftCell="A4" zoomScale="75" zoomScaleNormal="100" zoomScaleSheetLayoutView="75" workbookViewId="0">
      <selection activeCell="L38" sqref="L38"/>
    </sheetView>
  </sheetViews>
  <sheetFormatPr baseColWidth="10" defaultColWidth="10.5546875" defaultRowHeight="13.2" x14ac:dyDescent="0.25"/>
  <cols>
    <col min="1" max="1" width="5.6640625" style="2" customWidth="1"/>
    <col min="2" max="2" width="21.5546875" style="2" customWidth="1"/>
    <col min="3" max="3" width="17.33203125" style="2" customWidth="1"/>
    <col min="4" max="4" width="14.88671875" style="2" customWidth="1"/>
    <col min="5" max="5" width="18.88671875" style="2" customWidth="1"/>
    <col min="6" max="6" width="16" style="2" customWidth="1"/>
    <col min="7" max="7" width="13.44140625" style="2" customWidth="1"/>
    <col min="8" max="8" width="15.5546875" style="2" customWidth="1"/>
    <col min="9" max="9" width="9.44140625" style="2" customWidth="1"/>
    <col min="10" max="10" width="16" style="2" customWidth="1"/>
    <col min="11" max="11" width="9.6640625" style="2" customWidth="1"/>
    <col min="12" max="12" width="17.5546875" style="2" customWidth="1"/>
    <col min="13" max="13" width="11" style="2" customWidth="1"/>
    <col min="14" max="14" width="14.88671875" style="2" customWidth="1"/>
    <col min="15" max="15" width="17.44140625" style="2" bestFit="1" customWidth="1"/>
    <col min="16" max="16" width="16.33203125" style="2" customWidth="1"/>
    <col min="17" max="17" width="14" style="2" customWidth="1"/>
    <col min="18" max="18" width="9.6640625" style="2" customWidth="1"/>
    <col min="19" max="19" width="13.33203125" style="2" customWidth="1"/>
    <col min="20" max="20" width="8.33203125" style="2" customWidth="1"/>
    <col min="21" max="21" width="14.44140625" style="2" customWidth="1"/>
    <col min="22" max="22" width="8.6640625" style="2" customWidth="1"/>
    <col min="23" max="23" width="15.5546875" style="2" customWidth="1"/>
    <col min="24" max="16384" width="10.5546875" style="2"/>
  </cols>
  <sheetData>
    <row r="1" spans="1:252" x14ac:dyDescent="0.25">
      <c r="A1" s="2020" t="str">
        <f>CALEND_!B2</f>
        <v>GOBIERNO REGIONAL AYACUCHO</v>
      </c>
      <c r="B1" s="2020"/>
      <c r="C1" s="2020"/>
      <c r="D1" s="2020"/>
      <c r="E1" s="2020"/>
      <c r="F1" s="29"/>
      <c r="G1" s="29"/>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c r="AL1" s="27"/>
      <c r="AM1" s="27"/>
      <c r="AN1" s="27"/>
      <c r="AO1" s="27"/>
      <c r="AP1" s="27"/>
      <c r="AQ1" s="27"/>
      <c r="AR1" s="27"/>
      <c r="AS1" s="27"/>
      <c r="AT1" s="27"/>
      <c r="AU1" s="27"/>
      <c r="AV1" s="27"/>
      <c r="AW1" s="27"/>
      <c r="AX1" s="27"/>
      <c r="AY1" s="27"/>
      <c r="AZ1" s="27"/>
      <c r="BA1" s="27"/>
      <c r="BB1" s="27"/>
      <c r="BC1" s="27"/>
      <c r="BD1" s="27"/>
      <c r="BE1" s="27"/>
      <c r="BF1" s="27"/>
      <c r="BG1" s="27"/>
      <c r="BH1" s="27"/>
      <c r="BI1" s="27"/>
      <c r="BJ1" s="27"/>
      <c r="BK1" s="27"/>
      <c r="BL1" s="27"/>
      <c r="BM1" s="27"/>
      <c r="BN1" s="27"/>
      <c r="BO1" s="27"/>
      <c r="BP1" s="27"/>
      <c r="BQ1" s="27"/>
      <c r="BR1" s="27"/>
      <c r="BS1" s="27"/>
      <c r="BT1" s="27"/>
      <c r="BU1" s="27"/>
      <c r="BV1" s="27"/>
      <c r="BW1" s="27"/>
      <c r="BX1" s="27"/>
      <c r="BY1" s="27"/>
      <c r="BZ1" s="27"/>
      <c r="CA1" s="27"/>
      <c r="CB1" s="27"/>
      <c r="CC1" s="27"/>
      <c r="CD1" s="27"/>
      <c r="CE1" s="27"/>
      <c r="CF1" s="27"/>
      <c r="CG1" s="27"/>
      <c r="CH1" s="27"/>
      <c r="CI1" s="27"/>
      <c r="CJ1" s="27"/>
      <c r="CK1" s="27"/>
      <c r="CL1" s="27"/>
      <c r="CM1" s="27"/>
      <c r="CN1" s="27"/>
      <c r="CO1" s="27"/>
      <c r="CP1" s="27"/>
      <c r="CQ1" s="27"/>
      <c r="CR1" s="27"/>
      <c r="CS1" s="27"/>
      <c r="CT1" s="27"/>
      <c r="CU1" s="27"/>
      <c r="CV1" s="27"/>
      <c r="CW1" s="27"/>
      <c r="CX1" s="27"/>
      <c r="CY1" s="27"/>
      <c r="CZ1" s="27"/>
      <c r="DA1" s="27"/>
      <c r="DB1" s="27"/>
      <c r="DC1" s="27"/>
      <c r="DD1" s="27"/>
      <c r="DE1" s="27"/>
      <c r="DF1" s="27"/>
      <c r="DG1" s="27"/>
      <c r="DH1" s="27"/>
      <c r="DI1" s="27"/>
      <c r="DJ1" s="27"/>
      <c r="DK1" s="27"/>
      <c r="DL1" s="27"/>
      <c r="DM1" s="27"/>
      <c r="DN1" s="27"/>
      <c r="DO1" s="27"/>
      <c r="DP1" s="27"/>
      <c r="DQ1" s="27"/>
      <c r="DR1" s="27"/>
      <c r="DS1" s="27"/>
      <c r="DT1" s="27"/>
      <c r="DU1" s="27"/>
      <c r="DV1" s="27"/>
      <c r="DW1" s="27"/>
      <c r="DX1" s="27"/>
      <c r="DY1" s="27"/>
      <c r="DZ1" s="27"/>
      <c r="EA1" s="27"/>
      <c r="EB1" s="27"/>
      <c r="EC1" s="27"/>
      <c r="ED1" s="27"/>
      <c r="EE1" s="27"/>
      <c r="EF1" s="27"/>
      <c r="EG1" s="27"/>
      <c r="EH1" s="27"/>
      <c r="EI1" s="27"/>
      <c r="EJ1" s="27"/>
      <c r="EK1" s="27"/>
      <c r="EL1" s="27"/>
      <c r="EM1" s="27"/>
      <c r="EN1" s="27"/>
      <c r="EO1" s="27"/>
      <c r="EP1" s="27"/>
      <c r="EQ1" s="27"/>
      <c r="ER1" s="27"/>
      <c r="ES1" s="27"/>
      <c r="ET1" s="27"/>
      <c r="EU1" s="27"/>
      <c r="EV1" s="27"/>
      <c r="EW1" s="27"/>
      <c r="EX1" s="27"/>
      <c r="EY1" s="27"/>
      <c r="EZ1" s="27"/>
      <c r="FA1" s="27"/>
      <c r="FB1" s="27"/>
      <c r="FC1" s="27"/>
      <c r="FD1" s="27"/>
      <c r="FE1" s="27"/>
      <c r="FF1" s="27"/>
      <c r="FG1" s="27"/>
      <c r="FH1" s="27"/>
      <c r="FI1" s="27"/>
      <c r="FJ1" s="27"/>
      <c r="FK1" s="27"/>
      <c r="FL1" s="27"/>
      <c r="FM1" s="27"/>
      <c r="FN1" s="27"/>
      <c r="FO1" s="27"/>
      <c r="FP1" s="27"/>
      <c r="FQ1" s="27"/>
      <c r="FR1" s="27"/>
      <c r="FS1" s="27"/>
      <c r="FT1" s="27"/>
      <c r="FU1" s="27"/>
      <c r="FV1" s="27"/>
      <c r="FW1" s="27"/>
      <c r="FX1" s="27"/>
      <c r="FY1" s="27"/>
      <c r="FZ1" s="27"/>
      <c r="GA1" s="27"/>
      <c r="GB1" s="27"/>
      <c r="GC1" s="27"/>
      <c r="GD1" s="27"/>
      <c r="GE1" s="27"/>
      <c r="GF1" s="27"/>
      <c r="GG1" s="27"/>
      <c r="GH1" s="27"/>
      <c r="GI1" s="27"/>
      <c r="GJ1" s="27"/>
      <c r="GK1" s="27"/>
      <c r="GL1" s="27"/>
      <c r="GM1" s="27"/>
      <c r="GN1" s="27"/>
      <c r="GO1" s="27"/>
      <c r="GP1" s="27"/>
      <c r="GQ1" s="27"/>
      <c r="GR1" s="27"/>
      <c r="GS1" s="27"/>
      <c r="GT1" s="27"/>
      <c r="GU1" s="27"/>
      <c r="GV1" s="27"/>
      <c r="GW1" s="27"/>
      <c r="GX1" s="27"/>
      <c r="GY1" s="27"/>
      <c r="GZ1" s="27"/>
      <c r="HA1" s="27"/>
      <c r="HB1" s="27"/>
      <c r="HC1" s="27"/>
      <c r="HD1" s="27"/>
      <c r="HE1" s="27"/>
      <c r="HF1" s="27"/>
      <c r="HG1" s="27"/>
      <c r="HH1" s="27"/>
      <c r="HI1" s="27"/>
      <c r="HJ1" s="27"/>
      <c r="HK1" s="27"/>
      <c r="HL1" s="27"/>
      <c r="HM1" s="27"/>
      <c r="HN1" s="27"/>
      <c r="HO1" s="27"/>
      <c r="HP1" s="27"/>
      <c r="HQ1" s="27"/>
      <c r="HR1" s="27"/>
      <c r="HS1" s="27"/>
      <c r="HT1" s="27"/>
      <c r="HU1" s="27"/>
      <c r="HV1" s="27"/>
      <c r="HW1" s="27"/>
      <c r="HX1" s="27"/>
      <c r="HY1" s="27"/>
      <c r="HZ1" s="27"/>
      <c r="IA1" s="27"/>
      <c r="IB1" s="27"/>
      <c r="IC1" s="27"/>
      <c r="ID1" s="27"/>
      <c r="IE1" s="27"/>
      <c r="IF1" s="27"/>
      <c r="IG1" s="27"/>
      <c r="IH1" s="27"/>
      <c r="II1" s="27"/>
      <c r="IJ1" s="27"/>
      <c r="IK1" s="27"/>
      <c r="IL1" s="27"/>
      <c r="IM1" s="27"/>
      <c r="IN1" s="27"/>
      <c r="IO1" s="27"/>
      <c r="IP1" s="27"/>
      <c r="IQ1" s="27"/>
      <c r="IR1" s="27"/>
    </row>
    <row r="2" spans="1:252" x14ac:dyDescent="0.25">
      <c r="A2" s="2021" t="str">
        <f>CALEND_!B3</f>
        <v>SUBGERENCIA DE SUPERVISION Y LIQUIDACION</v>
      </c>
      <c r="B2" s="2021"/>
      <c r="C2" s="2021"/>
      <c r="D2" s="2021"/>
      <c r="E2" s="2021"/>
      <c r="F2" s="29"/>
      <c r="G2" s="29"/>
      <c r="H2" s="27"/>
      <c r="I2" s="27"/>
      <c r="J2" s="27"/>
      <c r="K2" s="27"/>
      <c r="L2" s="27"/>
      <c r="M2" s="27"/>
      <c r="N2" s="27"/>
      <c r="O2" s="27"/>
      <c r="P2" s="27"/>
      <c r="Q2" s="27"/>
      <c r="R2" s="27"/>
      <c r="S2" s="27"/>
      <c r="T2" s="27"/>
      <c r="U2" s="27"/>
      <c r="V2" s="27"/>
      <c r="W2" s="27"/>
      <c r="X2" s="27"/>
      <c r="Y2" s="27"/>
      <c r="Z2" s="27"/>
      <c r="AA2" s="27"/>
      <c r="AB2" s="27"/>
      <c r="AC2" s="27"/>
      <c r="AD2" s="27"/>
      <c r="AE2" s="27"/>
      <c r="AF2" s="27"/>
      <c r="AG2" s="27"/>
      <c r="AH2" s="27"/>
      <c r="AI2" s="27"/>
      <c r="AJ2" s="27"/>
      <c r="AK2" s="27"/>
      <c r="AL2" s="27"/>
      <c r="AM2" s="27"/>
      <c r="AN2" s="27"/>
      <c r="AO2" s="27"/>
      <c r="AP2" s="27"/>
      <c r="AQ2" s="27"/>
      <c r="AR2" s="27"/>
      <c r="AS2" s="27"/>
      <c r="AT2" s="27"/>
      <c r="AU2" s="27"/>
      <c r="AV2" s="27"/>
      <c r="AW2" s="27"/>
      <c r="AX2" s="27"/>
      <c r="AY2" s="27"/>
      <c r="AZ2" s="27"/>
      <c r="BA2" s="27"/>
      <c r="BB2" s="27"/>
      <c r="BC2" s="27"/>
      <c r="BD2" s="27"/>
      <c r="BE2" s="27"/>
      <c r="BF2" s="27"/>
      <c r="BG2" s="27"/>
      <c r="BH2" s="27"/>
      <c r="BI2" s="27"/>
      <c r="BJ2" s="27"/>
      <c r="BK2" s="27"/>
      <c r="BL2" s="27"/>
      <c r="BM2" s="27"/>
      <c r="BN2" s="27"/>
      <c r="BO2" s="27"/>
      <c r="BP2" s="27"/>
      <c r="BQ2" s="27"/>
      <c r="BR2" s="27"/>
      <c r="BS2" s="27"/>
      <c r="BT2" s="27"/>
      <c r="BU2" s="27"/>
      <c r="BV2" s="27"/>
      <c r="BW2" s="27"/>
      <c r="BX2" s="27"/>
      <c r="BY2" s="27"/>
      <c r="BZ2" s="27"/>
      <c r="CA2" s="27"/>
      <c r="CB2" s="27"/>
      <c r="CC2" s="27"/>
      <c r="CD2" s="27"/>
      <c r="CE2" s="27"/>
      <c r="CF2" s="27"/>
      <c r="CG2" s="27"/>
      <c r="CH2" s="27"/>
      <c r="CI2" s="27"/>
      <c r="CJ2" s="27"/>
      <c r="CK2" s="27"/>
      <c r="CL2" s="27"/>
      <c r="CM2" s="27"/>
      <c r="CN2" s="27"/>
      <c r="CO2" s="27"/>
      <c r="CP2" s="27"/>
      <c r="CQ2" s="27"/>
      <c r="CR2" s="27"/>
      <c r="CS2" s="27"/>
      <c r="CT2" s="27"/>
      <c r="CU2" s="27"/>
      <c r="CV2" s="27"/>
      <c r="CW2" s="27"/>
      <c r="CX2" s="27"/>
      <c r="CY2" s="27"/>
      <c r="CZ2" s="27"/>
      <c r="DA2" s="27"/>
      <c r="DB2" s="27"/>
      <c r="DC2" s="27"/>
      <c r="DD2" s="27"/>
      <c r="DE2" s="27"/>
      <c r="DF2" s="27"/>
      <c r="DG2" s="27"/>
      <c r="DH2" s="27"/>
      <c r="DI2" s="27"/>
      <c r="DJ2" s="27"/>
      <c r="DK2" s="27"/>
      <c r="DL2" s="27"/>
      <c r="DM2" s="27"/>
      <c r="DN2" s="27"/>
      <c r="DO2" s="27"/>
      <c r="DP2" s="27"/>
      <c r="DQ2" s="27"/>
      <c r="DR2" s="27"/>
      <c r="DS2" s="27"/>
      <c r="DT2" s="27"/>
      <c r="DU2" s="27"/>
      <c r="DV2" s="27"/>
      <c r="DW2" s="27"/>
      <c r="DX2" s="27"/>
      <c r="DY2" s="27"/>
      <c r="DZ2" s="27"/>
      <c r="EA2" s="27"/>
      <c r="EB2" s="27"/>
      <c r="EC2" s="27"/>
      <c r="ED2" s="27"/>
      <c r="EE2" s="27"/>
      <c r="EF2" s="27"/>
      <c r="EG2" s="27"/>
      <c r="EH2" s="27"/>
      <c r="EI2" s="27"/>
      <c r="EJ2" s="27"/>
      <c r="EK2" s="27"/>
      <c r="EL2" s="27"/>
      <c r="EM2" s="27"/>
      <c r="EN2" s="27"/>
      <c r="EO2" s="27"/>
      <c r="EP2" s="27"/>
      <c r="EQ2" s="27"/>
      <c r="ER2" s="27"/>
      <c r="ES2" s="27"/>
      <c r="ET2" s="27"/>
      <c r="EU2" s="27"/>
      <c r="EV2" s="27"/>
      <c r="EW2" s="27"/>
      <c r="EX2" s="27"/>
      <c r="EY2" s="27"/>
      <c r="EZ2" s="27"/>
      <c r="FA2" s="27"/>
      <c r="FB2" s="27"/>
      <c r="FC2" s="27"/>
      <c r="FD2" s="27"/>
      <c r="FE2" s="27"/>
      <c r="FF2" s="27"/>
      <c r="FG2" s="27"/>
      <c r="FH2" s="27"/>
      <c r="FI2" s="27"/>
      <c r="FJ2" s="27"/>
      <c r="FK2" s="27"/>
      <c r="FL2" s="27"/>
      <c r="FM2" s="27"/>
      <c r="FN2" s="27"/>
      <c r="FO2" s="27"/>
      <c r="FP2" s="27"/>
      <c r="FQ2" s="27"/>
      <c r="FR2" s="27"/>
      <c r="FS2" s="27"/>
      <c r="FT2" s="27"/>
      <c r="FU2" s="27"/>
      <c r="FV2" s="27"/>
      <c r="FW2" s="27"/>
      <c r="FX2" s="27"/>
      <c r="FY2" s="27"/>
      <c r="FZ2" s="27"/>
      <c r="GA2" s="27"/>
      <c r="GB2" s="27"/>
      <c r="GC2" s="27"/>
      <c r="GD2" s="27"/>
      <c r="GE2" s="27"/>
      <c r="GF2" s="27"/>
      <c r="GG2" s="27"/>
      <c r="GH2" s="27"/>
      <c r="GI2" s="27"/>
      <c r="GJ2" s="27"/>
      <c r="GK2" s="27"/>
      <c r="GL2" s="27"/>
      <c r="GM2" s="27"/>
      <c r="GN2" s="27"/>
      <c r="GO2" s="27"/>
      <c r="GP2" s="27"/>
      <c r="GQ2" s="27"/>
      <c r="GR2" s="27"/>
      <c r="GS2" s="27"/>
      <c r="GT2" s="27"/>
      <c r="GU2" s="27"/>
      <c r="GV2" s="27"/>
      <c r="GW2" s="27"/>
      <c r="GX2" s="27"/>
      <c r="GY2" s="27"/>
      <c r="GZ2" s="27"/>
      <c r="HA2" s="27"/>
      <c r="HB2" s="27"/>
      <c r="HC2" s="27"/>
      <c r="HD2" s="27"/>
      <c r="HE2" s="27"/>
      <c r="HF2" s="27"/>
      <c r="HG2" s="27"/>
      <c r="HH2" s="27"/>
      <c r="HI2" s="27"/>
      <c r="HJ2" s="27"/>
      <c r="HK2" s="27"/>
      <c r="HL2" s="27"/>
      <c r="HM2" s="27"/>
      <c r="HN2" s="27"/>
      <c r="HO2" s="27"/>
      <c r="HP2" s="27"/>
      <c r="HQ2" s="27"/>
      <c r="HR2" s="27"/>
      <c r="HS2" s="27"/>
      <c r="HT2" s="27"/>
      <c r="HU2" s="27"/>
      <c r="HV2" s="27"/>
      <c r="HW2" s="27"/>
      <c r="HX2" s="27"/>
      <c r="HY2" s="27"/>
      <c r="HZ2" s="27"/>
      <c r="IA2" s="27"/>
      <c r="IB2" s="27"/>
      <c r="IC2" s="27"/>
      <c r="ID2" s="27"/>
      <c r="IE2" s="27"/>
      <c r="IF2" s="27"/>
      <c r="IG2" s="27"/>
      <c r="IH2" s="27"/>
      <c r="II2" s="27"/>
      <c r="IJ2" s="27"/>
      <c r="IK2" s="27"/>
      <c r="IL2" s="27"/>
      <c r="IM2" s="27"/>
      <c r="IN2" s="27"/>
      <c r="IO2" s="27"/>
      <c r="IP2" s="27"/>
      <c r="IQ2" s="27"/>
      <c r="IR2" s="27"/>
    </row>
    <row r="3" spans="1:252" x14ac:dyDescent="0.25">
      <c r="A3" s="2391"/>
      <c r="B3" s="2391"/>
      <c r="C3" s="2391"/>
      <c r="D3" s="2391"/>
      <c r="E3" s="65"/>
      <c r="F3" s="29"/>
      <c r="G3" s="29"/>
      <c r="H3" s="27"/>
      <c r="I3" s="27"/>
      <c r="J3" s="27"/>
      <c r="K3" s="27"/>
      <c r="L3" s="27"/>
      <c r="M3" s="27"/>
      <c r="N3" s="27"/>
      <c r="O3" s="27"/>
      <c r="P3" s="27"/>
      <c r="Q3" s="27"/>
      <c r="R3" s="27"/>
      <c r="S3" s="27"/>
      <c r="T3" s="27"/>
      <c r="U3" s="27"/>
      <c r="V3" s="27"/>
      <c r="W3" s="27"/>
      <c r="X3" s="27"/>
      <c r="Y3" s="27"/>
      <c r="Z3" s="27"/>
      <c r="AA3" s="27"/>
      <c r="AB3" s="27"/>
      <c r="AC3" s="27"/>
      <c r="AD3" s="27"/>
      <c r="AE3" s="27"/>
      <c r="AF3" s="27"/>
      <c r="AG3" s="27"/>
      <c r="AH3" s="27"/>
      <c r="AI3" s="27"/>
      <c r="AJ3" s="27"/>
      <c r="AK3" s="27"/>
      <c r="AL3" s="27"/>
      <c r="AM3" s="27"/>
      <c r="AN3" s="27"/>
      <c r="AO3" s="27"/>
      <c r="AP3" s="27"/>
      <c r="AQ3" s="27"/>
      <c r="AR3" s="27"/>
      <c r="AS3" s="27"/>
      <c r="AT3" s="27"/>
      <c r="AU3" s="27"/>
      <c r="AV3" s="27"/>
      <c r="AW3" s="27"/>
      <c r="AX3" s="27"/>
      <c r="AY3" s="27"/>
      <c r="AZ3" s="27"/>
      <c r="BA3" s="27"/>
      <c r="BB3" s="27"/>
      <c r="BC3" s="27"/>
      <c r="BD3" s="27"/>
      <c r="BE3" s="27"/>
      <c r="BF3" s="27"/>
      <c r="BG3" s="27"/>
      <c r="BH3" s="27"/>
      <c r="BI3" s="27"/>
      <c r="BJ3" s="27"/>
      <c r="BK3" s="27"/>
      <c r="BL3" s="27"/>
      <c r="BM3" s="27"/>
      <c r="BN3" s="27"/>
      <c r="BO3" s="27"/>
      <c r="BP3" s="27"/>
      <c r="BQ3" s="27"/>
      <c r="BR3" s="27"/>
      <c r="BS3" s="27"/>
      <c r="BT3" s="27"/>
      <c r="BU3" s="27"/>
      <c r="BV3" s="27"/>
      <c r="BW3" s="27"/>
      <c r="BX3" s="27"/>
      <c r="BY3" s="27"/>
      <c r="BZ3" s="27"/>
      <c r="CA3" s="27"/>
      <c r="CB3" s="27"/>
      <c r="CC3" s="27"/>
      <c r="CD3" s="27"/>
      <c r="CE3" s="27"/>
      <c r="CF3" s="27"/>
      <c r="CG3" s="27"/>
      <c r="CH3" s="27"/>
      <c r="CI3" s="27"/>
      <c r="CJ3" s="27"/>
      <c r="CK3" s="27"/>
      <c r="CL3" s="27"/>
      <c r="CM3" s="27"/>
      <c r="CN3" s="27"/>
      <c r="CO3" s="27"/>
      <c r="CP3" s="27"/>
      <c r="CQ3" s="27"/>
      <c r="CR3" s="27"/>
      <c r="CS3" s="27"/>
      <c r="CT3" s="27"/>
      <c r="CU3" s="27"/>
      <c r="CV3" s="27"/>
      <c r="CW3" s="27"/>
      <c r="CX3" s="27"/>
      <c r="CY3" s="27"/>
      <c r="CZ3" s="27"/>
      <c r="DA3" s="27"/>
      <c r="DB3" s="27"/>
      <c r="DC3" s="27"/>
      <c r="DD3" s="27"/>
      <c r="DE3" s="27"/>
      <c r="DF3" s="27"/>
      <c r="DG3" s="27"/>
      <c r="DH3" s="27"/>
      <c r="DI3" s="27"/>
      <c r="DJ3" s="27"/>
      <c r="DK3" s="27"/>
      <c r="DL3" s="27"/>
      <c r="DM3" s="27"/>
      <c r="DN3" s="27"/>
      <c r="DO3" s="27"/>
      <c r="DP3" s="27"/>
      <c r="DQ3" s="27"/>
      <c r="DR3" s="27"/>
      <c r="DS3" s="27"/>
      <c r="DT3" s="27"/>
      <c r="DU3" s="27"/>
      <c r="DV3" s="27"/>
      <c r="DW3" s="27"/>
      <c r="DX3" s="27"/>
      <c r="DY3" s="27"/>
      <c r="DZ3" s="27"/>
      <c r="EA3" s="27"/>
      <c r="EB3" s="27"/>
      <c r="EC3" s="27"/>
      <c r="ED3" s="27"/>
      <c r="EE3" s="27"/>
      <c r="EF3" s="27"/>
      <c r="EG3" s="27"/>
      <c r="EH3" s="27"/>
      <c r="EI3" s="27"/>
      <c r="EJ3" s="27"/>
      <c r="EK3" s="27"/>
      <c r="EL3" s="27"/>
      <c r="EM3" s="27"/>
      <c r="EN3" s="27"/>
      <c r="EO3" s="27"/>
      <c r="EP3" s="27"/>
      <c r="EQ3" s="27"/>
      <c r="ER3" s="27"/>
      <c r="ES3" s="27"/>
      <c r="ET3" s="27"/>
      <c r="EU3" s="27"/>
      <c r="EV3" s="27"/>
      <c r="EW3" s="27"/>
      <c r="EX3" s="27"/>
      <c r="EY3" s="27"/>
      <c r="EZ3" s="27"/>
      <c r="FA3" s="27"/>
      <c r="FB3" s="27"/>
      <c r="FC3" s="27"/>
      <c r="FD3" s="27"/>
      <c r="FE3" s="27"/>
      <c r="FF3" s="27"/>
      <c r="FG3" s="27"/>
      <c r="FH3" s="27"/>
      <c r="FI3" s="27"/>
      <c r="FJ3" s="27"/>
      <c r="FK3" s="27"/>
      <c r="FL3" s="27"/>
      <c r="FM3" s="27"/>
      <c r="FN3" s="27"/>
      <c r="FO3" s="27"/>
      <c r="FP3" s="27"/>
      <c r="FQ3" s="27"/>
      <c r="FR3" s="27"/>
      <c r="FS3" s="27"/>
      <c r="FT3" s="27"/>
      <c r="FU3" s="27"/>
      <c r="FV3" s="27"/>
      <c r="FW3" s="27"/>
      <c r="FX3" s="27"/>
      <c r="FY3" s="27"/>
      <c r="FZ3" s="27"/>
      <c r="GA3" s="27"/>
      <c r="GB3" s="27"/>
      <c r="GC3" s="27"/>
      <c r="GD3" s="27"/>
      <c r="GE3" s="27"/>
      <c r="GF3" s="27"/>
      <c r="GG3" s="27"/>
      <c r="GH3" s="27"/>
      <c r="GI3" s="27"/>
      <c r="GJ3" s="27"/>
      <c r="GK3" s="27"/>
      <c r="GL3" s="27"/>
      <c r="GM3" s="27"/>
      <c r="GN3" s="27"/>
      <c r="GO3" s="27"/>
      <c r="GP3" s="27"/>
      <c r="GQ3" s="27"/>
      <c r="GR3" s="27"/>
      <c r="GS3" s="27"/>
      <c r="GT3" s="27"/>
      <c r="GU3" s="27"/>
      <c r="GV3" s="27"/>
      <c r="GW3" s="27"/>
      <c r="GX3" s="27"/>
      <c r="GY3" s="27"/>
      <c r="GZ3" s="27"/>
      <c r="HA3" s="27"/>
      <c r="HB3" s="27"/>
      <c r="HC3" s="27"/>
      <c r="HD3" s="27"/>
      <c r="HE3" s="27"/>
      <c r="HF3" s="27"/>
      <c r="HG3" s="27"/>
      <c r="HH3" s="27"/>
      <c r="HI3" s="27"/>
      <c r="HJ3" s="27"/>
      <c r="HK3" s="27"/>
      <c r="HL3" s="27"/>
      <c r="HM3" s="27"/>
      <c r="HN3" s="27"/>
      <c r="HO3" s="27"/>
      <c r="HP3" s="27"/>
      <c r="HQ3" s="27"/>
      <c r="HR3" s="27"/>
      <c r="HS3" s="27"/>
      <c r="HT3" s="27"/>
      <c r="HU3" s="27"/>
      <c r="HV3" s="27"/>
      <c r="HW3" s="27"/>
      <c r="HX3" s="27"/>
      <c r="HY3" s="27"/>
      <c r="HZ3" s="27"/>
      <c r="IA3" s="27"/>
      <c r="IB3" s="27"/>
      <c r="IC3" s="27"/>
      <c r="ID3" s="27"/>
      <c r="IE3" s="27"/>
      <c r="IF3" s="27"/>
      <c r="IG3" s="27"/>
      <c r="IH3" s="27"/>
      <c r="II3" s="27"/>
      <c r="IJ3" s="27"/>
      <c r="IK3" s="27"/>
      <c r="IL3" s="27"/>
      <c r="IM3" s="27"/>
      <c r="IN3" s="27"/>
      <c r="IO3" s="27"/>
      <c r="IP3" s="27"/>
      <c r="IQ3" s="27"/>
      <c r="IR3" s="27"/>
    </row>
    <row r="4" spans="1:252" ht="17.25" customHeight="1" x14ac:dyDescent="0.3">
      <c r="A4" s="2390" t="s">
        <v>1809</v>
      </c>
      <c r="B4" s="2390"/>
      <c r="C4" s="2390"/>
      <c r="D4" s="2390"/>
      <c r="E4" s="2390"/>
      <c r="F4" s="2390"/>
      <c r="G4" s="2390"/>
      <c r="H4" s="2390"/>
      <c r="I4" s="2390"/>
      <c r="J4" s="2390"/>
      <c r="K4" s="27"/>
      <c r="L4" s="27"/>
      <c r="M4" s="27"/>
      <c r="N4" s="27"/>
      <c r="O4" s="27"/>
      <c r="P4" s="27"/>
      <c r="Q4" s="27"/>
      <c r="R4" s="27"/>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c r="AW4" s="27"/>
      <c r="AX4" s="27"/>
      <c r="AY4" s="27"/>
      <c r="AZ4" s="27"/>
      <c r="BA4" s="27"/>
      <c r="BB4" s="27"/>
      <c r="BC4" s="27"/>
      <c r="BD4" s="27"/>
      <c r="BE4" s="27"/>
      <c r="BF4" s="27"/>
      <c r="BG4" s="27"/>
      <c r="BH4" s="27"/>
      <c r="BI4" s="27"/>
      <c r="BJ4" s="27"/>
      <c r="BK4" s="27"/>
      <c r="BL4" s="27"/>
      <c r="BM4" s="27"/>
      <c r="BN4" s="27"/>
      <c r="BO4" s="27"/>
      <c r="BP4" s="27"/>
      <c r="BQ4" s="27"/>
      <c r="BR4" s="27"/>
      <c r="BS4" s="27"/>
      <c r="BT4" s="27"/>
      <c r="BU4" s="27"/>
      <c r="BV4" s="27"/>
      <c r="BW4" s="27"/>
      <c r="BX4" s="27"/>
      <c r="BY4" s="27"/>
      <c r="BZ4" s="27"/>
      <c r="CA4" s="27"/>
      <c r="CB4" s="27"/>
      <c r="CC4" s="27"/>
      <c r="CD4" s="27"/>
      <c r="CE4" s="27"/>
      <c r="CF4" s="27"/>
      <c r="CG4" s="27"/>
      <c r="CH4" s="27"/>
      <c r="CI4" s="27"/>
      <c r="CJ4" s="27"/>
      <c r="CK4" s="27"/>
      <c r="CL4" s="27"/>
      <c r="CM4" s="27"/>
      <c r="CN4" s="27"/>
      <c r="CO4" s="27"/>
      <c r="CP4" s="27"/>
      <c r="CQ4" s="27"/>
      <c r="CR4" s="27"/>
      <c r="CS4" s="27"/>
      <c r="CT4" s="27"/>
      <c r="CU4" s="27"/>
      <c r="CV4" s="27"/>
      <c r="CW4" s="27"/>
      <c r="CX4" s="27"/>
      <c r="CY4" s="27"/>
      <c r="CZ4" s="27"/>
      <c r="DA4" s="27"/>
      <c r="DB4" s="27"/>
      <c r="DC4" s="27"/>
      <c r="DD4" s="27"/>
      <c r="DE4" s="27"/>
      <c r="DF4" s="27"/>
      <c r="DG4" s="27"/>
      <c r="DH4" s="27"/>
      <c r="DI4" s="27"/>
      <c r="DJ4" s="27"/>
      <c r="DK4" s="27"/>
      <c r="DL4" s="27"/>
      <c r="DM4" s="27"/>
      <c r="DN4" s="27"/>
      <c r="DO4" s="27"/>
      <c r="DP4" s="27"/>
      <c r="DQ4" s="27"/>
      <c r="DR4" s="27"/>
      <c r="DS4" s="27"/>
      <c r="DT4" s="27"/>
      <c r="DU4" s="27"/>
      <c r="DV4" s="27"/>
      <c r="DW4" s="27"/>
      <c r="DX4" s="27"/>
      <c r="DY4" s="27"/>
      <c r="DZ4" s="27"/>
      <c r="EA4" s="27"/>
      <c r="EB4" s="27"/>
      <c r="EC4" s="27"/>
      <c r="ED4" s="27"/>
      <c r="EE4" s="27"/>
      <c r="EF4" s="27"/>
      <c r="EG4" s="27"/>
      <c r="EH4" s="27"/>
      <c r="EI4" s="27"/>
      <c r="EJ4" s="27"/>
      <c r="EK4" s="27"/>
      <c r="EL4" s="27"/>
      <c r="EM4" s="27"/>
      <c r="EN4" s="27"/>
      <c r="EO4" s="27"/>
      <c r="EP4" s="27"/>
      <c r="EQ4" s="27"/>
      <c r="ER4" s="27"/>
      <c r="ES4" s="27"/>
      <c r="ET4" s="27"/>
      <c r="EU4" s="27"/>
      <c r="EV4" s="27"/>
      <c r="EW4" s="27"/>
      <c r="EX4" s="27"/>
      <c r="EY4" s="27"/>
      <c r="EZ4" s="27"/>
      <c r="FA4" s="27"/>
      <c r="FB4" s="27"/>
      <c r="FC4" s="27"/>
      <c r="FD4" s="27"/>
      <c r="FE4" s="27"/>
      <c r="FF4" s="27"/>
      <c r="FG4" s="27"/>
      <c r="FH4" s="27"/>
      <c r="FI4" s="27"/>
      <c r="FJ4" s="27"/>
      <c r="FK4" s="27"/>
      <c r="FL4" s="27"/>
      <c r="FM4" s="27"/>
      <c r="FN4" s="27"/>
      <c r="FO4" s="27"/>
      <c r="FP4" s="27"/>
      <c r="FQ4" s="27"/>
      <c r="FR4" s="27"/>
      <c r="FS4" s="27"/>
      <c r="FT4" s="27"/>
      <c r="FU4" s="27"/>
      <c r="FV4" s="27"/>
      <c r="FW4" s="27"/>
      <c r="FX4" s="27"/>
      <c r="FY4" s="27"/>
      <c r="FZ4" s="27"/>
      <c r="GA4" s="27"/>
      <c r="GB4" s="27"/>
      <c r="GC4" s="27"/>
      <c r="GD4" s="27"/>
      <c r="GE4" s="27"/>
      <c r="GF4" s="27"/>
      <c r="GG4" s="27"/>
      <c r="GH4" s="27"/>
      <c r="GI4" s="27"/>
      <c r="GJ4" s="27"/>
      <c r="GK4" s="27"/>
      <c r="GL4" s="27"/>
      <c r="GM4" s="27"/>
      <c r="GN4" s="27"/>
      <c r="GO4" s="27"/>
      <c r="GP4" s="27"/>
      <c r="GQ4" s="27"/>
      <c r="GR4" s="27"/>
      <c r="GS4" s="27"/>
      <c r="GT4" s="27"/>
      <c r="GU4" s="27"/>
      <c r="GV4" s="27"/>
      <c r="GW4" s="27"/>
      <c r="GX4" s="27"/>
      <c r="GY4" s="27"/>
      <c r="GZ4" s="27"/>
      <c r="HA4" s="27"/>
      <c r="HB4" s="27"/>
      <c r="HC4" s="27"/>
      <c r="HD4" s="27"/>
      <c r="HE4" s="27"/>
      <c r="HF4" s="27"/>
      <c r="HG4" s="27"/>
      <c r="HH4" s="27"/>
      <c r="HI4" s="27"/>
      <c r="HJ4" s="27"/>
      <c r="HK4" s="27"/>
      <c r="HL4" s="27"/>
      <c r="HM4" s="27"/>
      <c r="HN4" s="27"/>
      <c r="HO4" s="27"/>
      <c r="HP4" s="27"/>
      <c r="HQ4" s="27"/>
      <c r="HR4" s="27"/>
      <c r="HS4" s="27"/>
      <c r="HT4" s="27"/>
      <c r="HU4" s="27"/>
      <c r="HV4" s="27"/>
      <c r="HW4" s="27"/>
      <c r="HX4" s="27"/>
      <c r="HY4" s="27"/>
      <c r="HZ4" s="27"/>
      <c r="IA4" s="27"/>
      <c r="IB4" s="27"/>
      <c r="IC4" s="27"/>
      <c r="ID4" s="27"/>
      <c r="IE4" s="27"/>
      <c r="IF4" s="27"/>
      <c r="IG4" s="27"/>
      <c r="IH4" s="27"/>
      <c r="II4" s="27"/>
      <c r="IJ4" s="27"/>
      <c r="IK4" s="27"/>
      <c r="IL4" s="27"/>
      <c r="IM4" s="27"/>
      <c r="IN4" s="27"/>
      <c r="IO4" s="27"/>
      <c r="IP4" s="27"/>
      <c r="IQ4" s="27"/>
      <c r="IR4" s="27"/>
    </row>
    <row r="5" spans="1:252" ht="17.25" customHeight="1" x14ac:dyDescent="0.3">
      <c r="A5" s="2379" t="str">
        <f>+CARAT_!A45</f>
        <v>INFORME DE SUPERVISIÓN N° 09 - DICIEMBRE - 2022</v>
      </c>
      <c r="B5" s="2379"/>
      <c r="C5" s="2379"/>
      <c r="D5" s="2379"/>
      <c r="E5" s="2379"/>
      <c r="F5" s="2379"/>
      <c r="G5" s="2379"/>
      <c r="H5" s="2379"/>
      <c r="I5" s="2379"/>
      <c r="J5" s="2379"/>
      <c r="K5" s="27"/>
      <c r="L5" s="2372"/>
      <c r="M5" s="2372"/>
      <c r="N5" s="2373"/>
      <c r="O5" s="2374"/>
      <c r="P5" s="2375"/>
      <c r="Q5" s="2376"/>
      <c r="R5" s="2367"/>
      <c r="S5" s="2367"/>
      <c r="T5" s="2367"/>
      <c r="U5" s="2367"/>
      <c r="V5" s="2367"/>
      <c r="W5" s="2366"/>
      <c r="X5" s="2367"/>
      <c r="Y5" s="27"/>
      <c r="Z5" s="27"/>
      <c r="AA5" s="27"/>
      <c r="AB5" s="27"/>
      <c r="AC5" s="27"/>
      <c r="AD5" s="27"/>
      <c r="AE5" s="27"/>
      <c r="AF5" s="27"/>
      <c r="AG5" s="27"/>
      <c r="AH5" s="27"/>
      <c r="AI5" s="27"/>
      <c r="AJ5" s="27"/>
      <c r="AK5" s="27"/>
      <c r="AL5" s="27"/>
      <c r="AM5" s="27"/>
      <c r="AN5" s="27"/>
      <c r="AO5" s="27"/>
      <c r="AP5" s="27"/>
      <c r="AQ5" s="27"/>
      <c r="AR5" s="27"/>
      <c r="AS5" s="27"/>
      <c r="AT5" s="27"/>
      <c r="AU5" s="27"/>
      <c r="AV5" s="27"/>
      <c r="AW5" s="27"/>
      <c r="AX5" s="27"/>
      <c r="AY5" s="27"/>
      <c r="AZ5" s="27"/>
      <c r="BA5" s="27"/>
      <c r="BB5" s="27"/>
      <c r="BC5" s="27"/>
      <c r="BD5" s="27"/>
      <c r="BE5" s="27"/>
      <c r="BF5" s="27"/>
      <c r="BG5" s="27"/>
      <c r="BH5" s="27"/>
      <c r="BI5" s="27"/>
      <c r="BJ5" s="27"/>
      <c r="BK5" s="27"/>
      <c r="BL5" s="27"/>
      <c r="BM5" s="27"/>
      <c r="BN5" s="27"/>
      <c r="BO5" s="27"/>
      <c r="BP5" s="27"/>
      <c r="BQ5" s="27"/>
      <c r="BR5" s="27"/>
      <c r="BS5" s="27"/>
      <c r="BT5" s="27"/>
      <c r="BU5" s="27"/>
      <c r="BV5" s="27"/>
      <c r="BW5" s="27"/>
      <c r="BX5" s="27"/>
      <c r="BY5" s="27"/>
      <c r="BZ5" s="27"/>
      <c r="CA5" s="27"/>
      <c r="CB5" s="27"/>
      <c r="CC5" s="27"/>
      <c r="CD5" s="27"/>
      <c r="CE5" s="27"/>
      <c r="CF5" s="27"/>
      <c r="CG5" s="27"/>
      <c r="CH5" s="27"/>
      <c r="CI5" s="27"/>
      <c r="CJ5" s="27"/>
      <c r="CK5" s="27"/>
      <c r="CL5" s="27"/>
      <c r="CM5" s="27"/>
      <c r="CN5" s="27"/>
      <c r="CO5" s="27"/>
      <c r="CP5" s="27"/>
      <c r="CQ5" s="27"/>
      <c r="CR5" s="27"/>
      <c r="CS5" s="27"/>
      <c r="CT5" s="27"/>
      <c r="CU5" s="27"/>
      <c r="CV5" s="27"/>
      <c r="CW5" s="27"/>
      <c r="CX5" s="27"/>
      <c r="CY5" s="27"/>
      <c r="CZ5" s="27"/>
      <c r="DA5" s="27"/>
      <c r="DB5" s="27"/>
      <c r="DC5" s="27"/>
      <c r="DD5" s="27"/>
      <c r="DE5" s="27"/>
      <c r="DF5" s="27"/>
      <c r="DG5" s="27"/>
      <c r="DH5" s="27"/>
      <c r="DI5" s="27"/>
      <c r="DJ5" s="27"/>
      <c r="DK5" s="27"/>
      <c r="DL5" s="27"/>
      <c r="DM5" s="27"/>
      <c r="DN5" s="27"/>
      <c r="DO5" s="27"/>
      <c r="DP5" s="27"/>
      <c r="DQ5" s="27"/>
      <c r="DR5" s="27"/>
      <c r="DS5" s="27"/>
      <c r="DT5" s="27"/>
      <c r="DU5" s="27"/>
      <c r="DV5" s="27"/>
      <c r="DW5" s="27"/>
      <c r="DX5" s="27"/>
      <c r="DY5" s="27"/>
      <c r="DZ5" s="27"/>
      <c r="EA5" s="27"/>
      <c r="EB5" s="27"/>
      <c r="EC5" s="27"/>
      <c r="ED5" s="27"/>
      <c r="EE5" s="27"/>
      <c r="EF5" s="27"/>
      <c r="EG5" s="27"/>
      <c r="EH5" s="27"/>
      <c r="EI5" s="27"/>
      <c r="EJ5" s="27"/>
      <c r="EK5" s="27"/>
      <c r="EL5" s="27"/>
      <c r="EM5" s="27"/>
      <c r="EN5" s="27"/>
      <c r="EO5" s="27"/>
      <c r="EP5" s="27"/>
      <c r="EQ5" s="27"/>
      <c r="ER5" s="27"/>
      <c r="ES5" s="27"/>
      <c r="ET5" s="27"/>
      <c r="EU5" s="27"/>
      <c r="EV5" s="27"/>
      <c r="EW5" s="27"/>
      <c r="EX5" s="27"/>
      <c r="EY5" s="27"/>
      <c r="EZ5" s="27"/>
      <c r="FA5" s="27"/>
      <c r="FB5" s="27"/>
      <c r="FC5" s="27"/>
      <c r="FD5" s="27"/>
      <c r="FE5" s="27"/>
      <c r="FF5" s="27"/>
      <c r="FG5" s="27"/>
      <c r="FH5" s="27"/>
      <c r="FI5" s="27"/>
      <c r="FJ5" s="27"/>
      <c r="FK5" s="27"/>
      <c r="FL5" s="27"/>
      <c r="FM5" s="27"/>
      <c r="FN5" s="27"/>
      <c r="FO5" s="27"/>
      <c r="FP5" s="27"/>
      <c r="FQ5" s="27"/>
      <c r="FR5" s="27"/>
      <c r="FS5" s="27"/>
      <c r="FT5" s="27"/>
      <c r="FU5" s="27"/>
      <c r="FV5" s="27"/>
      <c r="FW5" s="27"/>
      <c r="FX5" s="27"/>
      <c r="FY5" s="27"/>
      <c r="FZ5" s="27"/>
      <c r="GA5" s="27"/>
      <c r="GB5" s="27"/>
      <c r="GC5" s="27"/>
      <c r="GD5" s="27"/>
      <c r="GE5" s="27"/>
      <c r="GF5" s="27"/>
      <c r="GG5" s="27"/>
      <c r="GH5" s="27"/>
      <c r="GI5" s="27"/>
      <c r="GJ5" s="27"/>
      <c r="GK5" s="27"/>
      <c r="GL5" s="27"/>
      <c r="GM5" s="27"/>
      <c r="GN5" s="27"/>
      <c r="GO5" s="27"/>
      <c r="GP5" s="27"/>
      <c r="GQ5" s="27"/>
      <c r="GR5" s="27"/>
      <c r="GS5" s="27"/>
      <c r="GT5" s="27"/>
      <c r="GU5" s="27"/>
      <c r="GV5" s="27"/>
      <c r="GW5" s="27"/>
      <c r="GX5" s="27"/>
      <c r="GY5" s="27"/>
      <c r="GZ5" s="27"/>
      <c r="HA5" s="27"/>
      <c r="HB5" s="27"/>
      <c r="HC5" s="27"/>
      <c r="HD5" s="27"/>
      <c r="HE5" s="27"/>
      <c r="HF5" s="27"/>
      <c r="HG5" s="27"/>
      <c r="HH5" s="27"/>
      <c r="HI5" s="27"/>
      <c r="HJ5" s="27"/>
      <c r="HK5" s="27"/>
      <c r="HL5" s="27"/>
      <c r="HM5" s="27"/>
      <c r="HN5" s="27"/>
      <c r="HO5" s="27"/>
      <c r="HP5" s="27"/>
      <c r="HQ5" s="27"/>
      <c r="HR5" s="27"/>
      <c r="HS5" s="27"/>
      <c r="HT5" s="27"/>
      <c r="HU5" s="27"/>
      <c r="HV5" s="27"/>
      <c r="HW5" s="27"/>
      <c r="HX5" s="27"/>
      <c r="HY5" s="27"/>
      <c r="HZ5" s="27"/>
      <c r="IA5" s="27"/>
      <c r="IB5" s="27"/>
      <c r="IC5" s="27"/>
      <c r="ID5" s="27"/>
      <c r="IE5" s="27"/>
      <c r="IF5" s="27"/>
      <c r="IG5" s="27"/>
      <c r="IH5" s="27"/>
      <c r="II5" s="27"/>
      <c r="IJ5" s="27"/>
      <c r="IK5" s="27"/>
      <c r="IL5" s="27"/>
      <c r="IM5" s="27"/>
      <c r="IN5" s="27"/>
      <c r="IO5" s="27"/>
      <c r="IP5" s="27"/>
      <c r="IQ5" s="27"/>
      <c r="IR5" s="27"/>
    </row>
    <row r="6" spans="1:252" s="27" customFormat="1" ht="14.4" x14ac:dyDescent="0.25">
      <c r="L6" s="2373"/>
      <c r="M6" s="2373"/>
      <c r="N6" s="2373"/>
      <c r="O6" s="2367"/>
      <c r="P6" s="2367"/>
      <c r="Q6" s="2368"/>
      <c r="R6" s="2369"/>
      <c r="S6" s="2370"/>
      <c r="T6" s="2369"/>
      <c r="U6" s="2371"/>
      <c r="V6" s="2369"/>
      <c r="W6" s="2367"/>
      <c r="X6" s="2367"/>
    </row>
    <row r="7" spans="1:252" ht="14.4" x14ac:dyDescent="0.25">
      <c r="A7" s="111" t="s">
        <v>1162</v>
      </c>
      <c r="B7" s="39"/>
      <c r="C7" s="39" t="s">
        <v>7</v>
      </c>
      <c r="D7" s="66" t="str">
        <f>CARAT_!$F$47</f>
        <v>ESPECIFICO Nº SP-2022-012</v>
      </c>
      <c r="E7" s="39"/>
      <c r="F7" s="33"/>
      <c r="G7" s="33"/>
      <c r="H7" s="33"/>
      <c r="I7" s="33"/>
      <c r="J7" s="33"/>
      <c r="K7" s="27"/>
      <c r="L7" s="2373"/>
      <c r="M7" s="2373"/>
      <c r="N7" s="2373"/>
      <c r="O7" s="2367"/>
      <c r="P7" s="2367"/>
      <c r="Q7" s="1053"/>
      <c r="R7" s="1054"/>
      <c r="S7" s="1055"/>
      <c r="T7" s="1055"/>
      <c r="U7" s="1056"/>
      <c r="V7" s="1056"/>
      <c r="W7" s="1057"/>
      <c r="X7" s="1057"/>
      <c r="Y7" s="27"/>
      <c r="Z7" s="27"/>
      <c r="AA7" s="27"/>
      <c r="AB7" s="27"/>
      <c r="AC7" s="27"/>
      <c r="AD7" s="27"/>
      <c r="AE7" s="27"/>
      <c r="AF7" s="27"/>
      <c r="AG7" s="27"/>
      <c r="AH7" s="27"/>
      <c r="AI7" s="27"/>
      <c r="AJ7" s="27"/>
      <c r="AK7" s="27"/>
      <c r="AL7" s="27"/>
      <c r="AM7" s="27"/>
      <c r="AN7" s="27"/>
      <c r="AO7" s="27"/>
      <c r="AP7" s="27"/>
      <c r="AQ7" s="27"/>
      <c r="AR7" s="27"/>
      <c r="AS7" s="27"/>
      <c r="AT7" s="27"/>
      <c r="AU7" s="27"/>
      <c r="AV7" s="27"/>
      <c r="AW7" s="27"/>
      <c r="AX7" s="27"/>
      <c r="AY7" s="27"/>
      <c r="AZ7" s="27"/>
      <c r="BA7" s="27"/>
      <c r="BB7" s="27"/>
      <c r="BC7" s="27"/>
      <c r="BD7" s="27"/>
      <c r="BE7" s="27"/>
      <c r="BF7" s="27"/>
      <c r="BG7" s="27"/>
      <c r="BH7" s="27"/>
      <c r="BI7" s="27"/>
      <c r="BJ7" s="27"/>
      <c r="BK7" s="27"/>
      <c r="BL7" s="27"/>
      <c r="BM7" s="27"/>
      <c r="BN7" s="27"/>
      <c r="BO7" s="27"/>
      <c r="BP7" s="27"/>
      <c r="BQ7" s="27"/>
      <c r="BR7" s="27"/>
      <c r="BS7" s="27"/>
      <c r="BT7" s="27"/>
      <c r="BU7" s="27"/>
      <c r="BV7" s="27"/>
      <c r="BW7" s="27"/>
      <c r="BX7" s="27"/>
      <c r="BY7" s="27"/>
      <c r="BZ7" s="27"/>
      <c r="CA7" s="27"/>
      <c r="CB7" s="27"/>
      <c r="CC7" s="27"/>
      <c r="CD7" s="27"/>
      <c r="CE7" s="27"/>
      <c r="CF7" s="27"/>
      <c r="CG7" s="27"/>
      <c r="CH7" s="27"/>
      <c r="CI7" s="27"/>
      <c r="CJ7" s="27"/>
      <c r="CK7" s="27"/>
      <c r="CL7" s="27"/>
      <c r="CM7" s="27"/>
      <c r="CN7" s="27"/>
      <c r="CO7" s="27"/>
      <c r="CP7" s="27"/>
      <c r="CQ7" s="27"/>
      <c r="CR7" s="27"/>
      <c r="CS7" s="27"/>
      <c r="CT7" s="27"/>
      <c r="CU7" s="27"/>
      <c r="CV7" s="27"/>
      <c r="CW7" s="27"/>
      <c r="CX7" s="27"/>
      <c r="CY7" s="27"/>
      <c r="CZ7" s="27"/>
      <c r="DA7" s="27"/>
      <c r="DB7" s="27"/>
      <c r="DC7" s="27"/>
      <c r="DD7" s="27"/>
      <c r="DE7" s="27"/>
      <c r="DF7" s="27"/>
      <c r="DG7" s="27"/>
      <c r="DH7" s="27"/>
      <c r="DI7" s="27"/>
      <c r="DJ7" s="27"/>
      <c r="DK7" s="27"/>
      <c r="DL7" s="27"/>
      <c r="DM7" s="27"/>
      <c r="DN7" s="27"/>
      <c r="DO7" s="27"/>
      <c r="DP7" s="27"/>
      <c r="DQ7" s="27"/>
      <c r="DR7" s="27"/>
      <c r="DS7" s="27"/>
      <c r="DT7" s="27"/>
      <c r="DU7" s="27"/>
      <c r="DV7" s="27"/>
      <c r="DW7" s="27"/>
      <c r="DX7" s="27"/>
      <c r="DY7" s="27"/>
      <c r="DZ7" s="27"/>
      <c r="EA7" s="27"/>
      <c r="EB7" s="27"/>
      <c r="EC7" s="27"/>
      <c r="ED7" s="27"/>
      <c r="EE7" s="27"/>
      <c r="EF7" s="27"/>
      <c r="EG7" s="27"/>
      <c r="EH7" s="27"/>
      <c r="EI7" s="27"/>
      <c r="EJ7" s="27"/>
      <c r="EK7" s="27"/>
      <c r="EL7" s="27"/>
      <c r="EM7" s="27"/>
      <c r="EN7" s="27"/>
      <c r="EO7" s="27"/>
      <c r="EP7" s="27"/>
      <c r="EQ7" s="27"/>
      <c r="ER7" s="27"/>
      <c r="ES7" s="27"/>
      <c r="ET7" s="27"/>
      <c r="EU7" s="27"/>
      <c r="EV7" s="27"/>
      <c r="EW7" s="27"/>
      <c r="EX7" s="27"/>
      <c r="EY7" s="27"/>
      <c r="EZ7" s="27"/>
      <c r="FA7" s="27"/>
      <c r="FB7" s="27"/>
      <c r="FC7" s="27"/>
      <c r="FD7" s="27"/>
      <c r="FE7" s="27"/>
      <c r="FF7" s="27"/>
      <c r="FG7" s="27"/>
      <c r="FH7" s="27"/>
      <c r="FI7" s="27"/>
      <c r="FJ7" s="27"/>
      <c r="FK7" s="27"/>
      <c r="FL7" s="27"/>
      <c r="FM7" s="27"/>
      <c r="FN7" s="27"/>
      <c r="FO7" s="27"/>
      <c r="FP7" s="27"/>
      <c r="FQ7" s="27"/>
      <c r="FR7" s="27"/>
      <c r="FS7" s="27"/>
      <c r="FT7" s="27"/>
      <c r="FU7" s="27"/>
      <c r="FV7" s="27"/>
      <c r="FW7" s="27"/>
      <c r="FX7" s="27"/>
      <c r="FY7" s="27"/>
      <c r="FZ7" s="27"/>
      <c r="GA7" s="27"/>
      <c r="GB7" s="27"/>
      <c r="GC7" s="27"/>
      <c r="GD7" s="27"/>
      <c r="GE7" s="27"/>
      <c r="GF7" s="27"/>
      <c r="GG7" s="27"/>
      <c r="GH7" s="27"/>
      <c r="GI7" s="27"/>
      <c r="GJ7" s="27"/>
      <c r="GK7" s="27"/>
      <c r="GL7" s="27"/>
      <c r="GM7" s="27"/>
      <c r="GN7" s="27"/>
      <c r="GO7" s="27"/>
      <c r="GP7" s="27"/>
      <c r="GQ7" s="27"/>
      <c r="GR7" s="27"/>
      <c r="GS7" s="27"/>
      <c r="GT7" s="27"/>
      <c r="GU7" s="27"/>
      <c r="GV7" s="27"/>
      <c r="GW7" s="27"/>
      <c r="GX7" s="27"/>
      <c r="GY7" s="27"/>
      <c r="GZ7" s="27"/>
      <c r="HA7" s="27"/>
      <c r="HB7" s="27"/>
      <c r="HC7" s="27"/>
      <c r="HD7" s="27"/>
      <c r="HE7" s="27"/>
      <c r="HF7" s="27"/>
      <c r="HG7" s="27"/>
      <c r="HH7" s="27"/>
      <c r="HI7" s="27"/>
      <c r="HJ7" s="27"/>
      <c r="HK7" s="27"/>
      <c r="HL7" s="27"/>
      <c r="HM7" s="27"/>
      <c r="HN7" s="27"/>
      <c r="HO7" s="27"/>
      <c r="HP7" s="27"/>
      <c r="HQ7" s="27"/>
      <c r="HR7" s="27"/>
      <c r="HS7" s="27"/>
      <c r="HT7" s="27"/>
      <c r="HU7" s="27"/>
      <c r="HV7" s="27"/>
      <c r="HW7" s="27"/>
      <c r="HX7" s="27"/>
      <c r="HY7" s="27"/>
      <c r="HZ7" s="27"/>
      <c r="IA7" s="27"/>
      <c r="IB7" s="27"/>
      <c r="IC7" s="27"/>
      <c r="ID7" s="27"/>
      <c r="IE7" s="27"/>
      <c r="IF7" s="27"/>
      <c r="IG7" s="27"/>
      <c r="IH7" s="27"/>
      <c r="II7" s="27"/>
      <c r="IJ7" s="27"/>
      <c r="IK7" s="27"/>
      <c r="IL7" s="27"/>
      <c r="IM7" s="27"/>
      <c r="IN7" s="27"/>
      <c r="IO7" s="27"/>
      <c r="IP7" s="27"/>
      <c r="IQ7" s="27"/>
      <c r="IR7" s="27"/>
    </row>
    <row r="8" spans="1:252" ht="14.4" x14ac:dyDescent="0.25">
      <c r="A8" s="111" t="s">
        <v>18</v>
      </c>
      <c r="B8" s="39"/>
      <c r="C8" s="39" t="s">
        <v>7</v>
      </c>
      <c r="D8" s="2392" t="str">
        <f>+CARAT_!F48</f>
        <v>“CREACION DEL PUENTE VEHICULAR CCANCHIS SOBRE EL RIO PAMPAS, DISTRITO DE CHUNGUI - PROVINCIA LA MAR - DEPARTAMENTO AYACUCHO”.</v>
      </c>
      <c r="E8" s="2392"/>
      <c r="F8" s="2392"/>
      <c r="G8" s="2392"/>
      <c r="H8" s="2392"/>
      <c r="I8" s="2392"/>
      <c r="J8" s="2392"/>
      <c r="K8" s="27"/>
      <c r="L8" s="501"/>
      <c r="M8" s="501"/>
      <c r="N8" s="501"/>
      <c r="O8" s="1058"/>
      <c r="P8" s="1058"/>
      <c r="Q8" s="1059"/>
      <c r="R8" s="1060"/>
      <c r="S8" s="1061"/>
      <c r="T8" s="1060"/>
      <c r="U8" s="1060"/>
      <c r="V8" s="1060"/>
      <c r="W8" s="1060"/>
      <c r="X8" s="1060"/>
      <c r="Y8" s="27"/>
      <c r="Z8" s="27"/>
      <c r="AA8" s="27"/>
      <c r="AB8" s="27"/>
      <c r="AC8" s="27"/>
      <c r="AD8" s="27"/>
      <c r="AE8" s="27"/>
      <c r="AF8" s="27"/>
      <c r="AG8" s="27"/>
      <c r="AH8" s="27"/>
      <c r="AI8" s="27"/>
      <c r="AJ8" s="27"/>
      <c r="AK8" s="27"/>
      <c r="AL8" s="27"/>
      <c r="AM8" s="27"/>
      <c r="AN8" s="27"/>
      <c r="AO8" s="27"/>
      <c r="AP8" s="27"/>
      <c r="AQ8" s="27"/>
      <c r="AR8" s="27"/>
      <c r="AS8" s="27"/>
      <c r="AT8" s="27"/>
      <c r="AU8" s="27"/>
      <c r="AV8" s="27"/>
      <c r="AW8" s="27"/>
      <c r="AX8" s="27"/>
      <c r="AY8" s="27"/>
      <c r="AZ8" s="27"/>
      <c r="BA8" s="27"/>
      <c r="BB8" s="27"/>
      <c r="BC8" s="27"/>
      <c r="BD8" s="27"/>
      <c r="BE8" s="27"/>
      <c r="BF8" s="27"/>
      <c r="BG8" s="27"/>
      <c r="BH8" s="27"/>
      <c r="BI8" s="27"/>
      <c r="BJ8" s="27"/>
      <c r="BK8" s="27"/>
      <c r="BL8" s="27"/>
      <c r="BM8" s="27"/>
      <c r="BN8" s="27"/>
      <c r="BO8" s="27"/>
      <c r="BP8" s="27"/>
      <c r="BQ8" s="27"/>
      <c r="BR8" s="27"/>
      <c r="BS8" s="27"/>
      <c r="BT8" s="27"/>
      <c r="BU8" s="27"/>
      <c r="BV8" s="27"/>
      <c r="BW8" s="27"/>
      <c r="BX8" s="27"/>
      <c r="BY8" s="27"/>
      <c r="BZ8" s="27"/>
      <c r="CA8" s="27"/>
      <c r="CB8" s="27"/>
      <c r="CC8" s="27"/>
      <c r="CD8" s="27"/>
      <c r="CE8" s="27"/>
      <c r="CF8" s="27"/>
      <c r="CG8" s="27"/>
      <c r="CH8" s="27"/>
      <c r="CI8" s="27"/>
      <c r="CJ8" s="27"/>
      <c r="CK8" s="27"/>
      <c r="CL8" s="27"/>
      <c r="CM8" s="27"/>
      <c r="CN8" s="27"/>
      <c r="CO8" s="27"/>
      <c r="CP8" s="27"/>
      <c r="CQ8" s="27"/>
      <c r="CR8" s="27"/>
      <c r="CS8" s="27"/>
      <c r="CT8" s="27"/>
      <c r="CU8" s="27"/>
      <c r="CV8" s="27"/>
      <c r="CW8" s="27"/>
      <c r="CX8" s="27"/>
      <c r="CY8" s="27"/>
      <c r="CZ8" s="27"/>
      <c r="DA8" s="27"/>
      <c r="DB8" s="27"/>
      <c r="DC8" s="27"/>
      <c r="DD8" s="27"/>
      <c r="DE8" s="27"/>
      <c r="DF8" s="27"/>
      <c r="DG8" s="27"/>
      <c r="DH8" s="27"/>
      <c r="DI8" s="27"/>
      <c r="DJ8" s="27"/>
      <c r="DK8" s="27"/>
      <c r="DL8" s="27"/>
      <c r="DM8" s="27"/>
      <c r="DN8" s="27"/>
      <c r="DO8" s="27"/>
      <c r="DP8" s="27"/>
      <c r="DQ8" s="27"/>
      <c r="DR8" s="27"/>
      <c r="DS8" s="27"/>
      <c r="DT8" s="27"/>
      <c r="DU8" s="27"/>
      <c r="DV8" s="27"/>
      <c r="DW8" s="27"/>
      <c r="DX8" s="27"/>
      <c r="DY8" s="27"/>
      <c r="DZ8" s="27"/>
      <c r="EA8" s="27"/>
      <c r="EB8" s="27"/>
      <c r="EC8" s="27"/>
      <c r="ED8" s="27"/>
      <c r="EE8" s="27"/>
      <c r="EF8" s="27"/>
      <c r="EG8" s="27"/>
      <c r="EH8" s="27"/>
      <c r="EI8" s="27"/>
      <c r="EJ8" s="27"/>
      <c r="EK8" s="27"/>
      <c r="EL8" s="27"/>
      <c r="EM8" s="27"/>
      <c r="EN8" s="27"/>
      <c r="EO8" s="27"/>
      <c r="EP8" s="27"/>
      <c r="EQ8" s="27"/>
      <c r="ER8" s="27"/>
      <c r="ES8" s="27"/>
      <c r="ET8" s="27"/>
      <c r="EU8" s="27"/>
      <c r="EV8" s="27"/>
      <c r="EW8" s="27"/>
      <c r="EX8" s="27"/>
      <c r="EY8" s="27"/>
      <c r="EZ8" s="27"/>
      <c r="FA8" s="27"/>
      <c r="FB8" s="27"/>
      <c r="FC8" s="27"/>
      <c r="FD8" s="27"/>
      <c r="FE8" s="27"/>
      <c r="FF8" s="27"/>
      <c r="FG8" s="27"/>
      <c r="FH8" s="27"/>
      <c r="FI8" s="27"/>
      <c r="FJ8" s="27"/>
      <c r="FK8" s="27"/>
      <c r="FL8" s="27"/>
      <c r="FM8" s="27"/>
      <c r="FN8" s="27"/>
      <c r="FO8" s="27"/>
      <c r="FP8" s="27"/>
      <c r="FQ8" s="27"/>
      <c r="FR8" s="27"/>
      <c r="FS8" s="27"/>
      <c r="FT8" s="27"/>
      <c r="FU8" s="27"/>
      <c r="FV8" s="27"/>
      <c r="FW8" s="27"/>
      <c r="FX8" s="27"/>
      <c r="FY8" s="27"/>
      <c r="FZ8" s="27"/>
      <c r="GA8" s="27"/>
      <c r="GB8" s="27"/>
      <c r="GC8" s="27"/>
      <c r="GD8" s="27"/>
      <c r="GE8" s="27"/>
      <c r="GF8" s="27"/>
      <c r="GG8" s="27"/>
      <c r="GH8" s="27"/>
      <c r="GI8" s="27"/>
      <c r="GJ8" s="27"/>
      <c r="GK8" s="27"/>
      <c r="GL8" s="27"/>
      <c r="GM8" s="27"/>
      <c r="GN8" s="27"/>
      <c r="GO8" s="27"/>
      <c r="GP8" s="27"/>
      <c r="GQ8" s="27"/>
      <c r="GR8" s="27"/>
      <c r="GS8" s="27"/>
      <c r="GT8" s="27"/>
      <c r="GU8" s="27"/>
      <c r="GV8" s="27"/>
      <c r="GW8" s="27"/>
      <c r="GX8" s="27"/>
      <c r="GY8" s="27"/>
      <c r="GZ8" s="27"/>
      <c r="HA8" s="27"/>
      <c r="HB8" s="27"/>
      <c r="HC8" s="27"/>
      <c r="HD8" s="27"/>
      <c r="HE8" s="27"/>
      <c r="HF8" s="27"/>
      <c r="HG8" s="27"/>
      <c r="HH8" s="27"/>
      <c r="HI8" s="27"/>
      <c r="HJ8" s="27"/>
      <c r="HK8" s="27"/>
      <c r="HL8" s="27"/>
      <c r="HM8" s="27"/>
      <c r="HN8" s="27"/>
      <c r="HO8" s="27"/>
      <c r="HP8" s="27"/>
      <c r="HQ8" s="27"/>
      <c r="HR8" s="27"/>
      <c r="HS8" s="27"/>
      <c r="HT8" s="27"/>
      <c r="HU8" s="27"/>
      <c r="HV8" s="27"/>
      <c r="HW8" s="27"/>
      <c r="HX8" s="27"/>
      <c r="HY8" s="27"/>
      <c r="HZ8" s="27"/>
      <c r="IA8" s="27"/>
      <c r="IB8" s="27"/>
      <c r="IC8" s="27"/>
      <c r="ID8" s="27"/>
      <c r="IE8" s="27"/>
      <c r="IF8" s="27"/>
      <c r="IG8" s="27"/>
      <c r="IH8" s="27"/>
      <c r="II8" s="27"/>
      <c r="IJ8" s="27"/>
      <c r="IK8" s="27"/>
      <c r="IL8" s="27"/>
      <c r="IM8" s="27"/>
      <c r="IN8" s="27"/>
      <c r="IO8" s="27"/>
      <c r="IP8" s="27"/>
      <c r="IQ8" s="27"/>
      <c r="IR8" s="27"/>
    </row>
    <row r="9" spans="1:252" ht="11.25" customHeight="1" x14ac:dyDescent="0.3">
      <c r="A9" s="40"/>
      <c r="B9" s="39"/>
      <c r="C9" s="39"/>
      <c r="D9" s="2392"/>
      <c r="E9" s="2392"/>
      <c r="F9" s="2392"/>
      <c r="G9" s="2392"/>
      <c r="H9" s="2392"/>
      <c r="I9" s="2392"/>
      <c r="J9" s="2392"/>
      <c r="K9" s="27"/>
      <c r="L9" s="1070"/>
      <c r="M9" s="2364"/>
      <c r="N9" s="2364"/>
      <c r="O9" s="1062"/>
      <c r="P9" s="1063"/>
      <c r="Q9" s="1064"/>
      <c r="R9" s="1065"/>
      <c r="S9" s="1066"/>
      <c r="T9" s="1065"/>
      <c r="U9" s="1066"/>
      <c r="V9" s="1065"/>
      <c r="W9" s="1066"/>
      <c r="X9" s="1065"/>
      <c r="Y9" s="27"/>
      <c r="Z9" s="27"/>
      <c r="AA9" s="27"/>
      <c r="AB9" s="27"/>
      <c r="AC9" s="27"/>
      <c r="AD9" s="27"/>
      <c r="AE9" s="27"/>
      <c r="AF9" s="27"/>
      <c r="AG9" s="27"/>
      <c r="AH9" s="27"/>
      <c r="AI9" s="27"/>
      <c r="AJ9" s="27"/>
      <c r="AK9" s="27"/>
      <c r="AL9" s="27"/>
      <c r="AM9" s="27"/>
      <c r="AN9" s="27"/>
      <c r="AO9" s="27"/>
      <c r="AP9" s="27"/>
      <c r="AQ9" s="27"/>
      <c r="AR9" s="27"/>
      <c r="AS9" s="27"/>
      <c r="AT9" s="27"/>
      <c r="AU9" s="27"/>
      <c r="AV9" s="27"/>
      <c r="AW9" s="27"/>
      <c r="AX9" s="27"/>
      <c r="AY9" s="27"/>
      <c r="AZ9" s="27"/>
      <c r="BA9" s="27"/>
      <c r="BB9" s="27"/>
      <c r="BC9" s="27"/>
      <c r="BD9" s="27"/>
      <c r="BE9" s="27"/>
      <c r="BF9" s="27"/>
      <c r="BG9" s="27"/>
      <c r="BH9" s="27"/>
      <c r="BI9" s="27"/>
      <c r="BJ9" s="27"/>
      <c r="BK9" s="27"/>
      <c r="BL9" s="27"/>
      <c r="BM9" s="27"/>
      <c r="BN9" s="27"/>
      <c r="BO9" s="27"/>
      <c r="BP9" s="27"/>
      <c r="BQ9" s="27"/>
      <c r="BR9" s="27"/>
      <c r="BS9" s="27"/>
      <c r="BT9" s="27"/>
      <c r="BU9" s="27"/>
      <c r="BV9" s="27"/>
      <c r="BW9" s="27"/>
      <c r="BX9" s="27"/>
      <c r="BY9" s="27"/>
      <c r="BZ9" s="27"/>
      <c r="CA9" s="27"/>
      <c r="CB9" s="27"/>
      <c r="CC9" s="27"/>
      <c r="CD9" s="27"/>
      <c r="CE9" s="27"/>
      <c r="CF9" s="27"/>
      <c r="CG9" s="27"/>
      <c r="CH9" s="27"/>
      <c r="CI9" s="27"/>
      <c r="CJ9" s="27"/>
      <c r="CK9" s="27"/>
      <c r="CL9" s="27"/>
      <c r="CM9" s="27"/>
      <c r="CN9" s="27"/>
      <c r="CO9" s="27"/>
      <c r="CP9" s="27"/>
      <c r="CQ9" s="27"/>
      <c r="CR9" s="27"/>
      <c r="CS9" s="27"/>
      <c r="CT9" s="27"/>
      <c r="CU9" s="27"/>
      <c r="CV9" s="27"/>
      <c r="CW9" s="27"/>
      <c r="CX9" s="27"/>
      <c r="CY9" s="27"/>
      <c r="CZ9" s="27"/>
      <c r="DA9" s="27"/>
      <c r="DB9" s="27"/>
      <c r="DC9" s="27"/>
      <c r="DD9" s="27"/>
      <c r="DE9" s="27"/>
      <c r="DF9" s="27"/>
      <c r="DG9" s="27"/>
      <c r="DH9" s="27"/>
      <c r="DI9" s="27"/>
      <c r="DJ9" s="27"/>
      <c r="DK9" s="27"/>
      <c r="DL9" s="27"/>
      <c r="DM9" s="27"/>
      <c r="DN9" s="27"/>
      <c r="DO9" s="27"/>
      <c r="DP9" s="27"/>
      <c r="DQ9" s="27"/>
      <c r="DR9" s="27"/>
      <c r="DS9" s="27"/>
      <c r="DT9" s="27"/>
      <c r="DU9" s="27"/>
      <c r="DV9" s="27"/>
      <c r="DW9" s="27"/>
      <c r="DX9" s="27"/>
      <c r="DY9" s="27"/>
      <c r="DZ9" s="27"/>
      <c r="EA9" s="27"/>
      <c r="EB9" s="27"/>
      <c r="EC9" s="27"/>
      <c r="ED9" s="27"/>
      <c r="EE9" s="27"/>
      <c r="EF9" s="27"/>
      <c r="EG9" s="27"/>
      <c r="EH9" s="27"/>
      <c r="EI9" s="27"/>
      <c r="EJ9" s="27"/>
      <c r="EK9" s="27"/>
      <c r="EL9" s="27"/>
      <c r="EM9" s="27"/>
      <c r="EN9" s="27"/>
      <c r="EO9" s="27"/>
      <c r="EP9" s="27"/>
      <c r="EQ9" s="27"/>
      <c r="ER9" s="27"/>
      <c r="ES9" s="27"/>
      <c r="ET9" s="27"/>
      <c r="EU9" s="27"/>
      <c r="EV9" s="27"/>
      <c r="EW9" s="27"/>
      <c r="EX9" s="27"/>
      <c r="EY9" s="27"/>
      <c r="EZ9" s="27"/>
      <c r="FA9" s="27"/>
      <c r="FB9" s="27"/>
      <c r="FC9" s="27"/>
      <c r="FD9" s="27"/>
      <c r="FE9" s="27"/>
      <c r="FF9" s="27"/>
      <c r="FG9" s="27"/>
      <c r="FH9" s="27"/>
      <c r="FI9" s="27"/>
      <c r="FJ9" s="27"/>
      <c r="FK9" s="27"/>
      <c r="FL9" s="27"/>
      <c r="FM9" s="27"/>
      <c r="FN9" s="27"/>
      <c r="FO9" s="27"/>
      <c r="FP9" s="27"/>
      <c r="FQ9" s="27"/>
      <c r="FR9" s="27"/>
      <c r="FS9" s="27"/>
      <c r="FT9" s="27"/>
      <c r="FU9" s="27"/>
      <c r="FV9" s="27"/>
      <c r="FW9" s="27"/>
      <c r="FX9" s="27"/>
      <c r="FY9" s="27"/>
      <c r="FZ9" s="27"/>
      <c r="GA9" s="27"/>
      <c r="GB9" s="27"/>
      <c r="GC9" s="27"/>
      <c r="GD9" s="27"/>
      <c r="GE9" s="27"/>
      <c r="GF9" s="27"/>
      <c r="GG9" s="27"/>
      <c r="GH9" s="27"/>
      <c r="GI9" s="27"/>
      <c r="GJ9" s="27"/>
      <c r="GK9" s="27"/>
      <c r="GL9" s="27"/>
      <c r="GM9" s="27"/>
      <c r="GN9" s="27"/>
      <c r="GO9" s="27"/>
      <c r="GP9" s="27"/>
      <c r="GQ9" s="27"/>
      <c r="GR9" s="27"/>
      <c r="GS9" s="27"/>
      <c r="GT9" s="27"/>
      <c r="GU9" s="27"/>
      <c r="GV9" s="27"/>
      <c r="GW9" s="27"/>
      <c r="GX9" s="27"/>
      <c r="GY9" s="27"/>
      <c r="GZ9" s="27"/>
      <c r="HA9" s="27"/>
      <c r="HB9" s="27"/>
      <c r="HC9" s="27"/>
      <c r="HD9" s="27"/>
      <c r="HE9" s="27"/>
      <c r="HF9" s="27"/>
      <c r="HG9" s="27"/>
      <c r="HH9" s="27"/>
      <c r="HI9" s="27"/>
      <c r="HJ9" s="27"/>
      <c r="HK9" s="27"/>
      <c r="HL9" s="27"/>
      <c r="HM9" s="27"/>
      <c r="HN9" s="27"/>
      <c r="HO9" s="27"/>
      <c r="HP9" s="27"/>
      <c r="HQ9" s="27"/>
      <c r="HR9" s="27"/>
      <c r="HS9" s="27"/>
      <c r="HT9" s="27"/>
      <c r="HU9" s="27"/>
      <c r="HV9" s="27"/>
      <c r="HW9" s="27"/>
      <c r="HX9" s="27"/>
      <c r="HY9" s="27"/>
      <c r="HZ9" s="27"/>
      <c r="IA9" s="27"/>
      <c r="IB9" s="27"/>
      <c r="IC9" s="27"/>
      <c r="ID9" s="27"/>
      <c r="IE9" s="27"/>
      <c r="IF9" s="27"/>
      <c r="IG9" s="27"/>
      <c r="IH9" s="27"/>
      <c r="II9" s="27"/>
      <c r="IJ9" s="27"/>
      <c r="IK9" s="27"/>
      <c r="IL9" s="27"/>
      <c r="IM9" s="27"/>
      <c r="IN9" s="27"/>
      <c r="IO9" s="27"/>
      <c r="IP9" s="27"/>
      <c r="IQ9" s="27"/>
      <c r="IR9" s="27"/>
    </row>
    <row r="10" spans="1:252" ht="14.4" x14ac:dyDescent="0.3">
      <c r="A10" s="39" t="s">
        <v>1</v>
      </c>
      <c r="B10" s="39"/>
      <c r="C10" s="39" t="s">
        <v>7</v>
      </c>
      <c r="D10" s="66" t="str">
        <f>CARAT_!$F$52</f>
        <v>SIMA PERU S.A.</v>
      </c>
      <c r="E10" s="39"/>
      <c r="F10" s="33"/>
      <c r="G10" s="33"/>
      <c r="H10" s="33"/>
      <c r="I10" s="33"/>
      <c r="J10" s="33"/>
      <c r="K10" s="27"/>
      <c r="L10" s="1070"/>
      <c r="M10" s="2364"/>
      <c r="N10" s="2364"/>
      <c r="O10" s="1062"/>
      <c r="P10" s="1063"/>
      <c r="Q10" s="1064"/>
      <c r="R10" s="1065"/>
      <c r="S10" s="1066"/>
      <c r="T10" s="1065"/>
      <c r="U10" s="1066"/>
      <c r="V10" s="1065"/>
      <c r="W10" s="1066"/>
      <c r="X10" s="1065"/>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27"/>
      <c r="BC10" s="27"/>
      <c r="BD10" s="27"/>
      <c r="BE10" s="27"/>
      <c r="BF10" s="27"/>
      <c r="BG10" s="27"/>
      <c r="BH10" s="27"/>
      <c r="BI10" s="27"/>
      <c r="BJ10" s="27"/>
      <c r="BK10" s="27"/>
      <c r="BL10" s="27"/>
      <c r="BM10" s="27"/>
      <c r="BN10" s="27"/>
      <c r="BO10" s="27"/>
      <c r="BP10" s="27"/>
      <c r="BQ10" s="27"/>
      <c r="BR10" s="27"/>
      <c r="BS10" s="27"/>
      <c r="BT10" s="27"/>
      <c r="BU10" s="27"/>
      <c r="BV10" s="27"/>
      <c r="BW10" s="27"/>
      <c r="BX10" s="27"/>
      <c r="BY10" s="27"/>
      <c r="BZ10" s="27"/>
      <c r="CA10" s="27"/>
      <c r="CB10" s="27"/>
      <c r="CC10" s="27"/>
      <c r="CD10" s="27"/>
      <c r="CE10" s="27"/>
      <c r="CF10" s="27"/>
      <c r="CG10" s="27"/>
      <c r="CH10" s="27"/>
      <c r="CI10" s="27"/>
      <c r="CJ10" s="27"/>
      <c r="CK10" s="27"/>
      <c r="CL10" s="27"/>
      <c r="CM10" s="27"/>
      <c r="CN10" s="27"/>
      <c r="CO10" s="27"/>
      <c r="CP10" s="27"/>
      <c r="CQ10" s="27"/>
      <c r="CR10" s="27"/>
      <c r="CS10" s="27"/>
      <c r="CT10" s="27"/>
      <c r="CU10" s="27"/>
      <c r="CV10" s="27"/>
      <c r="CW10" s="27"/>
      <c r="CX10" s="27"/>
      <c r="CY10" s="27"/>
      <c r="CZ10" s="27"/>
      <c r="DA10" s="27"/>
      <c r="DB10" s="27"/>
      <c r="DC10" s="27"/>
      <c r="DD10" s="27"/>
      <c r="DE10" s="27"/>
      <c r="DF10" s="27"/>
      <c r="DG10" s="27"/>
      <c r="DH10" s="27"/>
      <c r="DI10" s="27"/>
      <c r="DJ10" s="27"/>
      <c r="DK10" s="27"/>
      <c r="DL10" s="27"/>
      <c r="DM10" s="27"/>
      <c r="DN10" s="27"/>
      <c r="DO10" s="27"/>
      <c r="DP10" s="27"/>
      <c r="DQ10" s="27"/>
      <c r="DR10" s="27"/>
      <c r="DS10" s="27"/>
      <c r="DT10" s="27"/>
      <c r="DU10" s="27"/>
      <c r="DV10" s="27"/>
      <c r="DW10" s="27"/>
      <c r="DX10" s="27"/>
      <c r="DY10" s="27"/>
      <c r="DZ10" s="27"/>
      <c r="EA10" s="27"/>
      <c r="EB10" s="27"/>
      <c r="EC10" s="27"/>
      <c r="ED10" s="27"/>
      <c r="EE10" s="27"/>
      <c r="EF10" s="27"/>
      <c r="EG10" s="27"/>
      <c r="EH10" s="27"/>
      <c r="EI10" s="27"/>
      <c r="EJ10" s="27"/>
      <c r="EK10" s="27"/>
      <c r="EL10" s="27"/>
      <c r="EM10" s="27"/>
      <c r="EN10" s="27"/>
      <c r="EO10" s="27"/>
      <c r="EP10" s="27"/>
      <c r="EQ10" s="27"/>
      <c r="ER10" s="27"/>
      <c r="ES10" s="27"/>
      <c r="ET10" s="27"/>
      <c r="EU10" s="27"/>
      <c r="EV10" s="27"/>
      <c r="EW10" s="27"/>
      <c r="EX10" s="27"/>
      <c r="EY10" s="27"/>
      <c r="EZ10" s="27"/>
      <c r="FA10" s="27"/>
      <c r="FB10" s="27"/>
      <c r="FC10" s="27"/>
      <c r="FD10" s="27"/>
      <c r="FE10" s="27"/>
      <c r="FF10" s="27"/>
      <c r="FG10" s="27"/>
      <c r="FH10" s="27"/>
      <c r="FI10" s="27"/>
      <c r="FJ10" s="27"/>
      <c r="FK10" s="27"/>
      <c r="FL10" s="27"/>
      <c r="FM10" s="27"/>
      <c r="FN10" s="27"/>
      <c r="FO10" s="27"/>
      <c r="FP10" s="27"/>
      <c r="FQ10" s="27"/>
      <c r="FR10" s="27"/>
      <c r="FS10" s="27"/>
      <c r="FT10" s="27"/>
      <c r="FU10" s="27"/>
      <c r="FV10" s="27"/>
      <c r="FW10" s="27"/>
      <c r="FX10" s="27"/>
      <c r="FY10" s="27"/>
      <c r="FZ10" s="27"/>
      <c r="GA10" s="27"/>
      <c r="GB10" s="27"/>
      <c r="GC10" s="27"/>
      <c r="GD10" s="27"/>
      <c r="GE10" s="27"/>
      <c r="GF10" s="27"/>
      <c r="GG10" s="27"/>
      <c r="GH10" s="27"/>
      <c r="GI10" s="27"/>
      <c r="GJ10" s="27"/>
      <c r="GK10" s="27"/>
      <c r="GL10" s="27"/>
      <c r="GM10" s="27"/>
      <c r="GN10" s="27"/>
      <c r="GO10" s="27"/>
      <c r="GP10" s="27"/>
      <c r="GQ10" s="27"/>
      <c r="GR10" s="27"/>
      <c r="GS10" s="27"/>
      <c r="GT10" s="27"/>
      <c r="GU10" s="27"/>
      <c r="GV10" s="27"/>
      <c r="GW10" s="27"/>
      <c r="GX10" s="27"/>
      <c r="GY10" s="27"/>
      <c r="GZ10" s="27"/>
      <c r="HA10" s="27"/>
      <c r="HB10" s="27"/>
      <c r="HC10" s="27"/>
      <c r="HD10" s="27"/>
      <c r="HE10" s="27"/>
      <c r="HF10" s="27"/>
      <c r="HG10" s="27"/>
      <c r="HH10" s="27"/>
      <c r="HI10" s="27"/>
      <c r="HJ10" s="27"/>
      <c r="HK10" s="27"/>
      <c r="HL10" s="27"/>
      <c r="HM10" s="27"/>
      <c r="HN10" s="27"/>
      <c r="HO10" s="27"/>
      <c r="HP10" s="27"/>
      <c r="HQ10" s="27"/>
      <c r="HR10" s="27"/>
      <c r="HS10" s="27"/>
      <c r="HT10" s="27"/>
      <c r="HU10" s="27"/>
      <c r="HV10" s="27"/>
      <c r="HW10" s="27"/>
      <c r="HX10" s="27"/>
      <c r="HY10" s="27"/>
      <c r="HZ10" s="27"/>
      <c r="IA10" s="27"/>
      <c r="IB10" s="27"/>
      <c r="IC10" s="27"/>
      <c r="ID10" s="27"/>
      <c r="IE10" s="27"/>
      <c r="IF10" s="27"/>
      <c r="IG10" s="27"/>
      <c r="IH10" s="27"/>
      <c r="II10" s="27"/>
      <c r="IJ10" s="27"/>
      <c r="IK10" s="27"/>
      <c r="IL10" s="27"/>
      <c r="IM10" s="27"/>
      <c r="IN10" s="27"/>
      <c r="IO10" s="27"/>
      <c r="IP10" s="27"/>
      <c r="IQ10" s="27"/>
      <c r="IR10" s="27"/>
    </row>
    <row r="11" spans="1:252" ht="15" x14ac:dyDescent="0.35">
      <c r="A11" s="39" t="s">
        <v>25</v>
      </c>
      <c r="B11" s="39"/>
      <c r="C11" s="39" t="s">
        <v>7</v>
      </c>
      <c r="D11" s="66" t="str">
        <f>CARAT_!$F$53</f>
        <v>SUB GERENCIA DE SUPERVISION Y LIQUIDACION</v>
      </c>
      <c r="E11" s="39"/>
      <c r="F11" s="33"/>
      <c r="G11" s="33"/>
      <c r="H11" s="33"/>
      <c r="I11" s="33"/>
      <c r="J11" s="33"/>
      <c r="K11" s="27"/>
      <c r="L11" s="1071"/>
      <c r="M11" s="2365"/>
      <c r="N11" s="2365"/>
      <c r="O11" s="1030"/>
      <c r="P11" s="1035"/>
      <c r="Q11" s="1031"/>
      <c r="R11" s="1032"/>
      <c r="S11" s="1033"/>
      <c r="T11" s="1032"/>
      <c r="U11" s="1034"/>
      <c r="V11" s="1032"/>
      <c r="W11" s="1034"/>
      <c r="X11" s="1032"/>
      <c r="Y11" s="27"/>
      <c r="Z11" s="27"/>
      <c r="AA11" s="27"/>
      <c r="AB11" s="27"/>
      <c r="AC11" s="27"/>
      <c r="AD11" s="27"/>
      <c r="AE11" s="27"/>
      <c r="AF11" s="27"/>
      <c r="AG11" s="27"/>
      <c r="AH11" s="27"/>
      <c r="AI11" s="27"/>
      <c r="AJ11" s="27"/>
      <c r="AK11" s="27"/>
      <c r="AL11" s="27"/>
      <c r="AM11" s="27"/>
      <c r="AN11" s="27"/>
      <c r="AO11" s="27"/>
      <c r="AP11" s="27"/>
      <c r="AQ11" s="27"/>
      <c r="AR11" s="27"/>
      <c r="AS11" s="27"/>
      <c r="AT11" s="27"/>
      <c r="AU11" s="27"/>
      <c r="AV11" s="27"/>
      <c r="AW11" s="27"/>
      <c r="AX11" s="27"/>
      <c r="AY11" s="27"/>
      <c r="AZ11" s="27"/>
      <c r="BA11" s="27"/>
      <c r="BB11" s="27"/>
      <c r="BC11" s="27"/>
      <c r="BD11" s="27"/>
      <c r="BE11" s="27"/>
      <c r="BF11" s="27"/>
      <c r="BG11" s="27"/>
      <c r="BH11" s="27"/>
      <c r="BI11" s="27"/>
      <c r="BJ11" s="27"/>
      <c r="BK11" s="27"/>
      <c r="BL11" s="27"/>
      <c r="BM11" s="27"/>
      <c r="BN11" s="27"/>
      <c r="BO11" s="27"/>
      <c r="BP11" s="27"/>
      <c r="BQ11" s="27"/>
      <c r="BR11" s="27"/>
      <c r="BS11" s="27"/>
      <c r="BT11" s="27"/>
      <c r="BU11" s="27"/>
      <c r="BV11" s="27"/>
      <c r="BW11" s="27"/>
      <c r="BX11" s="27"/>
      <c r="BY11" s="27"/>
      <c r="BZ11" s="27"/>
      <c r="CA11" s="27"/>
      <c r="CB11" s="27"/>
      <c r="CC11" s="27"/>
      <c r="CD11" s="27"/>
      <c r="CE11" s="27"/>
      <c r="CF11" s="27"/>
      <c r="CG11" s="27"/>
      <c r="CH11" s="27"/>
      <c r="CI11" s="27"/>
      <c r="CJ11" s="27"/>
      <c r="CK11" s="27"/>
      <c r="CL11" s="27"/>
      <c r="CM11" s="27"/>
      <c r="CN11" s="27"/>
      <c r="CO11" s="27"/>
      <c r="CP11" s="27"/>
      <c r="CQ11" s="27"/>
      <c r="CR11" s="27"/>
      <c r="CS11" s="27"/>
      <c r="CT11" s="27"/>
      <c r="CU11" s="27"/>
      <c r="CV11" s="27"/>
      <c r="CW11" s="27"/>
      <c r="CX11" s="27"/>
      <c r="CY11" s="27"/>
      <c r="CZ11" s="27"/>
      <c r="DA11" s="27"/>
      <c r="DB11" s="27"/>
      <c r="DC11" s="27"/>
      <c r="DD11" s="27"/>
      <c r="DE11" s="27"/>
      <c r="DF11" s="27"/>
      <c r="DG11" s="27"/>
      <c r="DH11" s="27"/>
      <c r="DI11" s="27"/>
      <c r="DJ11" s="27"/>
      <c r="DK11" s="27"/>
      <c r="DL11" s="27"/>
      <c r="DM11" s="27"/>
      <c r="DN11" s="27"/>
      <c r="DO11" s="27"/>
      <c r="DP11" s="27"/>
      <c r="DQ11" s="27"/>
      <c r="DR11" s="27"/>
      <c r="DS11" s="27"/>
      <c r="DT11" s="27"/>
      <c r="DU11" s="27"/>
      <c r="DV11" s="27"/>
      <c r="DW11" s="27"/>
      <c r="DX11" s="27"/>
      <c r="DY11" s="27"/>
      <c r="DZ11" s="27"/>
      <c r="EA11" s="27"/>
      <c r="EB11" s="27"/>
      <c r="EC11" s="27"/>
      <c r="ED11" s="27"/>
      <c r="EE11" s="27"/>
      <c r="EF11" s="27"/>
      <c r="EG11" s="27"/>
      <c r="EH11" s="27"/>
      <c r="EI11" s="27"/>
      <c r="EJ11" s="27"/>
      <c r="EK11" s="27"/>
      <c r="EL11" s="27"/>
      <c r="EM11" s="27"/>
      <c r="EN11" s="27"/>
      <c r="EO11" s="27"/>
      <c r="EP11" s="27"/>
      <c r="EQ11" s="27"/>
      <c r="ER11" s="27"/>
      <c r="ES11" s="27"/>
      <c r="ET11" s="27"/>
      <c r="EU11" s="27"/>
      <c r="EV11" s="27"/>
      <c r="EW11" s="27"/>
      <c r="EX11" s="27"/>
      <c r="EY11" s="27"/>
      <c r="EZ11" s="27"/>
      <c r="FA11" s="27"/>
      <c r="FB11" s="27"/>
      <c r="FC11" s="27"/>
      <c r="FD11" s="27"/>
      <c r="FE11" s="27"/>
      <c r="FF11" s="27"/>
      <c r="FG11" s="27"/>
      <c r="FH11" s="27"/>
      <c r="FI11" s="27"/>
      <c r="FJ11" s="27"/>
      <c r="FK11" s="27"/>
      <c r="FL11" s="27"/>
      <c r="FM11" s="27"/>
      <c r="FN11" s="27"/>
      <c r="FO11" s="27"/>
      <c r="FP11" s="27"/>
      <c r="FQ11" s="27"/>
      <c r="FR11" s="27"/>
      <c r="FS11" s="27"/>
      <c r="FT11" s="27"/>
      <c r="FU11" s="27"/>
      <c r="FV11" s="27"/>
      <c r="FW11" s="27"/>
      <c r="FX11" s="27"/>
      <c r="FY11" s="27"/>
      <c r="FZ11" s="27"/>
      <c r="GA11" s="27"/>
      <c r="GB11" s="27"/>
      <c r="GC11" s="27"/>
      <c r="GD11" s="27"/>
      <c r="GE11" s="27"/>
      <c r="GF11" s="27"/>
      <c r="GG11" s="27"/>
      <c r="GH11" s="27"/>
      <c r="GI11" s="27"/>
      <c r="GJ11" s="27"/>
      <c r="GK11" s="27"/>
      <c r="GL11" s="27"/>
      <c r="GM11" s="27"/>
      <c r="GN11" s="27"/>
      <c r="GO11" s="27"/>
      <c r="GP11" s="27"/>
      <c r="GQ11" s="27"/>
      <c r="GR11" s="27"/>
      <c r="GS11" s="27"/>
      <c r="GT11" s="27"/>
      <c r="GU11" s="27"/>
      <c r="GV11" s="27"/>
      <c r="GW11" s="27"/>
      <c r="GX11" s="27"/>
      <c r="GY11" s="27"/>
      <c r="GZ11" s="27"/>
      <c r="HA11" s="27"/>
      <c r="HB11" s="27"/>
      <c r="HC11" s="27"/>
      <c r="HD11" s="27"/>
      <c r="HE11" s="27"/>
      <c r="HF11" s="27"/>
      <c r="HG11" s="27"/>
      <c r="HH11" s="27"/>
      <c r="HI11" s="27"/>
      <c r="HJ11" s="27"/>
      <c r="HK11" s="27"/>
      <c r="HL11" s="27"/>
      <c r="HM11" s="27"/>
      <c r="HN11" s="27"/>
      <c r="HO11" s="27"/>
      <c r="HP11" s="27"/>
      <c r="HQ11" s="27"/>
      <c r="HR11" s="27"/>
      <c r="HS11" s="27"/>
      <c r="HT11" s="27"/>
      <c r="HU11" s="27"/>
      <c r="HV11" s="27"/>
      <c r="HW11" s="27"/>
      <c r="HX11" s="27"/>
      <c r="HY11" s="27"/>
      <c r="HZ11" s="27"/>
      <c r="IA11" s="27"/>
      <c r="IB11" s="27"/>
      <c r="IC11" s="27"/>
      <c r="ID11" s="27"/>
      <c r="IE11" s="27"/>
      <c r="IF11" s="27"/>
      <c r="IG11" s="27"/>
      <c r="IH11" s="27"/>
      <c r="II11" s="27"/>
      <c r="IJ11" s="27"/>
      <c r="IK11" s="27"/>
      <c r="IL11" s="27"/>
      <c r="IM11" s="27"/>
      <c r="IN11" s="27"/>
      <c r="IO11" s="27"/>
      <c r="IP11" s="27"/>
      <c r="IQ11" s="27"/>
      <c r="IR11" s="27"/>
    </row>
    <row r="12" spans="1:252" ht="14.4" x14ac:dyDescent="0.3">
      <c r="A12" s="39" t="s">
        <v>3</v>
      </c>
      <c r="B12" s="39"/>
      <c r="C12" s="39" t="s">
        <v>7</v>
      </c>
      <c r="D12" s="66" t="str">
        <f>CARAT_!$F$54</f>
        <v>MES DE DICIEMBRE DE 2022</v>
      </c>
      <c r="E12" s="39"/>
      <c r="F12" s="33"/>
      <c r="G12" s="33"/>
      <c r="H12" s="33"/>
      <c r="I12" s="33"/>
      <c r="J12" s="33"/>
      <c r="K12" s="27"/>
      <c r="L12" s="1070"/>
      <c r="M12" s="1072"/>
      <c r="N12" s="1072"/>
      <c r="O12" s="1067"/>
      <c r="P12" s="1037"/>
      <c r="Q12" s="1068"/>
      <c r="R12" s="1069"/>
      <c r="S12" s="1068"/>
      <c r="T12" s="1069"/>
      <c r="U12" s="1068"/>
      <c r="V12" s="1069"/>
      <c r="W12" s="1068"/>
      <c r="X12" s="1069"/>
      <c r="Y12" s="27"/>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7"/>
      <c r="CA12" s="27"/>
      <c r="CB12" s="27"/>
      <c r="CC12" s="27"/>
      <c r="CD12" s="27"/>
      <c r="CE12" s="27"/>
      <c r="CF12" s="27"/>
      <c r="CG12" s="27"/>
      <c r="CH12" s="27"/>
      <c r="CI12" s="27"/>
      <c r="CJ12" s="27"/>
      <c r="CK12" s="27"/>
      <c r="CL12" s="27"/>
      <c r="CM12" s="27"/>
      <c r="CN12" s="27"/>
      <c r="CO12" s="27"/>
      <c r="CP12" s="27"/>
      <c r="CQ12" s="27"/>
      <c r="CR12" s="27"/>
      <c r="CS12" s="27"/>
      <c r="CT12" s="27"/>
      <c r="CU12" s="27"/>
      <c r="CV12" s="27"/>
      <c r="CW12" s="27"/>
      <c r="CX12" s="27"/>
      <c r="CY12" s="27"/>
      <c r="CZ12" s="27"/>
      <c r="DA12" s="27"/>
      <c r="DB12" s="27"/>
      <c r="DC12" s="27"/>
      <c r="DD12" s="27"/>
      <c r="DE12" s="27"/>
      <c r="DF12" s="27"/>
      <c r="DG12" s="27"/>
      <c r="DH12" s="27"/>
      <c r="DI12" s="27"/>
      <c r="DJ12" s="27"/>
      <c r="DK12" s="27"/>
      <c r="DL12" s="27"/>
      <c r="DM12" s="27"/>
      <c r="DN12" s="27"/>
      <c r="DO12" s="27"/>
      <c r="DP12" s="27"/>
      <c r="DQ12" s="27"/>
      <c r="DR12" s="27"/>
      <c r="DS12" s="27"/>
      <c r="DT12" s="27"/>
      <c r="DU12" s="27"/>
      <c r="DV12" s="27"/>
      <c r="DW12" s="27"/>
      <c r="DX12" s="27"/>
      <c r="DY12" s="27"/>
      <c r="DZ12" s="27"/>
      <c r="EA12" s="27"/>
      <c r="EB12" s="27"/>
      <c r="EC12" s="27"/>
      <c r="ED12" s="27"/>
      <c r="EE12" s="27"/>
      <c r="EF12" s="27"/>
      <c r="EG12" s="27"/>
      <c r="EH12" s="27"/>
      <c r="EI12" s="27"/>
      <c r="EJ12" s="27"/>
      <c r="EK12" s="27"/>
      <c r="EL12" s="27"/>
      <c r="EM12" s="27"/>
      <c r="EN12" s="27"/>
      <c r="EO12" s="27"/>
      <c r="EP12" s="27"/>
      <c r="EQ12" s="27"/>
      <c r="ER12" s="27"/>
      <c r="ES12" s="27"/>
      <c r="ET12" s="27"/>
      <c r="EU12" s="27"/>
      <c r="EV12" s="27"/>
      <c r="EW12" s="27"/>
      <c r="EX12" s="27"/>
      <c r="EY12" s="27"/>
      <c r="EZ12" s="27"/>
      <c r="FA12" s="27"/>
      <c r="FB12" s="27"/>
      <c r="FC12" s="27"/>
      <c r="FD12" s="27"/>
      <c r="FE12" s="27"/>
      <c r="FF12" s="27"/>
      <c r="FG12" s="27"/>
      <c r="FH12" s="27"/>
      <c r="FI12" s="27"/>
      <c r="FJ12" s="27"/>
      <c r="FK12" s="27"/>
      <c r="FL12" s="27"/>
      <c r="FM12" s="27"/>
      <c r="FN12" s="27"/>
      <c r="FO12" s="27"/>
      <c r="FP12" s="27"/>
      <c r="FQ12" s="27"/>
      <c r="FR12" s="27"/>
      <c r="FS12" s="27"/>
      <c r="FT12" s="27"/>
      <c r="FU12" s="27"/>
      <c r="FV12" s="27"/>
      <c r="FW12" s="27"/>
      <c r="FX12" s="27"/>
      <c r="FY12" s="27"/>
      <c r="FZ12" s="27"/>
      <c r="GA12" s="27"/>
      <c r="GB12" s="27"/>
      <c r="GC12" s="27"/>
      <c r="GD12" s="27"/>
      <c r="GE12" s="27"/>
      <c r="GF12" s="27"/>
      <c r="GG12" s="27"/>
      <c r="GH12" s="27"/>
      <c r="GI12" s="27"/>
      <c r="GJ12" s="27"/>
      <c r="GK12" s="27"/>
      <c r="GL12" s="27"/>
      <c r="GM12" s="27"/>
      <c r="GN12" s="27"/>
      <c r="GO12" s="27"/>
      <c r="GP12" s="27"/>
      <c r="GQ12" s="27"/>
      <c r="GR12" s="27"/>
      <c r="GS12" s="27"/>
      <c r="GT12" s="27"/>
      <c r="GU12" s="27"/>
      <c r="GV12" s="27"/>
      <c r="GW12" s="27"/>
      <c r="GX12" s="27"/>
      <c r="GY12" s="27"/>
      <c r="GZ12" s="27"/>
      <c r="HA12" s="27"/>
      <c r="HB12" s="27"/>
      <c r="HC12" s="27"/>
      <c r="HD12" s="27"/>
      <c r="HE12" s="27"/>
      <c r="HF12" s="27"/>
      <c r="HG12" s="27"/>
      <c r="HH12" s="27"/>
      <c r="HI12" s="27"/>
      <c r="HJ12" s="27"/>
      <c r="HK12" s="27"/>
      <c r="HL12" s="27"/>
      <c r="HM12" s="27"/>
      <c r="HN12" s="27"/>
      <c r="HO12" s="27"/>
      <c r="HP12" s="27"/>
      <c r="HQ12" s="27"/>
      <c r="HR12" s="27"/>
      <c r="HS12" s="27"/>
      <c r="HT12" s="27"/>
      <c r="HU12" s="27"/>
      <c r="HV12" s="27"/>
      <c r="HW12" s="27"/>
      <c r="HX12" s="27"/>
      <c r="HY12" s="27"/>
      <c r="HZ12" s="27"/>
      <c r="IA12" s="27"/>
      <c r="IB12" s="27"/>
      <c r="IC12" s="27"/>
      <c r="ID12" s="27"/>
      <c r="IE12" s="27"/>
      <c r="IF12" s="27"/>
      <c r="IG12" s="27"/>
      <c r="IH12" s="27"/>
      <c r="II12" s="27"/>
      <c r="IJ12" s="27"/>
      <c r="IK12" s="27"/>
      <c r="IL12" s="27"/>
      <c r="IM12" s="27"/>
      <c r="IN12" s="27"/>
      <c r="IO12" s="27"/>
      <c r="IP12" s="27"/>
      <c r="IQ12" s="27"/>
      <c r="IR12" s="27"/>
    </row>
    <row r="13" spans="1:252" ht="15.6" thickBot="1" x14ac:dyDescent="0.4">
      <c r="A13" s="39"/>
      <c r="B13" s="39"/>
      <c r="C13" s="39"/>
      <c r="D13" s="39"/>
      <c r="E13" s="39"/>
      <c r="F13" s="33"/>
      <c r="G13" s="33"/>
      <c r="H13" s="33"/>
      <c r="I13" s="33"/>
      <c r="J13" s="33"/>
      <c r="K13" s="27"/>
      <c r="L13" s="1071"/>
      <c r="M13" s="1073"/>
      <c r="N13" s="1074"/>
      <c r="O13" s="1030"/>
      <c r="P13" s="1035"/>
      <c r="Q13" s="1031"/>
      <c r="R13" s="1032"/>
      <c r="S13" s="1033"/>
      <c r="T13" s="1032"/>
      <c r="U13" s="1034"/>
      <c r="V13" s="1032"/>
      <c r="W13" s="1034"/>
      <c r="X13" s="1032"/>
      <c r="Y13" s="27"/>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c r="BJ13" s="27"/>
      <c r="BK13" s="27"/>
      <c r="BL13" s="27"/>
      <c r="BM13" s="27"/>
      <c r="BN13" s="27"/>
      <c r="BO13" s="27"/>
      <c r="BP13" s="27"/>
      <c r="BQ13" s="27"/>
      <c r="BR13" s="27"/>
      <c r="BS13" s="27"/>
      <c r="BT13" s="27"/>
      <c r="BU13" s="27"/>
      <c r="BV13" s="27"/>
      <c r="BW13" s="27"/>
      <c r="BX13" s="27"/>
      <c r="BY13" s="27"/>
      <c r="BZ13" s="27"/>
      <c r="CA13" s="27"/>
      <c r="CB13" s="27"/>
      <c r="CC13" s="27"/>
      <c r="CD13" s="27"/>
      <c r="CE13" s="27"/>
      <c r="CF13" s="27"/>
      <c r="CG13" s="27"/>
      <c r="CH13" s="27"/>
      <c r="CI13" s="27"/>
      <c r="CJ13" s="27"/>
      <c r="CK13" s="27"/>
      <c r="CL13" s="27"/>
      <c r="CM13" s="27"/>
      <c r="CN13" s="27"/>
      <c r="CO13" s="27"/>
      <c r="CP13" s="27"/>
      <c r="CQ13" s="27"/>
      <c r="CR13" s="27"/>
      <c r="CS13" s="27"/>
      <c r="CT13" s="27"/>
      <c r="CU13" s="27"/>
      <c r="CV13" s="27"/>
      <c r="CW13" s="27"/>
      <c r="CX13" s="27"/>
      <c r="CY13" s="27"/>
      <c r="CZ13" s="27"/>
      <c r="DA13" s="27"/>
      <c r="DB13" s="27"/>
      <c r="DC13" s="27"/>
      <c r="DD13" s="27"/>
      <c r="DE13" s="27"/>
      <c r="DF13" s="27"/>
      <c r="DG13" s="27"/>
      <c r="DH13" s="27"/>
      <c r="DI13" s="27"/>
      <c r="DJ13" s="27"/>
      <c r="DK13" s="27"/>
      <c r="DL13" s="27"/>
      <c r="DM13" s="27"/>
      <c r="DN13" s="27"/>
      <c r="DO13" s="27"/>
      <c r="DP13" s="27"/>
      <c r="DQ13" s="27"/>
      <c r="DR13" s="27"/>
      <c r="DS13" s="27"/>
      <c r="DT13" s="27"/>
      <c r="DU13" s="27"/>
      <c r="DV13" s="27"/>
      <c r="DW13" s="27"/>
      <c r="DX13" s="27"/>
      <c r="DY13" s="27"/>
      <c r="DZ13" s="27"/>
      <c r="EA13" s="27"/>
      <c r="EB13" s="27"/>
      <c r="EC13" s="27"/>
      <c r="ED13" s="27"/>
      <c r="EE13" s="27"/>
      <c r="EF13" s="27"/>
      <c r="EG13" s="27"/>
      <c r="EH13" s="27"/>
      <c r="EI13" s="27"/>
      <c r="EJ13" s="27"/>
      <c r="EK13" s="27"/>
      <c r="EL13" s="27"/>
      <c r="EM13" s="27"/>
      <c r="EN13" s="27"/>
      <c r="EO13" s="27"/>
      <c r="EP13" s="27"/>
      <c r="EQ13" s="27"/>
      <c r="ER13" s="27"/>
      <c r="ES13" s="27"/>
      <c r="ET13" s="27"/>
      <c r="EU13" s="27"/>
      <c r="EV13" s="27"/>
      <c r="EW13" s="27"/>
      <c r="EX13" s="27"/>
      <c r="EY13" s="27"/>
      <c r="EZ13" s="27"/>
      <c r="FA13" s="27"/>
      <c r="FB13" s="27"/>
      <c r="FC13" s="27"/>
      <c r="FD13" s="27"/>
      <c r="FE13" s="27"/>
      <c r="FF13" s="27"/>
      <c r="FG13" s="27"/>
      <c r="FH13" s="27"/>
      <c r="FI13" s="27"/>
      <c r="FJ13" s="27"/>
      <c r="FK13" s="27"/>
      <c r="FL13" s="27"/>
      <c r="FM13" s="27"/>
      <c r="FN13" s="27"/>
      <c r="FO13" s="27"/>
      <c r="FP13" s="27"/>
      <c r="FQ13" s="27"/>
      <c r="FR13" s="27"/>
      <c r="FS13" s="27"/>
      <c r="FT13" s="27"/>
      <c r="FU13" s="27"/>
      <c r="FV13" s="27"/>
      <c r="FW13" s="27"/>
      <c r="FX13" s="27"/>
      <c r="FY13" s="27"/>
      <c r="FZ13" s="27"/>
      <c r="GA13" s="27"/>
      <c r="GB13" s="27"/>
      <c r="GC13" s="27"/>
      <c r="GD13" s="27"/>
      <c r="GE13" s="27"/>
      <c r="GF13" s="27"/>
      <c r="GG13" s="27"/>
      <c r="GH13" s="27"/>
      <c r="GI13" s="27"/>
      <c r="GJ13" s="27"/>
      <c r="GK13" s="27"/>
      <c r="GL13" s="27"/>
      <c r="GM13" s="27"/>
      <c r="GN13" s="27"/>
      <c r="GO13" s="27"/>
      <c r="GP13" s="27"/>
      <c r="GQ13" s="27"/>
      <c r="GR13" s="27"/>
      <c r="GS13" s="27"/>
      <c r="GT13" s="27"/>
      <c r="GU13" s="27"/>
      <c r="GV13" s="27"/>
      <c r="GW13" s="27"/>
      <c r="GX13" s="27"/>
      <c r="GY13" s="27"/>
      <c r="GZ13" s="27"/>
      <c r="HA13" s="27"/>
      <c r="HB13" s="27"/>
      <c r="HC13" s="27"/>
      <c r="HD13" s="27"/>
      <c r="HE13" s="27"/>
      <c r="HF13" s="27"/>
      <c r="HG13" s="27"/>
      <c r="HH13" s="27"/>
      <c r="HI13" s="27"/>
      <c r="HJ13" s="27"/>
      <c r="HK13" s="27"/>
      <c r="HL13" s="27"/>
      <c r="HM13" s="27"/>
      <c r="HN13" s="27"/>
      <c r="HO13" s="27"/>
      <c r="HP13" s="27"/>
      <c r="HQ13" s="27"/>
      <c r="HR13" s="27"/>
      <c r="HS13" s="27"/>
      <c r="HT13" s="27"/>
      <c r="HU13" s="27"/>
      <c r="HV13" s="27"/>
      <c r="HW13" s="27"/>
      <c r="HX13" s="27"/>
      <c r="HY13" s="27"/>
      <c r="HZ13" s="27"/>
      <c r="IA13" s="27"/>
      <c r="IB13" s="27"/>
      <c r="IC13" s="27"/>
      <c r="ID13" s="27"/>
      <c r="IE13" s="27"/>
      <c r="IF13" s="27"/>
      <c r="IG13" s="27"/>
      <c r="IH13" s="27"/>
      <c r="II13" s="27"/>
      <c r="IJ13" s="27"/>
      <c r="IK13" s="27"/>
      <c r="IL13" s="27"/>
      <c r="IM13" s="27"/>
      <c r="IN13" s="27"/>
      <c r="IO13" s="27"/>
      <c r="IP13" s="27"/>
      <c r="IQ13" s="27"/>
      <c r="IR13" s="27"/>
    </row>
    <row r="14" spans="1:252" ht="14.4" x14ac:dyDescent="0.3">
      <c r="A14" s="329"/>
      <c r="B14" s="330"/>
      <c r="C14" s="330"/>
      <c r="D14" s="330"/>
      <c r="E14" s="331" t="s">
        <v>55</v>
      </c>
      <c r="F14" s="2380" t="s">
        <v>21</v>
      </c>
      <c r="G14" s="2381"/>
      <c r="H14" s="2382"/>
      <c r="I14" s="332" t="s">
        <v>17</v>
      </c>
      <c r="J14" s="333" t="s">
        <v>144</v>
      </c>
      <c r="K14" s="30"/>
      <c r="L14" s="1071"/>
      <c r="M14" s="1072"/>
      <c r="N14" s="1074"/>
      <c r="O14" s="1036"/>
      <c r="P14" s="1037"/>
      <c r="Q14" s="1038"/>
      <c r="R14" s="1039"/>
      <c r="S14" s="1040"/>
      <c r="T14" s="1039"/>
      <c r="U14" s="1040"/>
      <c r="V14" s="1039"/>
      <c r="W14" s="1040"/>
      <c r="X14" s="1039"/>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0"/>
      <c r="BV14" s="30"/>
      <c r="BW14" s="30"/>
      <c r="BX14" s="30"/>
      <c r="BY14" s="30"/>
      <c r="BZ14" s="30"/>
      <c r="CA14" s="30"/>
      <c r="CB14" s="30"/>
      <c r="CC14" s="30"/>
      <c r="CD14" s="30"/>
      <c r="CE14" s="30"/>
      <c r="CF14" s="30"/>
      <c r="CG14" s="30"/>
      <c r="CH14" s="30"/>
      <c r="CI14" s="30"/>
      <c r="CJ14" s="30"/>
      <c r="CK14" s="30"/>
      <c r="CL14" s="30"/>
      <c r="CM14" s="30"/>
      <c r="CN14" s="30"/>
      <c r="CO14" s="30"/>
      <c r="CP14" s="30"/>
      <c r="CQ14" s="30"/>
      <c r="CR14" s="30"/>
      <c r="CS14" s="30"/>
      <c r="CT14" s="30"/>
      <c r="CU14" s="30"/>
      <c r="CV14" s="30"/>
      <c r="CW14" s="30"/>
      <c r="CX14" s="30"/>
      <c r="CY14" s="30"/>
      <c r="CZ14" s="30"/>
      <c r="DA14" s="30"/>
      <c r="DB14" s="30"/>
      <c r="DC14" s="30"/>
      <c r="DD14" s="30"/>
      <c r="DE14" s="30"/>
      <c r="DF14" s="30"/>
      <c r="DG14" s="30"/>
      <c r="DH14" s="30"/>
      <c r="DI14" s="30"/>
      <c r="DJ14" s="30"/>
      <c r="DK14" s="30"/>
      <c r="DL14" s="30"/>
      <c r="DM14" s="30"/>
      <c r="DN14" s="30"/>
      <c r="DO14" s="30"/>
      <c r="DP14" s="30"/>
      <c r="DQ14" s="30"/>
      <c r="DR14" s="30"/>
      <c r="DS14" s="30"/>
      <c r="DT14" s="30"/>
      <c r="DU14" s="30"/>
      <c r="DV14" s="30"/>
      <c r="DW14" s="30"/>
      <c r="DX14" s="30"/>
      <c r="DY14" s="30"/>
      <c r="DZ14" s="30"/>
      <c r="EA14" s="30"/>
      <c r="EB14" s="30"/>
      <c r="EC14" s="30"/>
      <c r="ED14" s="30"/>
      <c r="EE14" s="30"/>
      <c r="EF14" s="30"/>
      <c r="EG14" s="30"/>
      <c r="EH14" s="30"/>
      <c r="EI14" s="30"/>
      <c r="EJ14" s="30"/>
      <c r="EK14" s="30"/>
      <c r="EL14" s="30"/>
      <c r="EM14" s="30"/>
      <c r="EN14" s="30"/>
      <c r="EO14" s="30"/>
      <c r="EP14" s="30"/>
      <c r="EQ14" s="30"/>
      <c r="ER14" s="30"/>
      <c r="ES14" s="30"/>
      <c r="ET14" s="30"/>
      <c r="EU14" s="30"/>
      <c r="EV14" s="30"/>
      <c r="EW14" s="30"/>
      <c r="EX14" s="30"/>
      <c r="EY14" s="30"/>
      <c r="EZ14" s="30"/>
      <c r="FA14" s="30"/>
      <c r="FB14" s="30"/>
      <c r="FC14" s="30"/>
      <c r="FD14" s="30"/>
      <c r="FE14" s="30"/>
      <c r="FF14" s="30"/>
      <c r="FG14" s="30"/>
      <c r="FH14" s="30"/>
      <c r="FI14" s="30"/>
      <c r="FJ14" s="30"/>
      <c r="FK14" s="30"/>
      <c r="FL14" s="30"/>
      <c r="FM14" s="30"/>
      <c r="FN14" s="30"/>
      <c r="FO14" s="30"/>
      <c r="FP14" s="30"/>
      <c r="FQ14" s="30"/>
      <c r="FR14" s="30"/>
      <c r="FS14" s="30"/>
      <c r="FT14" s="30"/>
      <c r="FU14" s="30"/>
      <c r="FV14" s="30"/>
      <c r="FW14" s="30"/>
      <c r="FX14" s="30"/>
      <c r="FY14" s="30"/>
      <c r="FZ14" s="30"/>
      <c r="GA14" s="30"/>
      <c r="GB14" s="30"/>
      <c r="GC14" s="30"/>
      <c r="GD14" s="30"/>
      <c r="GE14" s="30"/>
      <c r="GF14" s="30"/>
      <c r="GG14" s="30"/>
      <c r="GH14" s="30"/>
      <c r="GI14" s="30"/>
      <c r="GJ14" s="30"/>
      <c r="GK14" s="30"/>
      <c r="GL14" s="30"/>
      <c r="GM14" s="30"/>
      <c r="GN14" s="30"/>
      <c r="GO14" s="30"/>
      <c r="GP14" s="30"/>
      <c r="GQ14" s="30"/>
      <c r="GR14" s="30"/>
      <c r="GS14" s="30"/>
      <c r="GT14" s="30"/>
      <c r="GU14" s="30"/>
      <c r="GV14" s="30"/>
      <c r="GW14" s="30"/>
      <c r="GX14" s="30"/>
      <c r="GY14" s="30"/>
      <c r="GZ14" s="30"/>
      <c r="HA14" s="30"/>
      <c r="HB14" s="30"/>
      <c r="HC14" s="30"/>
      <c r="HD14" s="30"/>
      <c r="HE14" s="30"/>
      <c r="HF14" s="30"/>
      <c r="HG14" s="30"/>
      <c r="HH14" s="30"/>
      <c r="HI14" s="30"/>
      <c r="HJ14" s="30"/>
      <c r="HK14" s="30"/>
      <c r="HL14" s="30"/>
      <c r="HM14" s="30"/>
      <c r="HN14" s="30"/>
      <c r="HO14" s="30"/>
      <c r="HP14" s="30"/>
      <c r="HQ14" s="30"/>
      <c r="HR14" s="30"/>
      <c r="HS14" s="30"/>
      <c r="HT14" s="30"/>
      <c r="HU14" s="30"/>
      <c r="HV14" s="30"/>
      <c r="HW14" s="30"/>
      <c r="HX14" s="30"/>
      <c r="HY14" s="30"/>
      <c r="HZ14" s="30"/>
      <c r="IA14" s="30"/>
      <c r="IB14" s="30"/>
      <c r="IC14" s="30"/>
      <c r="ID14" s="30"/>
      <c r="IE14" s="30"/>
      <c r="IF14" s="30"/>
      <c r="IG14" s="30"/>
      <c r="IH14" s="30"/>
      <c r="II14" s="30"/>
      <c r="IJ14" s="30"/>
      <c r="IK14" s="30"/>
      <c r="IL14" s="30"/>
      <c r="IM14" s="30"/>
      <c r="IN14" s="30"/>
      <c r="IO14" s="30"/>
      <c r="IP14" s="30"/>
      <c r="IQ14" s="30"/>
      <c r="IR14" s="30"/>
    </row>
    <row r="15" spans="1:252" x14ac:dyDescent="0.25">
      <c r="A15" s="2386" t="s">
        <v>9</v>
      </c>
      <c r="B15" s="2387"/>
      <c r="C15" s="2387"/>
      <c r="D15" s="2387"/>
      <c r="E15" s="334" t="s">
        <v>41</v>
      </c>
      <c r="F15" s="2383"/>
      <c r="G15" s="2384"/>
      <c r="H15" s="2385"/>
      <c r="I15" s="334" t="s">
        <v>145</v>
      </c>
      <c r="J15" s="335" t="s">
        <v>146</v>
      </c>
      <c r="K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0"/>
      <c r="BV15" s="30"/>
      <c r="BW15" s="30"/>
      <c r="BX15" s="30"/>
      <c r="BY15" s="30"/>
      <c r="BZ15" s="30"/>
      <c r="CA15" s="30"/>
      <c r="CB15" s="30"/>
      <c r="CC15" s="30"/>
      <c r="CD15" s="30"/>
      <c r="CE15" s="30"/>
      <c r="CF15" s="30"/>
      <c r="CG15" s="30"/>
      <c r="CH15" s="30"/>
      <c r="CI15" s="30"/>
      <c r="CJ15" s="30"/>
      <c r="CK15" s="30"/>
      <c r="CL15" s="30"/>
      <c r="CM15" s="30"/>
      <c r="CN15" s="30"/>
      <c r="CO15" s="30"/>
      <c r="CP15" s="30"/>
      <c r="CQ15" s="30"/>
      <c r="CR15" s="30"/>
      <c r="CS15" s="30"/>
      <c r="CT15" s="30"/>
      <c r="CU15" s="30"/>
      <c r="CV15" s="30"/>
      <c r="CW15" s="30"/>
      <c r="CX15" s="30"/>
      <c r="CY15" s="30"/>
      <c r="CZ15" s="30"/>
      <c r="DA15" s="30"/>
      <c r="DB15" s="30"/>
      <c r="DC15" s="30"/>
      <c r="DD15" s="30"/>
      <c r="DE15" s="30"/>
      <c r="DF15" s="30"/>
      <c r="DG15" s="30"/>
      <c r="DH15" s="30"/>
      <c r="DI15" s="30"/>
      <c r="DJ15" s="30"/>
      <c r="DK15" s="30"/>
      <c r="DL15" s="30"/>
      <c r="DM15" s="30"/>
      <c r="DN15" s="30"/>
      <c r="DO15" s="30"/>
      <c r="DP15" s="30"/>
      <c r="DQ15" s="30"/>
      <c r="DR15" s="30"/>
      <c r="DS15" s="30"/>
      <c r="DT15" s="30"/>
      <c r="DU15" s="30"/>
      <c r="DV15" s="30"/>
      <c r="DW15" s="30"/>
      <c r="DX15" s="30"/>
      <c r="DY15" s="30"/>
      <c r="DZ15" s="30"/>
      <c r="EA15" s="30"/>
      <c r="EB15" s="30"/>
      <c r="EC15" s="30"/>
      <c r="ED15" s="30"/>
      <c r="EE15" s="30"/>
      <c r="EF15" s="30"/>
      <c r="EG15" s="30"/>
      <c r="EH15" s="30"/>
      <c r="EI15" s="30"/>
      <c r="EJ15" s="30"/>
      <c r="EK15" s="30"/>
      <c r="EL15" s="30"/>
      <c r="EM15" s="30"/>
      <c r="EN15" s="30"/>
      <c r="EO15" s="30"/>
      <c r="EP15" s="30"/>
      <c r="EQ15" s="30"/>
      <c r="ER15" s="30"/>
      <c r="ES15" s="30"/>
      <c r="ET15" s="30"/>
      <c r="EU15" s="30"/>
      <c r="EV15" s="30"/>
      <c r="EW15" s="30"/>
      <c r="EX15" s="30"/>
      <c r="EY15" s="30"/>
      <c r="EZ15" s="30"/>
      <c r="FA15" s="30"/>
      <c r="FB15" s="30"/>
      <c r="FC15" s="30"/>
      <c r="FD15" s="30"/>
      <c r="FE15" s="30"/>
      <c r="FF15" s="30"/>
      <c r="FG15" s="30"/>
      <c r="FH15" s="30"/>
      <c r="FI15" s="30"/>
      <c r="FJ15" s="30"/>
      <c r="FK15" s="30"/>
      <c r="FL15" s="30"/>
      <c r="FM15" s="30"/>
      <c r="FN15" s="30"/>
      <c r="FO15" s="30"/>
      <c r="FP15" s="30"/>
      <c r="FQ15" s="30"/>
      <c r="FR15" s="30"/>
      <c r="FS15" s="30"/>
      <c r="FT15" s="30"/>
      <c r="FU15" s="30"/>
      <c r="FV15" s="30"/>
      <c r="FW15" s="30"/>
      <c r="FX15" s="30"/>
      <c r="FY15" s="30"/>
      <c r="FZ15" s="30"/>
      <c r="GA15" s="30"/>
      <c r="GB15" s="30"/>
      <c r="GC15" s="30"/>
      <c r="GD15" s="30"/>
      <c r="GE15" s="30"/>
      <c r="GF15" s="30"/>
      <c r="GG15" s="30"/>
      <c r="GH15" s="30"/>
      <c r="GI15" s="30"/>
      <c r="GJ15" s="30"/>
      <c r="GK15" s="30"/>
      <c r="GL15" s="30"/>
      <c r="GM15" s="30"/>
      <c r="GN15" s="30"/>
      <c r="GO15" s="30"/>
      <c r="GP15" s="30"/>
      <c r="GQ15" s="30"/>
      <c r="GR15" s="30"/>
      <c r="GS15" s="30"/>
      <c r="GT15" s="30"/>
      <c r="GU15" s="30"/>
      <c r="GV15" s="30"/>
      <c r="GW15" s="30"/>
      <c r="GX15" s="30"/>
      <c r="GY15" s="30"/>
      <c r="GZ15" s="30"/>
      <c r="HA15" s="30"/>
      <c r="HB15" s="30"/>
      <c r="HC15" s="30"/>
      <c r="HD15" s="30"/>
      <c r="HE15" s="30"/>
      <c r="HF15" s="30"/>
      <c r="HG15" s="30"/>
      <c r="HH15" s="30"/>
      <c r="HI15" s="30"/>
      <c r="HJ15" s="30"/>
      <c r="HK15" s="30"/>
      <c r="HL15" s="30"/>
      <c r="HM15" s="30"/>
      <c r="HN15" s="30"/>
      <c r="HO15" s="30"/>
      <c r="HP15" s="30"/>
      <c r="HQ15" s="30"/>
      <c r="HR15" s="30"/>
      <c r="HS15" s="30"/>
      <c r="HT15" s="30"/>
      <c r="HU15" s="30"/>
      <c r="HV15" s="30"/>
      <c r="HW15" s="30"/>
      <c r="HX15" s="30"/>
      <c r="HY15" s="30"/>
      <c r="HZ15" s="30"/>
      <c r="IA15" s="30"/>
      <c r="IB15" s="30"/>
      <c r="IC15" s="30"/>
      <c r="ID15" s="30"/>
      <c r="IE15" s="30"/>
      <c r="IF15" s="30"/>
      <c r="IG15" s="30"/>
      <c r="IH15" s="30"/>
      <c r="II15" s="30"/>
      <c r="IJ15" s="30"/>
      <c r="IK15" s="30"/>
      <c r="IL15" s="30"/>
      <c r="IM15" s="30"/>
      <c r="IN15" s="30"/>
      <c r="IO15" s="30"/>
      <c r="IP15" s="30"/>
      <c r="IQ15" s="30"/>
      <c r="IR15" s="30"/>
    </row>
    <row r="16" spans="1:252" ht="13.8" thickBot="1" x14ac:dyDescent="0.3">
      <c r="A16" s="2388"/>
      <c r="B16" s="2389"/>
      <c r="C16" s="2389"/>
      <c r="D16" s="2389"/>
      <c r="E16" s="336" t="s">
        <v>497</v>
      </c>
      <c r="F16" s="336" t="s">
        <v>147</v>
      </c>
      <c r="G16" s="336" t="s">
        <v>10</v>
      </c>
      <c r="H16" s="336" t="s">
        <v>11</v>
      </c>
      <c r="I16" s="336" t="s">
        <v>11</v>
      </c>
      <c r="J16" s="337" t="s">
        <v>148</v>
      </c>
      <c r="K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c r="AW16" s="30"/>
      <c r="AX16" s="30"/>
      <c r="AY16" s="30"/>
      <c r="AZ16" s="30"/>
      <c r="BA16" s="30"/>
      <c r="BB16" s="30"/>
      <c r="BC16" s="30"/>
      <c r="BD16" s="30"/>
      <c r="BE16" s="30"/>
      <c r="BF16" s="30"/>
      <c r="BG16" s="30"/>
      <c r="BH16" s="30"/>
      <c r="BI16" s="30"/>
      <c r="BJ16" s="30"/>
      <c r="BK16" s="30"/>
      <c r="BL16" s="30"/>
      <c r="BM16" s="30"/>
      <c r="BN16" s="30"/>
      <c r="BO16" s="30"/>
      <c r="BP16" s="30"/>
      <c r="BQ16" s="30"/>
      <c r="BR16" s="30"/>
      <c r="BS16" s="30"/>
      <c r="BT16" s="30"/>
      <c r="BU16" s="30"/>
      <c r="BV16" s="30"/>
      <c r="BW16" s="30"/>
      <c r="BX16" s="30"/>
      <c r="BY16" s="30"/>
      <c r="BZ16" s="30"/>
      <c r="CA16" s="30"/>
      <c r="CB16" s="30"/>
      <c r="CC16" s="30"/>
      <c r="CD16" s="30"/>
      <c r="CE16" s="30"/>
      <c r="CF16" s="30"/>
      <c r="CG16" s="30"/>
      <c r="CH16" s="30"/>
      <c r="CI16" s="30"/>
      <c r="CJ16" s="30"/>
      <c r="CK16" s="30"/>
      <c r="CL16" s="30"/>
      <c r="CM16" s="30"/>
      <c r="CN16" s="30"/>
      <c r="CO16" s="30"/>
      <c r="CP16" s="30"/>
      <c r="CQ16" s="30"/>
      <c r="CR16" s="30"/>
      <c r="CS16" s="30"/>
      <c r="CT16" s="30"/>
      <c r="CU16" s="30"/>
      <c r="CV16" s="30"/>
      <c r="CW16" s="30"/>
      <c r="CX16" s="30"/>
      <c r="CY16" s="30"/>
      <c r="CZ16" s="30"/>
      <c r="DA16" s="30"/>
      <c r="DB16" s="30"/>
      <c r="DC16" s="30"/>
      <c r="DD16" s="30"/>
      <c r="DE16" s="30"/>
      <c r="DF16" s="30"/>
      <c r="DG16" s="30"/>
      <c r="DH16" s="30"/>
      <c r="DI16" s="30"/>
      <c r="DJ16" s="30"/>
      <c r="DK16" s="30"/>
      <c r="DL16" s="30"/>
      <c r="DM16" s="30"/>
      <c r="DN16" s="30"/>
      <c r="DO16" s="30"/>
      <c r="DP16" s="30"/>
      <c r="DQ16" s="30"/>
      <c r="DR16" s="30"/>
      <c r="DS16" s="30"/>
      <c r="DT16" s="30"/>
      <c r="DU16" s="30"/>
      <c r="DV16" s="30"/>
      <c r="DW16" s="30"/>
      <c r="DX16" s="30"/>
      <c r="DY16" s="30"/>
      <c r="DZ16" s="30"/>
      <c r="EA16" s="30"/>
      <c r="EB16" s="30"/>
      <c r="EC16" s="30"/>
      <c r="ED16" s="30"/>
      <c r="EE16" s="30"/>
      <c r="EF16" s="30"/>
      <c r="EG16" s="30"/>
      <c r="EH16" s="30"/>
      <c r="EI16" s="30"/>
      <c r="EJ16" s="30"/>
      <c r="EK16" s="30"/>
      <c r="EL16" s="30"/>
      <c r="EM16" s="30"/>
      <c r="EN16" s="30"/>
      <c r="EO16" s="30"/>
      <c r="EP16" s="30"/>
      <c r="EQ16" s="30"/>
      <c r="ER16" s="30"/>
      <c r="ES16" s="30"/>
      <c r="ET16" s="30"/>
      <c r="EU16" s="30"/>
      <c r="EV16" s="30"/>
      <c r="EW16" s="30"/>
      <c r="EX16" s="30"/>
      <c r="EY16" s="30"/>
      <c r="EZ16" s="30"/>
      <c r="FA16" s="30"/>
      <c r="FB16" s="30"/>
      <c r="FC16" s="30"/>
      <c r="FD16" s="30"/>
      <c r="FE16" s="30"/>
      <c r="FF16" s="30"/>
      <c r="FG16" s="30"/>
      <c r="FH16" s="30"/>
      <c r="FI16" s="30"/>
      <c r="FJ16" s="30"/>
      <c r="FK16" s="30"/>
      <c r="FL16" s="30"/>
      <c r="FM16" s="30"/>
      <c r="FN16" s="30"/>
      <c r="FO16" s="30"/>
      <c r="FP16" s="30"/>
      <c r="FQ16" s="30"/>
      <c r="FR16" s="30"/>
      <c r="FS16" s="30"/>
      <c r="FT16" s="30"/>
      <c r="FU16" s="30"/>
      <c r="FV16" s="30"/>
      <c r="FW16" s="30"/>
      <c r="FX16" s="30"/>
      <c r="FY16" s="30"/>
      <c r="FZ16" s="30"/>
      <c r="GA16" s="30"/>
      <c r="GB16" s="30"/>
      <c r="GC16" s="30"/>
      <c r="GD16" s="30"/>
      <c r="GE16" s="30"/>
      <c r="GF16" s="30"/>
      <c r="GG16" s="30"/>
      <c r="GH16" s="30"/>
      <c r="GI16" s="30"/>
      <c r="GJ16" s="30"/>
      <c r="GK16" s="30"/>
      <c r="GL16" s="30"/>
      <c r="GM16" s="30"/>
      <c r="GN16" s="30"/>
      <c r="GO16" s="30"/>
      <c r="GP16" s="30"/>
      <c r="GQ16" s="30"/>
      <c r="GR16" s="30"/>
      <c r="GS16" s="30"/>
      <c r="GT16" s="30"/>
      <c r="GU16" s="30"/>
      <c r="GV16" s="30"/>
      <c r="GW16" s="30"/>
      <c r="GX16" s="30"/>
      <c r="GY16" s="30"/>
      <c r="GZ16" s="30"/>
      <c r="HA16" s="30"/>
      <c r="HB16" s="30"/>
      <c r="HC16" s="30"/>
      <c r="HD16" s="30"/>
      <c r="HE16" s="30"/>
      <c r="HF16" s="30"/>
      <c r="HG16" s="30"/>
      <c r="HH16" s="30"/>
      <c r="HI16" s="30"/>
      <c r="HJ16" s="30"/>
      <c r="HK16" s="30"/>
      <c r="HL16" s="30"/>
      <c r="HM16" s="30"/>
      <c r="HN16" s="30"/>
      <c r="HO16" s="30"/>
      <c r="HP16" s="30"/>
      <c r="HQ16" s="30"/>
      <c r="HR16" s="30"/>
      <c r="HS16" s="30"/>
      <c r="HT16" s="30"/>
      <c r="HU16" s="30"/>
      <c r="HV16" s="30"/>
      <c r="HW16" s="30"/>
      <c r="HX16" s="30"/>
      <c r="HY16" s="30"/>
      <c r="HZ16" s="30"/>
      <c r="IA16" s="30"/>
      <c r="IB16" s="30"/>
      <c r="IC16" s="30"/>
      <c r="ID16" s="30"/>
      <c r="IE16" s="30"/>
      <c r="IF16" s="30"/>
      <c r="IG16" s="30"/>
      <c r="IH16" s="30"/>
      <c r="II16" s="30"/>
      <c r="IJ16" s="30"/>
      <c r="IK16" s="30"/>
      <c r="IL16" s="30"/>
      <c r="IM16" s="30"/>
      <c r="IN16" s="30"/>
      <c r="IO16" s="30"/>
      <c r="IP16" s="30"/>
      <c r="IQ16" s="30"/>
      <c r="IR16" s="30"/>
    </row>
    <row r="17" spans="1:252" ht="13.8" thickTop="1" x14ac:dyDescent="0.25">
      <c r="A17" s="86"/>
      <c r="B17" s="87"/>
      <c r="C17" s="87"/>
      <c r="D17" s="87"/>
      <c r="E17" s="88"/>
      <c r="F17" s="89"/>
      <c r="G17" s="89"/>
      <c r="H17" s="90"/>
      <c r="I17" s="88"/>
      <c r="J17" s="91"/>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c r="AT17" s="27"/>
      <c r="AU17" s="27"/>
      <c r="AV17" s="27"/>
      <c r="AW17" s="27"/>
      <c r="AX17" s="27"/>
      <c r="AY17" s="27"/>
      <c r="AZ17" s="27"/>
      <c r="BA17" s="27"/>
      <c r="BB17" s="27"/>
      <c r="BC17" s="27"/>
      <c r="BD17" s="27"/>
      <c r="BE17" s="27"/>
      <c r="BF17" s="27"/>
      <c r="BG17" s="27"/>
      <c r="BH17" s="27"/>
      <c r="BI17" s="27"/>
      <c r="BJ17" s="27"/>
      <c r="BK17" s="27"/>
      <c r="BL17" s="27"/>
      <c r="BM17" s="27"/>
      <c r="BN17" s="27"/>
      <c r="BO17" s="27"/>
      <c r="BP17" s="27"/>
      <c r="BQ17" s="27"/>
      <c r="BR17" s="27"/>
      <c r="BS17" s="27"/>
      <c r="BT17" s="27"/>
      <c r="BU17" s="27"/>
      <c r="BV17" s="27"/>
      <c r="BW17" s="27"/>
      <c r="BX17" s="27"/>
      <c r="BY17" s="27"/>
      <c r="BZ17" s="27"/>
      <c r="CA17" s="27"/>
      <c r="CB17" s="27"/>
      <c r="CC17" s="27"/>
      <c r="CD17" s="27"/>
      <c r="CE17" s="27"/>
      <c r="CF17" s="27"/>
      <c r="CG17" s="27"/>
      <c r="CH17" s="27"/>
      <c r="CI17" s="27"/>
      <c r="CJ17" s="27"/>
      <c r="CK17" s="27"/>
      <c r="CL17" s="27"/>
      <c r="CM17" s="27"/>
      <c r="CN17" s="27"/>
      <c r="CO17" s="27"/>
      <c r="CP17" s="27"/>
      <c r="CQ17" s="27"/>
      <c r="CR17" s="27"/>
      <c r="CS17" s="27"/>
      <c r="CT17" s="27"/>
      <c r="CU17" s="27"/>
      <c r="CV17" s="27"/>
      <c r="CW17" s="27"/>
      <c r="CX17" s="27"/>
      <c r="CY17" s="27"/>
      <c r="CZ17" s="27"/>
      <c r="DA17" s="27"/>
      <c r="DB17" s="27"/>
      <c r="DC17" s="27"/>
      <c r="DD17" s="27"/>
      <c r="DE17" s="27"/>
      <c r="DF17" s="27"/>
      <c r="DG17" s="27"/>
      <c r="DH17" s="27"/>
      <c r="DI17" s="27"/>
      <c r="DJ17" s="27"/>
      <c r="DK17" s="27"/>
      <c r="DL17" s="27"/>
      <c r="DM17" s="27"/>
      <c r="DN17" s="27"/>
      <c r="DO17" s="27"/>
      <c r="DP17" s="27"/>
      <c r="DQ17" s="27"/>
      <c r="DR17" s="27"/>
      <c r="DS17" s="27"/>
      <c r="DT17" s="27"/>
      <c r="DU17" s="27"/>
      <c r="DV17" s="27"/>
      <c r="DW17" s="27"/>
      <c r="DX17" s="27"/>
      <c r="DY17" s="27"/>
      <c r="DZ17" s="27"/>
      <c r="EA17" s="27"/>
      <c r="EB17" s="27"/>
      <c r="EC17" s="27"/>
      <c r="ED17" s="27"/>
      <c r="EE17" s="27"/>
      <c r="EF17" s="27"/>
      <c r="EG17" s="27"/>
      <c r="EH17" s="27"/>
      <c r="EI17" s="27"/>
      <c r="EJ17" s="27"/>
      <c r="EK17" s="27"/>
      <c r="EL17" s="27"/>
      <c r="EM17" s="27"/>
      <c r="EN17" s="27"/>
      <c r="EO17" s="27"/>
      <c r="EP17" s="27"/>
      <c r="EQ17" s="27"/>
      <c r="ER17" s="27"/>
      <c r="ES17" s="27"/>
      <c r="ET17" s="27"/>
      <c r="EU17" s="27"/>
      <c r="EV17" s="27"/>
      <c r="EW17" s="27"/>
      <c r="EX17" s="27"/>
      <c r="EY17" s="27"/>
      <c r="EZ17" s="27"/>
      <c r="FA17" s="27"/>
      <c r="FB17" s="27"/>
      <c r="FC17" s="27"/>
      <c r="FD17" s="27"/>
      <c r="FE17" s="27"/>
      <c r="FF17" s="27"/>
      <c r="FG17" s="27"/>
      <c r="FH17" s="27"/>
      <c r="FI17" s="27"/>
      <c r="FJ17" s="27"/>
      <c r="FK17" s="27"/>
      <c r="FL17" s="27"/>
      <c r="FM17" s="27"/>
      <c r="FN17" s="27"/>
      <c r="FO17" s="27"/>
      <c r="FP17" s="27"/>
      <c r="FQ17" s="27"/>
      <c r="FR17" s="27"/>
      <c r="FS17" s="27"/>
      <c r="FT17" s="27"/>
      <c r="FU17" s="27"/>
      <c r="FV17" s="27"/>
      <c r="FW17" s="27"/>
      <c r="FX17" s="27"/>
      <c r="FY17" s="27"/>
      <c r="FZ17" s="27"/>
      <c r="GA17" s="27"/>
      <c r="GB17" s="27"/>
      <c r="GC17" s="27"/>
      <c r="GD17" s="27"/>
      <c r="GE17" s="27"/>
      <c r="GF17" s="27"/>
      <c r="GG17" s="27"/>
      <c r="GH17" s="27"/>
      <c r="GI17" s="27"/>
      <c r="GJ17" s="27"/>
      <c r="GK17" s="27"/>
      <c r="GL17" s="27"/>
      <c r="GM17" s="27"/>
      <c r="GN17" s="27"/>
      <c r="GO17" s="27"/>
      <c r="GP17" s="27"/>
      <c r="GQ17" s="27"/>
      <c r="GR17" s="27"/>
      <c r="GS17" s="27"/>
      <c r="GT17" s="27"/>
      <c r="GU17" s="27"/>
      <c r="GV17" s="27"/>
      <c r="GW17" s="27"/>
      <c r="GX17" s="27"/>
      <c r="GY17" s="27"/>
      <c r="GZ17" s="27"/>
      <c r="HA17" s="27"/>
      <c r="HB17" s="27"/>
      <c r="HC17" s="27"/>
      <c r="HD17" s="27"/>
      <c r="HE17" s="27"/>
      <c r="HF17" s="27"/>
      <c r="HG17" s="27"/>
      <c r="HH17" s="27"/>
      <c r="HI17" s="27"/>
      <c r="HJ17" s="27"/>
      <c r="HK17" s="27"/>
      <c r="HL17" s="27"/>
      <c r="HM17" s="27"/>
      <c r="HN17" s="27"/>
      <c r="HO17" s="27"/>
      <c r="HP17" s="27"/>
      <c r="HQ17" s="27"/>
      <c r="HR17" s="27"/>
      <c r="HS17" s="27"/>
      <c r="HT17" s="27"/>
      <c r="HU17" s="27"/>
      <c r="HV17" s="27"/>
      <c r="HW17" s="27"/>
      <c r="HX17" s="27"/>
      <c r="HY17" s="27"/>
      <c r="HZ17" s="27"/>
      <c r="IA17" s="27"/>
      <c r="IB17" s="27"/>
      <c r="IC17" s="27"/>
      <c r="ID17" s="27"/>
      <c r="IE17" s="27"/>
      <c r="IF17" s="27"/>
      <c r="IG17" s="27"/>
      <c r="IH17" s="27"/>
      <c r="II17" s="27"/>
      <c r="IJ17" s="27"/>
      <c r="IK17" s="27"/>
      <c r="IL17" s="27"/>
      <c r="IM17" s="27"/>
      <c r="IN17" s="27"/>
      <c r="IO17" s="27"/>
      <c r="IP17" s="27"/>
      <c r="IQ17" s="27"/>
      <c r="IR17" s="27"/>
    </row>
    <row r="18" spans="1:252" x14ac:dyDescent="0.25">
      <c r="A18" s="883"/>
      <c r="B18" s="2377"/>
      <c r="C18" s="2377"/>
      <c r="D18" s="2378"/>
      <c r="E18" s="68"/>
      <c r="F18" s="69"/>
      <c r="G18" s="69"/>
      <c r="H18" s="70"/>
      <c r="I18" s="68"/>
      <c r="J18" s="71"/>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c r="AT18" s="27"/>
      <c r="AU18" s="27"/>
      <c r="AV18" s="27"/>
      <c r="AW18" s="27"/>
      <c r="AX18" s="27"/>
      <c r="AY18" s="27"/>
      <c r="AZ18" s="27"/>
      <c r="BA18" s="27"/>
      <c r="BB18" s="27"/>
      <c r="BC18" s="27"/>
      <c r="BD18" s="27"/>
      <c r="BE18" s="27"/>
      <c r="BF18" s="27"/>
      <c r="BG18" s="27"/>
      <c r="BH18" s="27"/>
      <c r="BI18" s="27"/>
      <c r="BJ18" s="27"/>
      <c r="BK18" s="27"/>
      <c r="BL18" s="27"/>
      <c r="BM18" s="27"/>
      <c r="BN18" s="27"/>
      <c r="BO18" s="27"/>
      <c r="BP18" s="27"/>
      <c r="BQ18" s="27"/>
      <c r="BR18" s="27"/>
      <c r="BS18" s="27"/>
      <c r="BT18" s="27"/>
      <c r="BU18" s="27"/>
      <c r="BV18" s="27"/>
      <c r="BW18" s="27"/>
      <c r="BX18" s="27"/>
      <c r="BY18" s="27"/>
      <c r="BZ18" s="27"/>
      <c r="CA18" s="27"/>
      <c r="CB18" s="27"/>
      <c r="CC18" s="27"/>
      <c r="CD18" s="27"/>
      <c r="CE18" s="27"/>
      <c r="CF18" s="27"/>
      <c r="CG18" s="27"/>
      <c r="CH18" s="27"/>
      <c r="CI18" s="27"/>
      <c r="CJ18" s="27"/>
      <c r="CK18" s="27"/>
      <c r="CL18" s="27"/>
      <c r="CM18" s="27"/>
      <c r="CN18" s="27"/>
      <c r="CO18" s="27"/>
      <c r="CP18" s="27"/>
      <c r="CQ18" s="27"/>
      <c r="CR18" s="27"/>
      <c r="CS18" s="27"/>
      <c r="CT18" s="27"/>
      <c r="CU18" s="27"/>
      <c r="CV18" s="27"/>
      <c r="CW18" s="27"/>
      <c r="CX18" s="27"/>
      <c r="CY18" s="27"/>
      <c r="CZ18" s="27"/>
      <c r="DA18" s="27"/>
      <c r="DB18" s="27"/>
      <c r="DC18" s="27"/>
      <c r="DD18" s="27"/>
      <c r="DE18" s="27"/>
      <c r="DF18" s="27"/>
      <c r="DG18" s="27"/>
      <c r="DH18" s="27"/>
      <c r="DI18" s="27"/>
      <c r="DJ18" s="27"/>
      <c r="DK18" s="27"/>
      <c r="DL18" s="27"/>
      <c r="DM18" s="27"/>
      <c r="DN18" s="27"/>
      <c r="DO18" s="27"/>
      <c r="DP18" s="27"/>
      <c r="DQ18" s="27"/>
      <c r="DR18" s="27"/>
      <c r="DS18" s="27"/>
      <c r="DT18" s="27"/>
      <c r="DU18" s="27"/>
      <c r="DV18" s="27"/>
      <c r="DW18" s="27"/>
      <c r="DX18" s="27"/>
      <c r="DY18" s="27"/>
      <c r="DZ18" s="27"/>
      <c r="EA18" s="27"/>
      <c r="EB18" s="27"/>
      <c r="EC18" s="27"/>
      <c r="ED18" s="27"/>
      <c r="EE18" s="27"/>
      <c r="EF18" s="27"/>
      <c r="EG18" s="27"/>
      <c r="EH18" s="27"/>
      <c r="EI18" s="27"/>
      <c r="EJ18" s="27"/>
      <c r="EK18" s="27"/>
      <c r="EL18" s="27"/>
      <c r="EM18" s="27"/>
      <c r="EN18" s="27"/>
      <c r="EO18" s="27"/>
      <c r="EP18" s="27"/>
      <c r="EQ18" s="27"/>
      <c r="ER18" s="27"/>
      <c r="ES18" s="27"/>
      <c r="ET18" s="27"/>
      <c r="EU18" s="27"/>
      <c r="EV18" s="27"/>
      <c r="EW18" s="27"/>
      <c r="EX18" s="27"/>
      <c r="EY18" s="27"/>
      <c r="EZ18" s="27"/>
      <c r="FA18" s="27"/>
      <c r="FB18" s="27"/>
      <c r="FC18" s="27"/>
      <c r="FD18" s="27"/>
      <c r="FE18" s="27"/>
      <c r="FF18" s="27"/>
      <c r="FG18" s="27"/>
      <c r="FH18" s="27"/>
      <c r="FI18" s="27"/>
      <c r="FJ18" s="27"/>
      <c r="FK18" s="27"/>
      <c r="FL18" s="27"/>
      <c r="FM18" s="27"/>
      <c r="FN18" s="27"/>
      <c r="FO18" s="27"/>
      <c r="FP18" s="27"/>
      <c r="FQ18" s="27"/>
      <c r="FR18" s="27"/>
      <c r="FS18" s="27"/>
      <c r="FT18" s="27"/>
      <c r="FU18" s="27"/>
      <c r="FV18" s="27"/>
      <c r="FW18" s="27"/>
      <c r="FX18" s="27"/>
      <c r="FY18" s="27"/>
      <c r="FZ18" s="27"/>
      <c r="GA18" s="27"/>
      <c r="GB18" s="27"/>
      <c r="GC18" s="27"/>
      <c r="GD18" s="27"/>
      <c r="GE18" s="27"/>
      <c r="GF18" s="27"/>
      <c r="GG18" s="27"/>
      <c r="GH18" s="27"/>
      <c r="GI18" s="27"/>
      <c r="GJ18" s="27"/>
      <c r="GK18" s="27"/>
      <c r="GL18" s="27"/>
      <c r="GM18" s="27"/>
      <c r="GN18" s="27"/>
      <c r="GO18" s="27"/>
      <c r="GP18" s="27"/>
      <c r="GQ18" s="27"/>
      <c r="GR18" s="27"/>
      <c r="GS18" s="27"/>
      <c r="GT18" s="27"/>
      <c r="GU18" s="27"/>
      <c r="GV18" s="27"/>
      <c r="GW18" s="27"/>
      <c r="GX18" s="27"/>
      <c r="GY18" s="27"/>
      <c r="GZ18" s="27"/>
      <c r="HA18" s="27"/>
      <c r="HB18" s="27"/>
      <c r="HC18" s="27"/>
      <c r="HD18" s="27"/>
      <c r="HE18" s="27"/>
      <c r="HF18" s="27"/>
      <c r="HG18" s="27"/>
      <c r="HH18" s="27"/>
      <c r="HI18" s="27"/>
      <c r="HJ18" s="27"/>
      <c r="HK18" s="27"/>
      <c r="HL18" s="27"/>
      <c r="HM18" s="27"/>
      <c r="HN18" s="27"/>
      <c r="HO18" s="27"/>
      <c r="HP18" s="27"/>
      <c r="HQ18" s="27"/>
      <c r="HR18" s="27"/>
      <c r="HS18" s="27"/>
      <c r="HT18" s="27"/>
      <c r="HU18" s="27"/>
      <c r="HV18" s="27"/>
      <c r="HW18" s="27"/>
      <c r="HX18" s="27"/>
      <c r="HY18" s="27"/>
      <c r="HZ18" s="27"/>
      <c r="IA18" s="27"/>
      <c r="IB18" s="27"/>
      <c r="IC18" s="27"/>
      <c r="ID18" s="27"/>
      <c r="IE18" s="27"/>
      <c r="IF18" s="27"/>
      <c r="IG18" s="27"/>
      <c r="IH18" s="27"/>
      <c r="II18" s="27"/>
      <c r="IJ18" s="27"/>
      <c r="IK18" s="27"/>
      <c r="IL18" s="27"/>
      <c r="IM18" s="27"/>
      <c r="IN18" s="27"/>
      <c r="IO18" s="27"/>
      <c r="IP18" s="27"/>
      <c r="IQ18" s="27"/>
      <c r="IR18" s="27"/>
    </row>
    <row r="19" spans="1:252" x14ac:dyDescent="0.25">
      <c r="A19" s="882" t="s">
        <v>480</v>
      </c>
      <c r="B19" s="33" t="s">
        <v>498</v>
      </c>
      <c r="C19" s="33"/>
      <c r="D19" s="33"/>
      <c r="E19" s="762">
        <f>'R-ITEM I'!E21*1.18</f>
        <v>17878272.110799998</v>
      </c>
      <c r="F19" s="42">
        <f>'PUENTE CCANCHI'!H129</f>
        <v>6816442.5199999996</v>
      </c>
      <c r="G19" s="42">
        <f>'PUENTE CCANCHI'!J129</f>
        <v>252039.5</v>
      </c>
      <c r="H19" s="42">
        <f>'PUENTE CCANCHI'!L129</f>
        <v>7068482.0199999996</v>
      </c>
      <c r="I19" s="72">
        <f>H19/E19</f>
        <v>0.39536717956821088</v>
      </c>
      <c r="J19" s="73">
        <f>E19-H19</f>
        <v>10809790.090799998</v>
      </c>
      <c r="K19" s="27"/>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c r="AT19" s="27"/>
      <c r="AU19" s="27"/>
      <c r="AV19" s="27"/>
      <c r="AW19" s="27"/>
      <c r="AX19" s="27"/>
      <c r="AY19" s="27"/>
      <c r="AZ19" s="27"/>
      <c r="BA19" s="27"/>
      <c r="BB19" s="27"/>
      <c r="BC19" s="27"/>
      <c r="BD19" s="27"/>
      <c r="BE19" s="27"/>
      <c r="BF19" s="27"/>
      <c r="BG19" s="27"/>
      <c r="BH19" s="27"/>
      <c r="BI19" s="27"/>
      <c r="BJ19" s="27"/>
      <c r="BK19" s="27"/>
      <c r="BL19" s="27"/>
      <c r="BM19" s="27"/>
      <c r="BN19" s="27"/>
      <c r="BO19" s="27"/>
      <c r="BP19" s="27"/>
      <c r="BQ19" s="27"/>
      <c r="BR19" s="27"/>
      <c r="BS19" s="27"/>
      <c r="BT19" s="27"/>
      <c r="BU19" s="27"/>
      <c r="BV19" s="27"/>
      <c r="BW19" s="27"/>
      <c r="BX19" s="27"/>
      <c r="BY19" s="27"/>
      <c r="BZ19" s="27"/>
      <c r="CA19" s="27"/>
      <c r="CB19" s="27"/>
      <c r="CC19" s="27"/>
      <c r="CD19" s="27"/>
      <c r="CE19" s="27"/>
      <c r="CF19" s="27"/>
      <c r="CG19" s="27"/>
      <c r="CH19" s="27"/>
      <c r="CI19" s="27"/>
      <c r="CJ19" s="27"/>
      <c r="CK19" s="27"/>
      <c r="CL19" s="27"/>
      <c r="CM19" s="27"/>
      <c r="CN19" s="27"/>
      <c r="CO19" s="27"/>
      <c r="CP19" s="27"/>
      <c r="CQ19" s="27"/>
      <c r="CR19" s="27"/>
      <c r="CS19" s="27"/>
      <c r="CT19" s="27"/>
      <c r="CU19" s="27"/>
      <c r="CV19" s="27"/>
      <c r="CW19" s="27"/>
      <c r="CX19" s="27"/>
      <c r="CY19" s="27"/>
      <c r="CZ19" s="27"/>
      <c r="DA19" s="27"/>
      <c r="DB19" s="27"/>
      <c r="DC19" s="27"/>
      <c r="DD19" s="27"/>
      <c r="DE19" s="27"/>
      <c r="DF19" s="27"/>
      <c r="DG19" s="27"/>
      <c r="DH19" s="27"/>
      <c r="DI19" s="27"/>
      <c r="DJ19" s="27"/>
      <c r="DK19" s="27"/>
      <c r="DL19" s="27"/>
      <c r="DM19" s="27"/>
      <c r="DN19" s="27"/>
      <c r="DO19" s="27"/>
      <c r="DP19" s="27"/>
      <c r="DQ19" s="27"/>
      <c r="DR19" s="27"/>
      <c r="DS19" s="27"/>
      <c r="DT19" s="27"/>
      <c r="DU19" s="27"/>
      <c r="DV19" s="27"/>
      <c r="DW19" s="27"/>
      <c r="DX19" s="27"/>
      <c r="DY19" s="27"/>
      <c r="DZ19" s="27"/>
      <c r="EA19" s="27"/>
      <c r="EB19" s="27"/>
      <c r="EC19" s="27"/>
      <c r="ED19" s="27"/>
      <c r="EE19" s="27"/>
      <c r="EF19" s="27"/>
      <c r="EG19" s="27"/>
      <c r="EH19" s="27"/>
      <c r="EI19" s="27"/>
      <c r="EJ19" s="27"/>
      <c r="EK19" s="27"/>
      <c r="EL19" s="27"/>
      <c r="EM19" s="27"/>
      <c r="EN19" s="27"/>
      <c r="EO19" s="27"/>
      <c r="EP19" s="27"/>
      <c r="EQ19" s="27"/>
      <c r="ER19" s="27"/>
      <c r="ES19" s="27"/>
      <c r="ET19" s="27"/>
      <c r="EU19" s="27"/>
      <c r="EV19" s="27"/>
      <c r="EW19" s="27"/>
      <c r="EX19" s="27"/>
      <c r="EY19" s="27"/>
      <c r="EZ19" s="27"/>
      <c r="FA19" s="27"/>
      <c r="FB19" s="27"/>
      <c r="FC19" s="27"/>
      <c r="FD19" s="27"/>
      <c r="FE19" s="27"/>
      <c r="FF19" s="27"/>
      <c r="FG19" s="27"/>
      <c r="FH19" s="27"/>
      <c r="FI19" s="27"/>
      <c r="FJ19" s="27"/>
      <c r="FK19" s="27"/>
      <c r="FL19" s="27"/>
      <c r="FM19" s="27"/>
      <c r="FN19" s="27"/>
      <c r="FO19" s="27"/>
      <c r="FP19" s="27"/>
      <c r="FQ19" s="27"/>
      <c r="FR19" s="27"/>
      <c r="FS19" s="27"/>
      <c r="FT19" s="27"/>
      <c r="FU19" s="27"/>
      <c r="FV19" s="27"/>
      <c r="FW19" s="27"/>
      <c r="FX19" s="27"/>
      <c r="FY19" s="27"/>
      <c r="FZ19" s="27"/>
      <c r="GA19" s="27"/>
      <c r="GB19" s="27"/>
      <c r="GC19" s="27"/>
      <c r="GD19" s="27"/>
      <c r="GE19" s="27"/>
      <c r="GF19" s="27"/>
      <c r="GG19" s="27"/>
      <c r="GH19" s="27"/>
      <c r="GI19" s="27"/>
      <c r="GJ19" s="27"/>
      <c r="GK19" s="27"/>
      <c r="GL19" s="27"/>
      <c r="GM19" s="27"/>
      <c r="GN19" s="27"/>
      <c r="GO19" s="27"/>
      <c r="GP19" s="27"/>
      <c r="GQ19" s="27"/>
      <c r="GR19" s="27"/>
      <c r="GS19" s="27"/>
      <c r="GT19" s="27"/>
      <c r="GU19" s="27"/>
      <c r="GV19" s="27"/>
      <c r="GW19" s="27"/>
      <c r="GX19" s="27"/>
      <c r="GY19" s="27"/>
      <c r="GZ19" s="27"/>
      <c r="HA19" s="27"/>
      <c r="HB19" s="27"/>
      <c r="HC19" s="27"/>
      <c r="HD19" s="27"/>
      <c r="HE19" s="27"/>
      <c r="HF19" s="27"/>
      <c r="HG19" s="27"/>
      <c r="HH19" s="27"/>
      <c r="HI19" s="27"/>
      <c r="HJ19" s="27"/>
      <c r="HK19" s="27"/>
      <c r="HL19" s="27"/>
      <c r="HM19" s="27"/>
      <c r="HN19" s="27"/>
      <c r="HO19" s="27"/>
      <c r="HP19" s="27"/>
      <c r="HQ19" s="27"/>
      <c r="HR19" s="27"/>
      <c r="HS19" s="27"/>
      <c r="HT19" s="27"/>
      <c r="HU19" s="27"/>
      <c r="HV19" s="27"/>
      <c r="HW19" s="27"/>
      <c r="HX19" s="27"/>
      <c r="HY19" s="27"/>
      <c r="HZ19" s="27"/>
      <c r="IA19" s="27"/>
      <c r="IB19" s="27"/>
      <c r="IC19" s="27"/>
      <c r="ID19" s="27"/>
      <c r="IE19" s="27"/>
      <c r="IF19" s="27"/>
      <c r="IG19" s="27"/>
      <c r="IH19" s="27"/>
      <c r="II19" s="27"/>
      <c r="IJ19" s="27"/>
      <c r="IK19" s="27"/>
      <c r="IL19" s="27"/>
      <c r="IM19" s="27"/>
      <c r="IN19" s="27"/>
      <c r="IO19" s="27"/>
      <c r="IP19" s="27"/>
      <c r="IQ19" s="27"/>
      <c r="IR19" s="27"/>
    </row>
    <row r="20" spans="1:252" x14ac:dyDescent="0.25">
      <c r="A20" s="67"/>
      <c r="B20" s="33"/>
      <c r="C20" s="33"/>
      <c r="D20" s="33"/>
      <c r="E20" s="763"/>
      <c r="F20" s="763"/>
      <c r="G20" s="763"/>
      <c r="H20" s="763"/>
      <c r="I20" s="763"/>
      <c r="J20" s="884"/>
      <c r="K20" s="140"/>
      <c r="L20" s="27"/>
      <c r="M20" s="27"/>
      <c r="N20" s="27"/>
      <c r="O20" s="27"/>
      <c r="P20" s="27"/>
      <c r="Q20" s="27"/>
      <c r="R20" s="27"/>
      <c r="S20" s="27"/>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c r="AZ20" s="27"/>
      <c r="BA20" s="27"/>
      <c r="BB20" s="27"/>
      <c r="BC20" s="27"/>
      <c r="BD20" s="27"/>
      <c r="BE20" s="27"/>
      <c r="BF20" s="27"/>
      <c r="BG20" s="27"/>
      <c r="BH20" s="27"/>
      <c r="BI20" s="27"/>
      <c r="BJ20" s="27"/>
      <c r="BK20" s="27"/>
      <c r="BL20" s="27"/>
      <c r="BM20" s="27"/>
      <c r="BN20" s="27"/>
      <c r="BO20" s="27"/>
      <c r="BP20" s="27"/>
      <c r="BQ20" s="27"/>
      <c r="BR20" s="27"/>
      <c r="BS20" s="27"/>
      <c r="BT20" s="27"/>
      <c r="BU20" s="27"/>
      <c r="BV20" s="27"/>
      <c r="BW20" s="27"/>
      <c r="BX20" s="27"/>
      <c r="BY20" s="27"/>
      <c r="BZ20" s="27"/>
      <c r="CA20" s="27"/>
      <c r="CB20" s="27"/>
      <c r="CC20" s="27"/>
      <c r="CD20" s="27"/>
      <c r="CE20" s="27"/>
      <c r="CF20" s="27"/>
      <c r="CG20" s="27"/>
      <c r="CH20" s="27"/>
      <c r="CI20" s="27"/>
      <c r="CJ20" s="27"/>
      <c r="CK20" s="27"/>
      <c r="CL20" s="27"/>
      <c r="CM20" s="27"/>
      <c r="CN20" s="27"/>
      <c r="CO20" s="27"/>
      <c r="CP20" s="27"/>
      <c r="CQ20" s="27"/>
      <c r="CR20" s="27"/>
      <c r="CS20" s="27"/>
      <c r="CT20" s="27"/>
      <c r="CU20" s="27"/>
      <c r="CV20" s="27"/>
      <c r="CW20" s="27"/>
      <c r="CX20" s="27"/>
      <c r="CY20" s="27"/>
      <c r="CZ20" s="27"/>
      <c r="DA20" s="27"/>
      <c r="DB20" s="27"/>
      <c r="DC20" s="27"/>
      <c r="DD20" s="27"/>
      <c r="DE20" s="27"/>
      <c r="DF20" s="27"/>
      <c r="DG20" s="27"/>
      <c r="DH20" s="27"/>
      <c r="DI20" s="27"/>
      <c r="DJ20" s="27"/>
      <c r="DK20" s="27"/>
      <c r="DL20" s="27"/>
      <c r="DM20" s="27"/>
      <c r="DN20" s="27"/>
      <c r="DO20" s="27"/>
      <c r="DP20" s="27"/>
      <c r="DQ20" s="27"/>
      <c r="DR20" s="27"/>
      <c r="DS20" s="27"/>
      <c r="DT20" s="27"/>
      <c r="DU20" s="27"/>
      <c r="DV20" s="27"/>
      <c r="DW20" s="27"/>
      <c r="DX20" s="27"/>
      <c r="DY20" s="27"/>
      <c r="DZ20" s="27"/>
      <c r="EA20" s="27"/>
      <c r="EB20" s="27"/>
      <c r="EC20" s="27"/>
      <c r="ED20" s="27"/>
      <c r="EE20" s="27"/>
      <c r="EF20" s="27"/>
      <c r="EG20" s="27"/>
      <c r="EH20" s="27"/>
      <c r="EI20" s="27"/>
      <c r="EJ20" s="27"/>
      <c r="EK20" s="27"/>
      <c r="EL20" s="27"/>
      <c r="EM20" s="27"/>
      <c r="EN20" s="27"/>
      <c r="EO20" s="27"/>
      <c r="EP20" s="27"/>
      <c r="EQ20" s="27"/>
      <c r="ER20" s="27"/>
      <c r="ES20" s="27"/>
      <c r="ET20" s="27"/>
      <c r="EU20" s="27"/>
      <c r="EV20" s="27"/>
      <c r="EW20" s="27"/>
      <c r="EX20" s="27"/>
      <c r="EY20" s="27"/>
      <c r="EZ20" s="27"/>
      <c r="FA20" s="27"/>
      <c r="FB20" s="27"/>
      <c r="FC20" s="27"/>
      <c r="FD20" s="27"/>
      <c r="FE20" s="27"/>
      <c r="FF20" s="27"/>
      <c r="FG20" s="27"/>
      <c r="FH20" s="27"/>
      <c r="FI20" s="27"/>
      <c r="FJ20" s="27"/>
      <c r="FK20" s="27"/>
      <c r="FL20" s="27"/>
      <c r="FM20" s="27"/>
      <c r="FN20" s="27"/>
      <c r="FO20" s="27"/>
      <c r="FP20" s="27"/>
      <c r="FQ20" s="27"/>
      <c r="FR20" s="27"/>
      <c r="FS20" s="27"/>
      <c r="FT20" s="27"/>
      <c r="FU20" s="27"/>
      <c r="FV20" s="27"/>
      <c r="FW20" s="27"/>
      <c r="FX20" s="27"/>
      <c r="FY20" s="27"/>
      <c r="FZ20" s="27"/>
      <c r="GA20" s="27"/>
      <c r="GB20" s="27"/>
      <c r="GC20" s="27"/>
      <c r="GD20" s="27"/>
      <c r="GE20" s="27"/>
      <c r="GF20" s="27"/>
      <c r="GG20" s="27"/>
      <c r="GH20" s="27"/>
      <c r="GI20" s="27"/>
      <c r="GJ20" s="27"/>
      <c r="GK20" s="27"/>
      <c r="GL20" s="27"/>
      <c r="GM20" s="27"/>
      <c r="GN20" s="27"/>
      <c r="GO20" s="27"/>
      <c r="GP20" s="27"/>
      <c r="GQ20" s="27"/>
      <c r="GR20" s="27"/>
      <c r="GS20" s="27"/>
      <c r="GT20" s="27"/>
      <c r="GU20" s="27"/>
      <c r="GV20" s="27"/>
      <c r="GW20" s="27"/>
      <c r="GX20" s="27"/>
      <c r="GY20" s="27"/>
      <c r="GZ20" s="27"/>
      <c r="HA20" s="27"/>
      <c r="HB20" s="27"/>
      <c r="HC20" s="27"/>
      <c r="HD20" s="27"/>
      <c r="HE20" s="27"/>
      <c r="HF20" s="27"/>
      <c r="HG20" s="27"/>
      <c r="HH20" s="27"/>
      <c r="HI20" s="27"/>
      <c r="HJ20" s="27"/>
      <c r="HK20" s="27"/>
      <c r="HL20" s="27"/>
      <c r="HM20" s="27"/>
      <c r="HN20" s="27"/>
      <c r="HO20" s="27"/>
      <c r="HP20" s="27"/>
      <c r="HQ20" s="27"/>
      <c r="HR20" s="27"/>
      <c r="HS20" s="27"/>
      <c r="HT20" s="27"/>
      <c r="HU20" s="27"/>
      <c r="HV20" s="27"/>
      <c r="HW20" s="27"/>
      <c r="HX20" s="27"/>
      <c r="HY20" s="27"/>
      <c r="HZ20" s="27"/>
      <c r="IA20" s="27"/>
      <c r="IB20" s="27"/>
      <c r="IC20" s="27"/>
      <c r="ID20" s="27"/>
      <c r="IE20" s="27"/>
      <c r="IF20" s="27"/>
      <c r="IG20" s="27"/>
      <c r="IH20" s="27"/>
      <c r="II20" s="27"/>
      <c r="IJ20" s="27"/>
      <c r="IK20" s="27"/>
      <c r="IL20" s="27"/>
      <c r="IM20" s="27"/>
      <c r="IN20" s="27"/>
      <c r="IO20" s="27"/>
      <c r="IP20" s="27"/>
      <c r="IQ20" s="27"/>
      <c r="IR20" s="27"/>
    </row>
    <row r="21" spans="1:252" x14ac:dyDescent="0.25">
      <c r="A21" s="67"/>
      <c r="B21" s="75"/>
      <c r="C21" s="33"/>
      <c r="D21" s="76"/>
      <c r="E21" s="762">
        <f>SUM(E19:E19)</f>
        <v>17878272.110799998</v>
      </c>
      <c r="F21" s="43">
        <f>SUM(F19:F19)</f>
        <v>6816442.5199999996</v>
      </c>
      <c r="G21" s="43">
        <f>SUM(G19:G19)</f>
        <v>252039.5</v>
      </c>
      <c r="H21" s="683">
        <f>SUM(H19:H19)</f>
        <v>7068482.0199999996</v>
      </c>
      <c r="I21" s="72">
        <f>H21/E21</f>
        <v>0.39536717956821088</v>
      </c>
      <c r="J21" s="73">
        <f>+E21-H21</f>
        <v>10809790.090799998</v>
      </c>
      <c r="K21" s="140"/>
      <c r="L21" s="84"/>
      <c r="M21" s="27"/>
      <c r="N21" s="27"/>
      <c r="O21" s="27"/>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c r="AZ21" s="27"/>
      <c r="BA21" s="27"/>
      <c r="BB21" s="27"/>
      <c r="BC21" s="27"/>
      <c r="BD21" s="27"/>
      <c r="BE21" s="27"/>
      <c r="BF21" s="27"/>
      <c r="BG21" s="27"/>
      <c r="BH21" s="27"/>
      <c r="BI21" s="27"/>
      <c r="BJ21" s="27"/>
      <c r="BK21" s="27"/>
      <c r="BL21" s="27"/>
      <c r="BM21" s="27"/>
      <c r="BN21" s="27"/>
      <c r="BO21" s="27"/>
      <c r="BP21" s="27"/>
      <c r="BQ21" s="27"/>
      <c r="BR21" s="27"/>
      <c r="BS21" s="27"/>
      <c r="BT21" s="27"/>
      <c r="BU21" s="27"/>
      <c r="BV21" s="27"/>
      <c r="BW21" s="27"/>
      <c r="BX21" s="27"/>
      <c r="BY21" s="27"/>
      <c r="BZ21" s="27"/>
      <c r="CA21" s="27"/>
      <c r="CB21" s="27"/>
      <c r="CC21" s="27"/>
      <c r="CD21" s="27"/>
      <c r="CE21" s="27"/>
      <c r="CF21" s="27"/>
      <c r="CG21" s="27"/>
      <c r="CH21" s="27"/>
      <c r="CI21" s="27"/>
      <c r="CJ21" s="27"/>
      <c r="CK21" s="27"/>
      <c r="CL21" s="27"/>
      <c r="CM21" s="27"/>
      <c r="CN21" s="27"/>
      <c r="CO21" s="27"/>
      <c r="CP21" s="27"/>
      <c r="CQ21" s="27"/>
      <c r="CR21" s="27"/>
      <c r="CS21" s="27"/>
      <c r="CT21" s="27"/>
      <c r="CU21" s="27"/>
      <c r="CV21" s="27"/>
      <c r="CW21" s="27"/>
      <c r="CX21" s="27"/>
      <c r="CY21" s="27"/>
      <c r="CZ21" s="27"/>
      <c r="DA21" s="27"/>
      <c r="DB21" s="27"/>
      <c r="DC21" s="27"/>
      <c r="DD21" s="27"/>
      <c r="DE21" s="27"/>
      <c r="DF21" s="27"/>
      <c r="DG21" s="27"/>
      <c r="DH21" s="27"/>
      <c r="DI21" s="27"/>
      <c r="DJ21" s="27"/>
      <c r="DK21" s="27"/>
      <c r="DL21" s="27"/>
      <c r="DM21" s="27"/>
      <c r="DN21" s="27"/>
      <c r="DO21" s="27"/>
      <c r="DP21" s="27"/>
      <c r="DQ21" s="27"/>
      <c r="DR21" s="27"/>
      <c r="DS21" s="27"/>
      <c r="DT21" s="27"/>
      <c r="DU21" s="27"/>
      <c r="DV21" s="27"/>
      <c r="DW21" s="27"/>
      <c r="DX21" s="27"/>
      <c r="DY21" s="27"/>
      <c r="DZ21" s="27"/>
      <c r="EA21" s="27"/>
      <c r="EB21" s="27"/>
      <c r="EC21" s="27"/>
      <c r="ED21" s="27"/>
      <c r="EE21" s="27"/>
      <c r="EF21" s="27"/>
      <c r="EG21" s="27"/>
      <c r="EH21" s="27"/>
      <c r="EI21" s="27"/>
      <c r="EJ21" s="27"/>
      <c r="EK21" s="27"/>
      <c r="EL21" s="27"/>
      <c r="EM21" s="27"/>
      <c r="EN21" s="27"/>
      <c r="EO21" s="27"/>
      <c r="EP21" s="27"/>
      <c r="EQ21" s="27"/>
      <c r="ER21" s="27"/>
      <c r="ES21" s="27"/>
      <c r="ET21" s="27"/>
      <c r="EU21" s="27"/>
      <c r="EV21" s="27"/>
      <c r="EW21" s="27"/>
      <c r="EX21" s="27"/>
      <c r="EY21" s="27"/>
      <c r="EZ21" s="27"/>
      <c r="FA21" s="27"/>
      <c r="FB21" s="27"/>
      <c r="FC21" s="27"/>
      <c r="FD21" s="27"/>
      <c r="FE21" s="27"/>
      <c r="FF21" s="27"/>
      <c r="FG21" s="27"/>
      <c r="FH21" s="27"/>
      <c r="FI21" s="27"/>
      <c r="FJ21" s="27"/>
      <c r="FK21" s="27"/>
      <c r="FL21" s="27"/>
      <c r="FM21" s="27"/>
      <c r="FN21" s="27"/>
      <c r="FO21" s="27"/>
      <c r="FP21" s="27"/>
      <c r="FQ21" s="27"/>
      <c r="FR21" s="27"/>
      <c r="FS21" s="27"/>
      <c r="FT21" s="27"/>
      <c r="FU21" s="27"/>
      <c r="FV21" s="27"/>
      <c r="FW21" s="27"/>
      <c r="FX21" s="27"/>
      <c r="FY21" s="27"/>
      <c r="FZ21" s="27"/>
      <c r="GA21" s="27"/>
      <c r="GB21" s="27"/>
      <c r="GC21" s="27"/>
      <c r="GD21" s="27"/>
      <c r="GE21" s="27"/>
      <c r="GF21" s="27"/>
      <c r="GG21" s="27"/>
      <c r="GH21" s="27"/>
      <c r="GI21" s="27"/>
      <c r="GJ21" s="27"/>
      <c r="GK21" s="27"/>
      <c r="GL21" s="27"/>
      <c r="GM21" s="27"/>
      <c r="GN21" s="27"/>
      <c r="GO21" s="27"/>
      <c r="GP21" s="27"/>
      <c r="GQ21" s="27"/>
      <c r="GR21" s="27"/>
      <c r="GS21" s="27"/>
      <c r="GT21" s="27"/>
      <c r="GU21" s="27"/>
      <c r="GV21" s="27"/>
      <c r="GW21" s="27"/>
      <c r="GX21" s="27"/>
      <c r="GY21" s="27"/>
      <c r="GZ21" s="27"/>
      <c r="HA21" s="27"/>
      <c r="HB21" s="27"/>
      <c r="HC21" s="27"/>
      <c r="HD21" s="27"/>
      <c r="HE21" s="27"/>
      <c r="HF21" s="27"/>
      <c r="HG21" s="27"/>
      <c r="HH21" s="27"/>
      <c r="HI21" s="27"/>
      <c r="HJ21" s="27"/>
      <c r="HK21" s="27"/>
      <c r="HL21" s="27"/>
      <c r="HM21" s="27"/>
      <c r="HN21" s="27"/>
      <c r="HO21" s="27"/>
      <c r="HP21" s="27"/>
      <c r="HQ21" s="27"/>
      <c r="HR21" s="27"/>
      <c r="HS21" s="27"/>
      <c r="HT21" s="27"/>
      <c r="HU21" s="27"/>
      <c r="HV21" s="27"/>
      <c r="HW21" s="27"/>
      <c r="HX21" s="27"/>
      <c r="HY21" s="27"/>
      <c r="HZ21" s="27"/>
      <c r="IA21" s="27"/>
      <c r="IB21" s="27"/>
      <c r="IC21" s="27"/>
      <c r="ID21" s="27"/>
      <c r="IE21" s="27"/>
      <c r="IF21" s="27"/>
      <c r="IG21" s="27"/>
      <c r="IH21" s="27"/>
      <c r="II21" s="27"/>
      <c r="IJ21" s="27"/>
      <c r="IK21" s="27"/>
      <c r="IL21" s="27"/>
      <c r="IM21" s="27"/>
      <c r="IN21" s="27"/>
      <c r="IO21" s="27"/>
      <c r="IP21" s="27"/>
      <c r="IQ21" s="27"/>
      <c r="IR21" s="27"/>
    </row>
    <row r="22" spans="1:252" x14ac:dyDescent="0.25">
      <c r="A22" s="67"/>
      <c r="B22" s="33"/>
      <c r="C22" s="33"/>
      <c r="D22" s="33"/>
      <c r="E22" s="42"/>
      <c r="F22" s="42"/>
      <c r="G22" s="42"/>
      <c r="H22" s="77"/>
      <c r="I22" s="42"/>
      <c r="J22" s="73"/>
      <c r="K22" s="82"/>
      <c r="L22" s="27"/>
      <c r="M22" s="27"/>
      <c r="N22" s="27"/>
      <c r="O22" s="27"/>
      <c r="P22" s="27"/>
      <c r="Q22" s="27"/>
      <c r="R22" s="27"/>
      <c r="S22" s="27"/>
      <c r="T22" s="27"/>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c r="AT22" s="27"/>
      <c r="AU22" s="27"/>
      <c r="AV22" s="27"/>
      <c r="AW22" s="27"/>
      <c r="AX22" s="27"/>
      <c r="AY22" s="27"/>
      <c r="AZ22" s="27"/>
      <c r="BA22" s="27"/>
      <c r="BB22" s="27"/>
      <c r="BC22" s="27"/>
      <c r="BD22" s="27"/>
      <c r="BE22" s="27"/>
      <c r="BF22" s="27"/>
      <c r="BG22" s="27"/>
      <c r="BH22" s="27"/>
      <c r="BI22" s="27"/>
      <c r="BJ22" s="27"/>
      <c r="BK22" s="27"/>
      <c r="BL22" s="27"/>
      <c r="BM22" s="27"/>
      <c r="BN22" s="27"/>
      <c r="BO22" s="27"/>
      <c r="BP22" s="27"/>
      <c r="BQ22" s="27"/>
      <c r="BR22" s="27"/>
      <c r="BS22" s="27"/>
      <c r="BT22" s="27"/>
      <c r="BU22" s="27"/>
      <c r="BV22" s="27"/>
      <c r="BW22" s="27"/>
      <c r="BX22" s="27"/>
      <c r="BY22" s="27"/>
      <c r="BZ22" s="27"/>
      <c r="CA22" s="27"/>
      <c r="CB22" s="27"/>
      <c r="CC22" s="27"/>
      <c r="CD22" s="27"/>
      <c r="CE22" s="27"/>
      <c r="CF22" s="27"/>
      <c r="CG22" s="27"/>
      <c r="CH22" s="27"/>
      <c r="CI22" s="27"/>
      <c r="CJ22" s="27"/>
      <c r="CK22" s="27"/>
      <c r="CL22" s="27"/>
      <c r="CM22" s="27"/>
      <c r="CN22" s="27"/>
      <c r="CO22" s="27"/>
      <c r="CP22" s="27"/>
      <c r="CQ22" s="27"/>
      <c r="CR22" s="27"/>
      <c r="CS22" s="27"/>
      <c r="CT22" s="27"/>
      <c r="CU22" s="27"/>
      <c r="CV22" s="27"/>
      <c r="CW22" s="27"/>
      <c r="CX22" s="27"/>
      <c r="CY22" s="27"/>
      <c r="CZ22" s="27"/>
      <c r="DA22" s="27"/>
      <c r="DB22" s="27"/>
      <c r="DC22" s="27"/>
      <c r="DD22" s="27"/>
      <c r="DE22" s="27"/>
      <c r="DF22" s="27"/>
      <c r="DG22" s="27"/>
      <c r="DH22" s="27"/>
      <c r="DI22" s="27"/>
      <c r="DJ22" s="27"/>
      <c r="DK22" s="27"/>
      <c r="DL22" s="27"/>
      <c r="DM22" s="27"/>
      <c r="DN22" s="27"/>
      <c r="DO22" s="27"/>
      <c r="DP22" s="27"/>
      <c r="DQ22" s="27"/>
      <c r="DR22" s="27"/>
      <c r="DS22" s="27"/>
      <c r="DT22" s="27"/>
      <c r="DU22" s="27"/>
      <c r="DV22" s="27"/>
      <c r="DW22" s="27"/>
      <c r="DX22" s="27"/>
      <c r="DY22" s="27"/>
      <c r="DZ22" s="27"/>
      <c r="EA22" s="27"/>
      <c r="EB22" s="27"/>
      <c r="EC22" s="27"/>
      <c r="ED22" s="27"/>
      <c r="EE22" s="27"/>
      <c r="EF22" s="27"/>
      <c r="EG22" s="27"/>
      <c r="EH22" s="27"/>
      <c r="EI22" s="27"/>
      <c r="EJ22" s="27"/>
      <c r="EK22" s="27"/>
      <c r="EL22" s="27"/>
      <c r="EM22" s="27"/>
      <c r="EN22" s="27"/>
      <c r="EO22" s="27"/>
      <c r="EP22" s="27"/>
      <c r="EQ22" s="27"/>
      <c r="ER22" s="27"/>
      <c r="ES22" s="27"/>
      <c r="ET22" s="27"/>
      <c r="EU22" s="27"/>
      <c r="EV22" s="27"/>
      <c r="EW22" s="27"/>
      <c r="EX22" s="27"/>
      <c r="EY22" s="27"/>
      <c r="EZ22" s="27"/>
      <c r="FA22" s="27"/>
      <c r="FB22" s="27"/>
      <c r="FC22" s="27"/>
      <c r="FD22" s="27"/>
      <c r="FE22" s="27"/>
      <c r="FF22" s="27"/>
      <c r="FG22" s="27"/>
      <c r="FH22" s="27"/>
      <c r="FI22" s="27"/>
      <c r="FJ22" s="27"/>
      <c r="FK22" s="27"/>
      <c r="FL22" s="27"/>
      <c r="FM22" s="27"/>
      <c r="FN22" s="27"/>
      <c r="FO22" s="27"/>
      <c r="FP22" s="27"/>
      <c r="FQ22" s="27"/>
      <c r="FR22" s="27"/>
      <c r="FS22" s="27"/>
      <c r="FT22" s="27"/>
      <c r="FU22" s="27"/>
      <c r="FV22" s="27"/>
      <c r="FW22" s="27"/>
      <c r="FX22" s="27"/>
      <c r="FY22" s="27"/>
      <c r="FZ22" s="27"/>
      <c r="GA22" s="27"/>
      <c r="GB22" s="27"/>
      <c r="GC22" s="27"/>
      <c r="GD22" s="27"/>
      <c r="GE22" s="27"/>
      <c r="GF22" s="27"/>
      <c r="GG22" s="27"/>
      <c r="GH22" s="27"/>
      <c r="GI22" s="27"/>
      <c r="GJ22" s="27"/>
      <c r="GK22" s="27"/>
      <c r="GL22" s="27"/>
      <c r="GM22" s="27"/>
      <c r="GN22" s="27"/>
      <c r="GO22" s="27"/>
      <c r="GP22" s="27"/>
      <c r="GQ22" s="27"/>
      <c r="GR22" s="27"/>
      <c r="GS22" s="27"/>
      <c r="GT22" s="27"/>
      <c r="GU22" s="27"/>
      <c r="GV22" s="27"/>
      <c r="GW22" s="27"/>
      <c r="GX22" s="27"/>
      <c r="GY22" s="27"/>
      <c r="GZ22" s="27"/>
      <c r="HA22" s="27"/>
      <c r="HB22" s="27"/>
      <c r="HC22" s="27"/>
      <c r="HD22" s="27"/>
      <c r="HE22" s="27"/>
      <c r="HF22" s="27"/>
      <c r="HG22" s="27"/>
      <c r="HH22" s="27"/>
      <c r="HI22" s="27"/>
      <c r="HJ22" s="27"/>
      <c r="HK22" s="27"/>
      <c r="HL22" s="27"/>
      <c r="HM22" s="27"/>
      <c r="HN22" s="27"/>
      <c r="HO22" s="27"/>
      <c r="HP22" s="27"/>
      <c r="HQ22" s="27"/>
      <c r="HR22" s="27"/>
      <c r="HS22" s="27"/>
      <c r="HT22" s="27"/>
      <c r="HU22" s="27"/>
      <c r="HV22" s="27"/>
      <c r="HW22" s="27"/>
      <c r="HX22" s="27"/>
      <c r="HY22" s="27"/>
      <c r="HZ22" s="27"/>
      <c r="IA22" s="27"/>
      <c r="IB22" s="27"/>
      <c r="IC22" s="27"/>
      <c r="ID22" s="27"/>
      <c r="IE22" s="27"/>
      <c r="IF22" s="27"/>
      <c r="IG22" s="27"/>
      <c r="IH22" s="27"/>
      <c r="II22" s="27"/>
      <c r="IJ22" s="27"/>
      <c r="IK22" s="27"/>
      <c r="IL22" s="27"/>
      <c r="IM22" s="27"/>
      <c r="IN22" s="27"/>
      <c r="IO22" s="27"/>
      <c r="IP22" s="27"/>
      <c r="IQ22" s="27"/>
      <c r="IR22" s="27"/>
    </row>
    <row r="23" spans="1:252" x14ac:dyDescent="0.25">
      <c r="A23" s="92"/>
      <c r="B23" s="93" t="s">
        <v>150</v>
      </c>
      <c r="C23" s="93"/>
      <c r="D23" s="93"/>
      <c r="E23" s="94"/>
      <c r="F23" s="94">
        <f>'PUENTE CCANCHI'!H131</f>
        <v>0.38126964874207775</v>
      </c>
      <c r="G23" s="94">
        <f>'PUENTE CCANCHI'!J131</f>
        <v>1.41E-2</v>
      </c>
      <c r="H23" s="95">
        <f>'PUENTE CCANCHI'!L131</f>
        <v>0.39536718022822992</v>
      </c>
      <c r="I23" s="96"/>
      <c r="J23" s="97">
        <f>100%-H23</f>
        <v>0.60463281977177008</v>
      </c>
      <c r="K23" s="166"/>
      <c r="L23" s="27"/>
      <c r="M23" s="27"/>
      <c r="N23" s="27"/>
      <c r="O23" s="27"/>
      <c r="P23" s="27"/>
      <c r="Q23" s="27"/>
      <c r="R23" s="27"/>
      <c r="S23" s="27"/>
      <c r="T23" s="27"/>
      <c r="U23" s="27"/>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7"/>
      <c r="AX23" s="27"/>
      <c r="AY23" s="27"/>
      <c r="AZ23" s="27"/>
      <c r="BA23" s="27"/>
      <c r="BB23" s="27"/>
      <c r="BC23" s="27"/>
      <c r="BD23" s="27"/>
      <c r="BE23" s="27"/>
      <c r="BF23" s="27"/>
      <c r="BG23" s="27"/>
      <c r="BH23" s="27"/>
      <c r="BI23" s="27"/>
      <c r="BJ23" s="27"/>
      <c r="BK23" s="27"/>
      <c r="BL23" s="27"/>
      <c r="BM23" s="27"/>
      <c r="BN23" s="27"/>
      <c r="BO23" s="27"/>
      <c r="BP23" s="27"/>
      <c r="BQ23" s="27"/>
      <c r="BR23" s="27"/>
      <c r="BS23" s="27"/>
      <c r="BT23" s="27"/>
      <c r="BU23" s="27"/>
      <c r="BV23" s="27"/>
      <c r="BW23" s="27"/>
      <c r="BX23" s="27"/>
      <c r="BY23" s="27"/>
      <c r="BZ23" s="27"/>
      <c r="CA23" s="27"/>
      <c r="CB23" s="27"/>
      <c r="CC23" s="27"/>
      <c r="CD23" s="27"/>
      <c r="CE23" s="27"/>
      <c r="CF23" s="27"/>
      <c r="CG23" s="27"/>
      <c r="CH23" s="27"/>
      <c r="CI23" s="27"/>
      <c r="CJ23" s="27"/>
      <c r="CK23" s="27"/>
      <c r="CL23" s="27"/>
      <c r="CM23" s="27"/>
      <c r="CN23" s="27"/>
      <c r="CO23" s="27"/>
      <c r="CP23" s="27"/>
      <c r="CQ23" s="27"/>
      <c r="CR23" s="27"/>
      <c r="CS23" s="27"/>
      <c r="CT23" s="27"/>
      <c r="CU23" s="27"/>
      <c r="CV23" s="27"/>
      <c r="CW23" s="27"/>
      <c r="CX23" s="27"/>
      <c r="CY23" s="27"/>
      <c r="CZ23" s="27"/>
      <c r="DA23" s="27"/>
      <c r="DB23" s="27"/>
      <c r="DC23" s="27"/>
      <c r="DD23" s="27"/>
      <c r="DE23" s="27"/>
      <c r="DF23" s="27"/>
      <c r="DG23" s="27"/>
      <c r="DH23" s="27"/>
      <c r="DI23" s="27"/>
      <c r="DJ23" s="27"/>
      <c r="DK23" s="27"/>
      <c r="DL23" s="27"/>
      <c r="DM23" s="27"/>
      <c r="DN23" s="27"/>
      <c r="DO23" s="27"/>
      <c r="DP23" s="27"/>
      <c r="DQ23" s="27"/>
      <c r="DR23" s="27"/>
      <c r="DS23" s="27"/>
      <c r="DT23" s="27"/>
      <c r="DU23" s="27"/>
      <c r="DV23" s="27"/>
      <c r="DW23" s="27"/>
      <c r="DX23" s="27"/>
      <c r="DY23" s="27"/>
      <c r="DZ23" s="27"/>
      <c r="EA23" s="27"/>
      <c r="EB23" s="27"/>
      <c r="EC23" s="27"/>
      <c r="ED23" s="27"/>
      <c r="EE23" s="27"/>
      <c r="EF23" s="27"/>
      <c r="EG23" s="27"/>
      <c r="EH23" s="27"/>
      <c r="EI23" s="27"/>
      <c r="EJ23" s="27"/>
      <c r="EK23" s="27"/>
      <c r="EL23" s="27"/>
      <c r="EM23" s="27"/>
      <c r="EN23" s="27"/>
      <c r="EO23" s="27"/>
      <c r="EP23" s="27"/>
      <c r="EQ23" s="27"/>
      <c r="ER23" s="27"/>
      <c r="ES23" s="27"/>
      <c r="ET23" s="27"/>
      <c r="EU23" s="27"/>
      <c r="EV23" s="27"/>
      <c r="EW23" s="27"/>
      <c r="EX23" s="27"/>
      <c r="EY23" s="27"/>
      <c r="EZ23" s="27"/>
      <c r="FA23" s="27"/>
      <c r="FB23" s="27"/>
      <c r="FC23" s="27"/>
      <c r="FD23" s="27"/>
      <c r="FE23" s="27"/>
      <c r="FF23" s="27"/>
      <c r="FG23" s="27"/>
      <c r="FH23" s="27"/>
      <c r="FI23" s="27"/>
      <c r="FJ23" s="27"/>
      <c r="FK23" s="27"/>
      <c r="FL23" s="27"/>
      <c r="FM23" s="27"/>
      <c r="FN23" s="27"/>
      <c r="FO23" s="27"/>
      <c r="FP23" s="27"/>
      <c r="FQ23" s="27"/>
      <c r="FR23" s="27"/>
      <c r="FS23" s="27"/>
      <c r="FT23" s="27"/>
      <c r="FU23" s="27"/>
      <c r="FV23" s="27"/>
      <c r="FW23" s="27"/>
      <c r="FX23" s="27"/>
      <c r="FY23" s="27"/>
      <c r="FZ23" s="27"/>
      <c r="GA23" s="27"/>
      <c r="GB23" s="27"/>
      <c r="GC23" s="27"/>
      <c r="GD23" s="27"/>
      <c r="GE23" s="27"/>
      <c r="GF23" s="27"/>
      <c r="GG23" s="27"/>
      <c r="GH23" s="27"/>
      <c r="GI23" s="27"/>
      <c r="GJ23" s="27"/>
      <c r="GK23" s="27"/>
      <c r="GL23" s="27"/>
      <c r="GM23" s="27"/>
      <c r="GN23" s="27"/>
      <c r="GO23" s="27"/>
      <c r="GP23" s="27"/>
      <c r="GQ23" s="27"/>
      <c r="GR23" s="27"/>
      <c r="GS23" s="27"/>
      <c r="GT23" s="27"/>
      <c r="GU23" s="27"/>
      <c r="GV23" s="27"/>
      <c r="GW23" s="27"/>
      <c r="GX23" s="27"/>
      <c r="GY23" s="27"/>
      <c r="GZ23" s="27"/>
      <c r="HA23" s="27"/>
      <c r="HB23" s="27"/>
      <c r="HC23" s="27"/>
      <c r="HD23" s="27"/>
      <c r="HE23" s="27"/>
      <c r="HF23" s="27"/>
      <c r="HG23" s="27"/>
      <c r="HH23" s="27"/>
      <c r="HI23" s="27"/>
      <c r="HJ23" s="27"/>
      <c r="HK23" s="27"/>
      <c r="HL23" s="27"/>
      <c r="HM23" s="27"/>
      <c r="HN23" s="27"/>
      <c r="HO23" s="27"/>
      <c r="HP23" s="27"/>
      <c r="HQ23" s="27"/>
      <c r="HR23" s="27"/>
      <c r="HS23" s="27"/>
      <c r="HT23" s="27"/>
      <c r="HU23" s="27"/>
      <c r="HV23" s="27"/>
      <c r="HW23" s="27"/>
      <c r="HX23" s="27"/>
      <c r="HY23" s="27"/>
      <c r="HZ23" s="27"/>
      <c r="IA23" s="27"/>
      <c r="IB23" s="27"/>
      <c r="IC23" s="27"/>
      <c r="ID23" s="27"/>
      <c r="IE23" s="27"/>
      <c r="IF23" s="27"/>
      <c r="IG23" s="27"/>
      <c r="IH23" s="27"/>
      <c r="II23" s="27"/>
      <c r="IJ23" s="27"/>
      <c r="IK23" s="27"/>
      <c r="IL23" s="27"/>
      <c r="IM23" s="27"/>
      <c r="IN23" s="27"/>
      <c r="IO23" s="27"/>
      <c r="IP23" s="27"/>
      <c r="IQ23" s="27"/>
      <c r="IR23" s="27"/>
    </row>
    <row r="24" spans="1:252" ht="13.8" thickBot="1" x14ac:dyDescent="0.3">
      <c r="A24" s="885"/>
      <c r="B24" s="886"/>
      <c r="C24" s="886"/>
      <c r="D24" s="886"/>
      <c r="E24" s="887"/>
      <c r="F24" s="887"/>
      <c r="G24" s="887"/>
      <c r="H24" s="888"/>
      <c r="I24" s="887"/>
      <c r="J24" s="889"/>
      <c r="K24" s="183"/>
      <c r="L24" s="183"/>
      <c r="M24" s="183"/>
      <c r="N24" s="27"/>
      <c r="O24" s="27"/>
      <c r="P24" s="27"/>
      <c r="Q24" s="27"/>
      <c r="R24" s="27"/>
      <c r="S24" s="27"/>
      <c r="T24" s="27"/>
      <c r="U24" s="27"/>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c r="AZ24" s="27"/>
      <c r="BA24" s="27"/>
      <c r="BB24" s="27"/>
      <c r="BC24" s="27"/>
      <c r="BD24" s="27"/>
      <c r="BE24" s="27"/>
      <c r="BF24" s="27"/>
      <c r="BG24" s="27"/>
      <c r="BH24" s="27"/>
      <c r="BI24" s="27"/>
      <c r="BJ24" s="27"/>
      <c r="BK24" s="27"/>
      <c r="BL24" s="27"/>
      <c r="BM24" s="27"/>
      <c r="BN24" s="27"/>
      <c r="BO24" s="27"/>
      <c r="BP24" s="27"/>
      <c r="BQ24" s="27"/>
      <c r="BR24" s="27"/>
      <c r="BS24" s="27"/>
      <c r="BT24" s="27"/>
      <c r="BU24" s="27"/>
      <c r="BV24" s="27"/>
      <c r="BW24" s="27"/>
      <c r="BX24" s="27"/>
      <c r="BY24" s="27"/>
      <c r="BZ24" s="27"/>
      <c r="CA24" s="27"/>
      <c r="CB24" s="27"/>
      <c r="CC24" s="27"/>
      <c r="CD24" s="27"/>
      <c r="CE24" s="27"/>
      <c r="CF24" s="27"/>
      <c r="CG24" s="27"/>
      <c r="CH24" s="27"/>
      <c r="CI24" s="27"/>
      <c r="CJ24" s="27"/>
      <c r="CK24" s="27"/>
      <c r="CL24" s="27"/>
      <c r="CM24" s="27"/>
      <c r="CN24" s="27"/>
      <c r="CO24" s="27"/>
      <c r="CP24" s="27"/>
      <c r="CQ24" s="27"/>
      <c r="CR24" s="27"/>
      <c r="CS24" s="27"/>
      <c r="CT24" s="27"/>
      <c r="CU24" s="27"/>
      <c r="CV24" s="27"/>
      <c r="CW24" s="27"/>
      <c r="CX24" s="27"/>
      <c r="CY24" s="27"/>
      <c r="CZ24" s="27"/>
      <c r="DA24" s="27"/>
      <c r="DB24" s="27"/>
      <c r="DC24" s="27"/>
      <c r="DD24" s="27"/>
      <c r="DE24" s="27"/>
      <c r="DF24" s="27"/>
      <c r="DG24" s="27"/>
      <c r="DH24" s="27"/>
      <c r="DI24" s="27"/>
      <c r="DJ24" s="27"/>
      <c r="DK24" s="27"/>
      <c r="DL24" s="27"/>
      <c r="DM24" s="27"/>
      <c r="DN24" s="27"/>
      <c r="DO24" s="27"/>
      <c r="DP24" s="27"/>
      <c r="DQ24" s="27"/>
      <c r="DR24" s="27"/>
      <c r="DS24" s="27"/>
      <c r="DT24" s="27"/>
      <c r="DU24" s="27"/>
      <c r="DV24" s="27"/>
      <c r="DW24" s="27"/>
      <c r="DX24" s="27"/>
      <c r="DY24" s="27"/>
      <c r="DZ24" s="27"/>
      <c r="EA24" s="27"/>
      <c r="EB24" s="27"/>
      <c r="EC24" s="27"/>
      <c r="ED24" s="27"/>
      <c r="EE24" s="27"/>
      <c r="EF24" s="27"/>
      <c r="EG24" s="27"/>
      <c r="EH24" s="27"/>
      <c r="EI24" s="27"/>
      <c r="EJ24" s="27"/>
      <c r="EK24" s="27"/>
      <c r="EL24" s="27"/>
      <c r="EM24" s="27"/>
      <c r="EN24" s="27"/>
      <c r="EO24" s="27"/>
      <c r="EP24" s="27"/>
      <c r="EQ24" s="27"/>
      <c r="ER24" s="27"/>
      <c r="ES24" s="27"/>
      <c r="ET24" s="27"/>
      <c r="EU24" s="27"/>
      <c r="EV24" s="27"/>
      <c r="EW24" s="27"/>
      <c r="EX24" s="27"/>
      <c r="EY24" s="27"/>
      <c r="EZ24" s="27"/>
      <c r="FA24" s="27"/>
      <c r="FB24" s="27"/>
      <c r="FC24" s="27"/>
      <c r="FD24" s="27"/>
      <c r="FE24" s="27"/>
      <c r="FF24" s="27"/>
      <c r="FG24" s="27"/>
      <c r="FH24" s="27"/>
      <c r="FI24" s="27"/>
      <c r="FJ24" s="27"/>
      <c r="FK24" s="27"/>
      <c r="FL24" s="27"/>
      <c r="FM24" s="27"/>
      <c r="FN24" s="27"/>
      <c r="FO24" s="27"/>
      <c r="FP24" s="27"/>
      <c r="FQ24" s="27"/>
      <c r="FR24" s="27"/>
      <c r="FS24" s="27"/>
      <c r="FT24" s="27"/>
      <c r="FU24" s="27"/>
      <c r="FV24" s="27"/>
      <c r="FW24" s="27"/>
      <c r="FX24" s="27"/>
      <c r="FY24" s="27"/>
      <c r="FZ24" s="27"/>
      <c r="GA24" s="27"/>
      <c r="GB24" s="27"/>
      <c r="GC24" s="27"/>
      <c r="GD24" s="27"/>
      <c r="GE24" s="27"/>
      <c r="GF24" s="27"/>
      <c r="GG24" s="27"/>
      <c r="GH24" s="27"/>
      <c r="GI24" s="27"/>
      <c r="GJ24" s="27"/>
      <c r="GK24" s="27"/>
      <c r="GL24" s="27"/>
      <c r="GM24" s="27"/>
      <c r="GN24" s="27"/>
      <c r="GO24" s="27"/>
      <c r="GP24" s="27"/>
      <c r="GQ24" s="27"/>
      <c r="GR24" s="27"/>
      <c r="GS24" s="27"/>
      <c r="GT24" s="27"/>
      <c r="GU24" s="27"/>
      <c r="GV24" s="27"/>
      <c r="GW24" s="27"/>
      <c r="GX24" s="27"/>
      <c r="GY24" s="27"/>
      <c r="GZ24" s="27"/>
      <c r="HA24" s="27"/>
      <c r="HB24" s="27"/>
      <c r="HC24" s="27"/>
      <c r="HD24" s="27"/>
      <c r="HE24" s="27"/>
      <c r="HF24" s="27"/>
      <c r="HG24" s="27"/>
      <c r="HH24" s="27"/>
      <c r="HI24" s="27"/>
      <c r="HJ24" s="27"/>
      <c r="HK24" s="27"/>
      <c r="HL24" s="27"/>
      <c r="HM24" s="27"/>
      <c r="HN24" s="27"/>
      <c r="HO24" s="27"/>
      <c r="HP24" s="27"/>
      <c r="HQ24" s="27"/>
      <c r="HR24" s="27"/>
      <c r="HS24" s="27"/>
      <c r="HT24" s="27"/>
      <c r="HU24" s="27"/>
      <c r="HV24" s="27"/>
      <c r="HW24" s="27"/>
      <c r="HX24" s="27"/>
      <c r="HY24" s="27"/>
      <c r="HZ24" s="27"/>
      <c r="IA24" s="27"/>
      <c r="IB24" s="27"/>
      <c r="IC24" s="27"/>
      <c r="ID24" s="27"/>
      <c r="IE24" s="27"/>
      <c r="IF24" s="27"/>
      <c r="IG24" s="27"/>
      <c r="IH24" s="27"/>
      <c r="II24" s="27"/>
      <c r="IJ24" s="27"/>
      <c r="IK24" s="27"/>
      <c r="IL24" s="27"/>
      <c r="IM24" s="27"/>
      <c r="IN24" s="27"/>
      <c r="IO24" s="27"/>
      <c r="IP24" s="27"/>
      <c r="IQ24" s="27"/>
      <c r="IR24" s="27"/>
    </row>
    <row r="25" spans="1:252" s="63" customFormat="1" ht="24" customHeight="1" thickBot="1" x14ac:dyDescent="0.3">
      <c r="A25" s="1047"/>
      <c r="B25" s="1048" t="s">
        <v>162</v>
      </c>
      <c r="C25" s="1049"/>
      <c r="D25" s="1049"/>
      <c r="E25" s="1050"/>
      <c r="F25" s="1051">
        <f>F21</f>
        <v>6816442.5199999996</v>
      </c>
      <c r="G25" s="1052">
        <f>G21</f>
        <v>252039.5</v>
      </c>
      <c r="H25" s="1052">
        <f>H21</f>
        <v>7068482.0199999996</v>
      </c>
      <c r="I25" s="956"/>
      <c r="J25" s="957"/>
    </row>
    <row r="26" spans="1:252" x14ac:dyDescent="0.25">
      <c r="E26" s="64"/>
      <c r="F26" s="64"/>
      <c r="G26" s="64"/>
      <c r="H26" s="64"/>
      <c r="I26" s="64"/>
      <c r="J26" s="64"/>
    </row>
    <row r="27" spans="1:252" x14ac:dyDescent="0.25">
      <c r="E27" s="64"/>
      <c r="F27" s="64"/>
      <c r="G27" s="64"/>
      <c r="H27" s="64"/>
      <c r="I27" s="64"/>
      <c r="J27" s="64"/>
    </row>
    <row r="28" spans="1:252" ht="15.6" x14ac:dyDescent="0.25">
      <c r="E28" s="64"/>
      <c r="F28" s="64"/>
      <c r="G28" s="375"/>
      <c r="H28" s="154"/>
      <c r="I28" s="64"/>
      <c r="J28" s="64"/>
    </row>
    <row r="29" spans="1:252" ht="15.6" x14ac:dyDescent="0.25">
      <c r="E29" s="64"/>
      <c r="F29" s="64"/>
      <c r="G29" s="375"/>
      <c r="H29" s="64"/>
      <c r="I29" s="64"/>
      <c r="J29" s="64"/>
    </row>
    <row r="30" spans="1:252" x14ac:dyDescent="0.25">
      <c r="E30" s="64"/>
      <c r="F30" s="64"/>
      <c r="G30" s="64"/>
      <c r="H30" s="64"/>
      <c r="I30" s="64"/>
      <c r="J30" s="64"/>
    </row>
    <row r="31" spans="1:252" ht="14.4" x14ac:dyDescent="0.25">
      <c r="A31" s="2353" t="s">
        <v>8</v>
      </c>
      <c r="B31" s="2353" t="s">
        <v>1194</v>
      </c>
      <c r="C31" s="2344"/>
      <c r="D31" s="2357" t="s">
        <v>654</v>
      </c>
      <c r="E31" s="2360" t="s">
        <v>1201</v>
      </c>
      <c r="F31" s="2361" t="s">
        <v>1195</v>
      </c>
      <c r="G31" s="2362"/>
      <c r="H31" s="2362"/>
      <c r="I31" s="2362"/>
      <c r="J31" s="2362"/>
      <c r="K31" s="2363"/>
      <c r="L31" s="2343" t="s">
        <v>144</v>
      </c>
      <c r="M31" s="2344"/>
    </row>
    <row r="32" spans="1:252" ht="14.4" x14ac:dyDescent="0.25">
      <c r="A32" s="2354"/>
      <c r="B32" s="2354"/>
      <c r="C32" s="2356"/>
      <c r="D32" s="2358"/>
      <c r="E32" s="2358"/>
      <c r="F32" s="2347" t="s">
        <v>147</v>
      </c>
      <c r="G32" s="2348"/>
      <c r="H32" s="2349" t="s">
        <v>10</v>
      </c>
      <c r="I32" s="2348"/>
      <c r="J32" s="2350" t="s">
        <v>11</v>
      </c>
      <c r="K32" s="2348"/>
      <c r="L32" s="2345"/>
      <c r="M32" s="2346"/>
    </row>
    <row r="33" spans="1:13" ht="14.4" x14ac:dyDescent="0.25">
      <c r="A33" s="2355"/>
      <c r="B33" s="2355"/>
      <c r="C33" s="2346"/>
      <c r="D33" s="2359"/>
      <c r="E33" s="2359"/>
      <c r="F33" s="1041" t="s">
        <v>1196</v>
      </c>
      <c r="G33" s="1042" t="s">
        <v>17</v>
      </c>
      <c r="H33" s="1043" t="s">
        <v>1197</v>
      </c>
      <c r="I33" s="1044" t="s">
        <v>17</v>
      </c>
      <c r="J33" s="1045" t="s">
        <v>1196</v>
      </c>
      <c r="K33" s="1045" t="s">
        <v>17</v>
      </c>
      <c r="L33" s="1046" t="s">
        <v>1196</v>
      </c>
      <c r="M33" s="1046" t="s">
        <v>17</v>
      </c>
    </row>
    <row r="34" spans="1:13" ht="14.4" x14ac:dyDescent="0.25">
      <c r="A34" s="1075"/>
      <c r="B34" s="1075"/>
      <c r="C34" s="501"/>
      <c r="D34" s="1076"/>
      <c r="E34" s="1076"/>
      <c r="F34" s="1077"/>
      <c r="G34" s="1078"/>
      <c r="H34" s="1079"/>
      <c r="I34" s="1078"/>
      <c r="J34" s="1080"/>
      <c r="K34" s="1080"/>
      <c r="L34" s="1078"/>
      <c r="M34" s="1078"/>
    </row>
    <row r="35" spans="1:13" ht="14.4" x14ac:dyDescent="0.3">
      <c r="A35" s="1081" t="s">
        <v>1198</v>
      </c>
      <c r="B35" s="2351" t="s">
        <v>1810</v>
      </c>
      <c r="C35" s="2352"/>
      <c r="D35" s="1082" t="s">
        <v>277</v>
      </c>
      <c r="E35" s="1083">
        <f>+E21</f>
        <v>17878272.110799998</v>
      </c>
      <c r="F35" s="1084">
        <f>+F21</f>
        <v>6816442.5199999996</v>
      </c>
      <c r="G35" s="1085">
        <f>F35/E35</f>
        <v>0.38126964830579396</v>
      </c>
      <c r="H35" s="1343">
        <f>+G21</f>
        <v>252039.5</v>
      </c>
      <c r="I35" s="1085">
        <f>H35/E35</f>
        <v>1.4097531262416947E-2</v>
      </c>
      <c r="J35" s="1086">
        <f>+H21</f>
        <v>7068482.0199999996</v>
      </c>
      <c r="K35" s="1085">
        <f>I35+G35</f>
        <v>0.39536717956821094</v>
      </c>
      <c r="L35" s="1086">
        <f>E35-J35</f>
        <v>10809790.090799998</v>
      </c>
      <c r="M35" s="1085">
        <f>L35/E35</f>
        <v>0.60463282043178912</v>
      </c>
    </row>
    <row r="36" spans="1:13" ht="14.4" x14ac:dyDescent="0.3">
      <c r="A36" s="1081" t="s">
        <v>1199</v>
      </c>
      <c r="B36" s="2342" t="s">
        <v>1811</v>
      </c>
      <c r="C36" s="2342"/>
      <c r="D36" s="1082" t="s">
        <v>277</v>
      </c>
      <c r="E36" s="1083">
        <v>730952.79</v>
      </c>
      <c r="F36" s="1084">
        <v>43691.040000000001</v>
      </c>
      <c r="G36" s="1085">
        <f>F36/E36</f>
        <v>5.9772724856826935E-2</v>
      </c>
      <c r="H36" s="1086">
        <v>6004.05</v>
      </c>
      <c r="I36" s="1085">
        <f>H36/E36</f>
        <v>8.2140051753547584E-3</v>
      </c>
      <c r="J36" s="1086">
        <f>F36+H36</f>
        <v>49695.090000000004</v>
      </c>
      <c r="K36" s="1085">
        <f>I36+G36</f>
        <v>6.7986730032181697E-2</v>
      </c>
      <c r="L36" s="1086">
        <f>E36-J36</f>
        <v>681257.70000000007</v>
      </c>
      <c r="M36" s="1085">
        <f>L36/E36</f>
        <v>0.9320132699678183</v>
      </c>
    </row>
    <row r="37" spans="1:13" ht="15" thickBot="1" x14ac:dyDescent="0.35">
      <c r="A37" s="1081" t="s">
        <v>1202</v>
      </c>
      <c r="B37" s="2342" t="s">
        <v>1203</v>
      </c>
      <c r="C37" s="2342"/>
      <c r="D37" s="1082" t="s">
        <v>277</v>
      </c>
      <c r="E37" s="1083">
        <v>-770275.93</v>
      </c>
      <c r="F37" s="1084"/>
      <c r="G37" s="1085"/>
      <c r="H37" s="1086"/>
      <c r="I37" s="1085"/>
      <c r="J37" s="1086"/>
      <c r="K37" s="1085"/>
      <c r="L37" s="1086">
        <f>+E37</f>
        <v>-770275.93</v>
      </c>
      <c r="M37" s="1085"/>
    </row>
    <row r="38" spans="1:13" ht="15" thickBot="1" x14ac:dyDescent="0.35">
      <c r="A38" s="1087"/>
      <c r="B38" s="1088" t="s">
        <v>1200</v>
      </c>
      <c r="C38" s="1089"/>
      <c r="D38" s="1090"/>
      <c r="E38" s="1091">
        <v>17838948.969999999</v>
      </c>
      <c r="F38" s="1092">
        <f>SUM(F35:F36)</f>
        <v>6860133.5599999996</v>
      </c>
      <c r="G38" s="1093">
        <f>+F38/E38</f>
        <v>0.38455929054658877</v>
      </c>
      <c r="H38" s="1092">
        <f>SUM(H35:H36)</f>
        <v>258043.55</v>
      </c>
      <c r="I38" s="1093">
        <f>+H38/E38</f>
        <v>1.4465176756430847E-2</v>
      </c>
      <c r="J38" s="1092">
        <f>SUM(J35:J36)</f>
        <v>7118177.1099999994</v>
      </c>
      <c r="K38" s="1093">
        <f>+J38/E38</f>
        <v>0.3990244673030196</v>
      </c>
      <c r="L38" s="1092">
        <f>SUM(L35:L37)</f>
        <v>10720771.860799998</v>
      </c>
      <c r="M38" s="1094">
        <f>+L38/E38</f>
        <v>0.60097553274182602</v>
      </c>
    </row>
    <row r="39" spans="1:13" x14ac:dyDescent="0.25">
      <c r="E39" s="64"/>
      <c r="F39" s="64"/>
      <c r="G39" s="64"/>
      <c r="H39" s="64"/>
      <c r="I39" s="64"/>
      <c r="J39" s="64"/>
    </row>
    <row r="40" spans="1:13" x14ac:dyDescent="0.25">
      <c r="E40" s="64"/>
      <c r="F40" s="64"/>
      <c r="G40" s="64"/>
      <c r="H40" s="64"/>
      <c r="I40" s="64"/>
      <c r="J40" s="64"/>
    </row>
    <row r="41" spans="1:13" x14ac:dyDescent="0.25">
      <c r="E41" s="1847">
        <f>SUM(E35:E37)</f>
        <v>17838948.970799997</v>
      </c>
      <c r="F41" s="64"/>
      <c r="G41" s="64"/>
      <c r="H41" s="64"/>
      <c r="I41" s="64"/>
      <c r="J41" s="64"/>
    </row>
    <row r="42" spans="1:13" x14ac:dyDescent="0.25">
      <c r="E42" s="64"/>
      <c r="F42" s="64"/>
      <c r="G42" s="64"/>
      <c r="H42" s="64"/>
      <c r="I42" s="64"/>
      <c r="J42" s="64"/>
    </row>
    <row r="43" spans="1:13" x14ac:dyDescent="0.25">
      <c r="E43" s="64"/>
      <c r="F43" s="64"/>
      <c r="G43" s="64"/>
      <c r="H43" s="64"/>
      <c r="I43" s="64"/>
      <c r="J43" s="64"/>
      <c r="L43" s="85"/>
    </row>
    <row r="44" spans="1:13" x14ac:dyDescent="0.25">
      <c r="E44" s="64"/>
      <c r="F44" s="64"/>
      <c r="G44" s="64"/>
      <c r="H44" s="64"/>
      <c r="I44" s="64"/>
      <c r="J44" s="64"/>
    </row>
    <row r="45" spans="1:13" x14ac:dyDescent="0.25">
      <c r="E45" s="64"/>
      <c r="F45" s="64"/>
      <c r="G45" s="64"/>
      <c r="H45" s="64"/>
      <c r="I45" s="64"/>
      <c r="J45" s="64"/>
    </row>
    <row r="46" spans="1:13" x14ac:dyDescent="0.25">
      <c r="E46" s="64"/>
      <c r="F46" s="64"/>
      <c r="G46" s="64"/>
      <c r="H46" s="64"/>
      <c r="I46" s="64"/>
      <c r="J46" s="64"/>
    </row>
    <row r="47" spans="1:13" x14ac:dyDescent="0.25">
      <c r="E47" s="64"/>
      <c r="F47" s="64"/>
      <c r="G47" s="64"/>
      <c r="H47" s="64"/>
      <c r="I47" s="64"/>
      <c r="J47" s="64"/>
    </row>
    <row r="48" spans="1:13" x14ac:dyDescent="0.25">
      <c r="E48" s="64"/>
      <c r="F48" s="64"/>
      <c r="G48" s="64"/>
      <c r="H48" s="64"/>
      <c r="I48" s="64"/>
      <c r="J48" s="64"/>
    </row>
    <row r="49" spans="5:10" x14ac:dyDescent="0.25">
      <c r="E49" s="64"/>
      <c r="F49" s="64"/>
      <c r="G49" s="64"/>
      <c r="H49" s="64"/>
      <c r="I49" s="64"/>
      <c r="J49" s="64"/>
    </row>
  </sheetData>
  <mergeCells count="34">
    <mergeCell ref="B18:D18"/>
    <mergeCell ref="A5:J5"/>
    <mergeCell ref="A1:E1"/>
    <mergeCell ref="F14:H15"/>
    <mergeCell ref="A15:D15"/>
    <mergeCell ref="A16:D16"/>
    <mergeCell ref="A4:J4"/>
    <mergeCell ref="A3:D3"/>
    <mergeCell ref="D8:J9"/>
    <mergeCell ref="A2:E2"/>
    <mergeCell ref="L5:L7"/>
    <mergeCell ref="M5:N7"/>
    <mergeCell ref="O5:O7"/>
    <mergeCell ref="P5:P7"/>
    <mergeCell ref="Q5:V5"/>
    <mergeCell ref="M10:N10"/>
    <mergeCell ref="M11:N11"/>
    <mergeCell ref="W5:X6"/>
    <mergeCell ref="Q6:R6"/>
    <mergeCell ref="S6:T6"/>
    <mergeCell ref="U6:V6"/>
    <mergeCell ref="M9:N9"/>
    <mergeCell ref="A31:A33"/>
    <mergeCell ref="B31:C33"/>
    <mergeCell ref="D31:D33"/>
    <mergeCell ref="E31:E33"/>
    <mergeCell ref="F31:K31"/>
    <mergeCell ref="B36:C36"/>
    <mergeCell ref="B37:C37"/>
    <mergeCell ref="L31:M32"/>
    <mergeCell ref="F32:G32"/>
    <mergeCell ref="H32:I32"/>
    <mergeCell ref="J32:K32"/>
    <mergeCell ref="B35:C35"/>
  </mergeCells>
  <phoneticPr fontId="29" type="noConversion"/>
  <pageMargins left="0.6692913385826772" right="0.19685039370078741" top="0.78740157480314965" bottom="0.39370078740157483" header="0.51181102362204722" footer="0.51181102362204722"/>
  <pageSetup paperSize="9" scale="70" firstPageNumber="0"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IS83"/>
  <sheetViews>
    <sheetView view="pageBreakPreview" zoomScale="85" zoomScaleNormal="100" zoomScaleSheetLayoutView="85" workbookViewId="0">
      <selection activeCell="A5" sqref="A5"/>
    </sheetView>
  </sheetViews>
  <sheetFormatPr baseColWidth="10" defaultColWidth="10.5546875" defaultRowHeight="13.2" x14ac:dyDescent="0.25"/>
  <cols>
    <col min="1" max="1" width="5.6640625" style="2" customWidth="1"/>
    <col min="2" max="2" width="21.5546875" style="2" customWidth="1"/>
    <col min="3" max="3" width="1.88671875" style="2" customWidth="1"/>
    <col min="4" max="4" width="14.88671875" style="2" customWidth="1"/>
    <col min="5" max="5" width="13.44140625" style="2" customWidth="1"/>
    <col min="6" max="6" width="18.109375" style="2" customWidth="1"/>
    <col min="7" max="7" width="19.6640625" style="2" customWidth="1"/>
    <col min="8" max="8" width="17" style="2" customWidth="1"/>
    <col min="9" max="9" width="12.109375" style="2" customWidth="1"/>
    <col min="10" max="10" width="13.33203125" style="2" customWidth="1"/>
    <col min="11" max="11" width="14.44140625" style="2" customWidth="1"/>
    <col min="12" max="12" width="24.6640625" style="2" customWidth="1"/>
    <col min="13" max="13" width="14.6640625" style="2" customWidth="1"/>
    <col min="14" max="14" width="16.5546875" style="2" customWidth="1"/>
    <col min="15" max="15" width="14.88671875" style="2" customWidth="1"/>
    <col min="16" max="16" width="17.44140625" style="2" bestFit="1" customWidth="1"/>
    <col min="17" max="16384" width="10.5546875" style="2"/>
  </cols>
  <sheetData>
    <row r="1" spans="1:253" x14ac:dyDescent="0.25">
      <c r="A1" s="2020" t="str">
        <f>CALEND_!B2</f>
        <v>GOBIERNO REGIONAL AYACUCHO</v>
      </c>
      <c r="B1" s="2020"/>
      <c r="C1" s="2020"/>
      <c r="D1" s="2020"/>
      <c r="E1" s="2020"/>
      <c r="F1" s="29"/>
      <c r="G1" s="29"/>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c r="AL1" s="27"/>
      <c r="AM1" s="27"/>
      <c r="AN1" s="27"/>
      <c r="AO1" s="27"/>
      <c r="AP1" s="27"/>
      <c r="AQ1" s="27"/>
      <c r="AR1" s="27"/>
      <c r="AS1" s="27"/>
      <c r="AT1" s="27"/>
      <c r="AU1" s="27"/>
      <c r="AV1" s="27"/>
      <c r="AW1" s="27"/>
      <c r="AX1" s="27"/>
      <c r="AY1" s="27"/>
      <c r="AZ1" s="27"/>
      <c r="BA1" s="27"/>
      <c r="BB1" s="27"/>
      <c r="BC1" s="27"/>
      <c r="BD1" s="27"/>
      <c r="BE1" s="27"/>
      <c r="BF1" s="27"/>
      <c r="BG1" s="27"/>
      <c r="BH1" s="27"/>
      <c r="BI1" s="27"/>
      <c r="BJ1" s="27"/>
      <c r="BK1" s="27"/>
      <c r="BL1" s="27"/>
      <c r="BM1" s="27"/>
      <c r="BN1" s="27"/>
      <c r="BO1" s="27"/>
      <c r="BP1" s="27"/>
      <c r="BQ1" s="27"/>
      <c r="BR1" s="27"/>
      <c r="BS1" s="27"/>
      <c r="BT1" s="27"/>
      <c r="BU1" s="27"/>
      <c r="BV1" s="27"/>
      <c r="BW1" s="27"/>
      <c r="BX1" s="27"/>
      <c r="BY1" s="27"/>
      <c r="BZ1" s="27"/>
      <c r="CA1" s="27"/>
      <c r="CB1" s="27"/>
      <c r="CC1" s="27"/>
      <c r="CD1" s="27"/>
      <c r="CE1" s="27"/>
      <c r="CF1" s="27"/>
      <c r="CG1" s="27"/>
      <c r="CH1" s="27"/>
      <c r="CI1" s="27"/>
      <c r="CJ1" s="27"/>
      <c r="CK1" s="27"/>
      <c r="CL1" s="27"/>
      <c r="CM1" s="27"/>
      <c r="CN1" s="27"/>
      <c r="CO1" s="27"/>
      <c r="CP1" s="27"/>
      <c r="CQ1" s="27"/>
      <c r="CR1" s="27"/>
      <c r="CS1" s="27"/>
      <c r="CT1" s="27"/>
      <c r="CU1" s="27"/>
      <c r="CV1" s="27"/>
      <c r="CW1" s="27"/>
      <c r="CX1" s="27"/>
      <c r="CY1" s="27"/>
      <c r="CZ1" s="27"/>
      <c r="DA1" s="27"/>
      <c r="DB1" s="27"/>
      <c r="DC1" s="27"/>
      <c r="DD1" s="27"/>
      <c r="DE1" s="27"/>
      <c r="DF1" s="27"/>
      <c r="DG1" s="27"/>
      <c r="DH1" s="27"/>
      <c r="DI1" s="27"/>
      <c r="DJ1" s="27"/>
      <c r="DK1" s="27"/>
      <c r="DL1" s="27"/>
      <c r="DM1" s="27"/>
      <c r="DN1" s="27"/>
      <c r="DO1" s="27"/>
      <c r="DP1" s="27"/>
      <c r="DQ1" s="27"/>
      <c r="DR1" s="27"/>
      <c r="DS1" s="27"/>
      <c r="DT1" s="27"/>
      <c r="DU1" s="27"/>
      <c r="DV1" s="27"/>
      <c r="DW1" s="27"/>
      <c r="DX1" s="27"/>
      <c r="DY1" s="27"/>
      <c r="DZ1" s="27"/>
      <c r="EA1" s="27"/>
      <c r="EB1" s="27"/>
      <c r="EC1" s="27"/>
      <c r="ED1" s="27"/>
      <c r="EE1" s="27"/>
      <c r="EF1" s="27"/>
      <c r="EG1" s="27"/>
      <c r="EH1" s="27"/>
      <c r="EI1" s="27"/>
      <c r="EJ1" s="27"/>
      <c r="EK1" s="27"/>
      <c r="EL1" s="27"/>
      <c r="EM1" s="27"/>
      <c r="EN1" s="27"/>
      <c r="EO1" s="27"/>
      <c r="EP1" s="27"/>
      <c r="EQ1" s="27"/>
      <c r="ER1" s="27"/>
      <c r="ES1" s="27"/>
      <c r="ET1" s="27"/>
      <c r="EU1" s="27"/>
      <c r="EV1" s="27"/>
      <c r="EW1" s="27"/>
      <c r="EX1" s="27"/>
      <c r="EY1" s="27"/>
      <c r="EZ1" s="27"/>
      <c r="FA1" s="27"/>
      <c r="FB1" s="27"/>
      <c r="FC1" s="27"/>
      <c r="FD1" s="27"/>
      <c r="FE1" s="27"/>
      <c r="FF1" s="27"/>
      <c r="FG1" s="27"/>
      <c r="FH1" s="27"/>
      <c r="FI1" s="27"/>
      <c r="FJ1" s="27"/>
      <c r="FK1" s="27"/>
      <c r="FL1" s="27"/>
      <c r="FM1" s="27"/>
      <c r="FN1" s="27"/>
      <c r="FO1" s="27"/>
      <c r="FP1" s="27"/>
      <c r="FQ1" s="27"/>
      <c r="FR1" s="27"/>
      <c r="FS1" s="27"/>
      <c r="FT1" s="27"/>
      <c r="FU1" s="27"/>
      <c r="FV1" s="27"/>
      <c r="FW1" s="27"/>
      <c r="FX1" s="27"/>
      <c r="FY1" s="27"/>
      <c r="FZ1" s="27"/>
      <c r="GA1" s="27"/>
      <c r="GB1" s="27"/>
      <c r="GC1" s="27"/>
      <c r="GD1" s="27"/>
      <c r="GE1" s="27"/>
      <c r="GF1" s="27"/>
      <c r="GG1" s="27"/>
      <c r="GH1" s="27"/>
      <c r="GI1" s="27"/>
      <c r="GJ1" s="27"/>
      <c r="GK1" s="27"/>
      <c r="GL1" s="27"/>
      <c r="GM1" s="27"/>
      <c r="GN1" s="27"/>
      <c r="GO1" s="27"/>
      <c r="GP1" s="27"/>
      <c r="GQ1" s="27"/>
      <c r="GR1" s="27"/>
      <c r="GS1" s="27"/>
      <c r="GT1" s="27"/>
      <c r="GU1" s="27"/>
      <c r="GV1" s="27"/>
      <c r="GW1" s="27"/>
      <c r="GX1" s="27"/>
      <c r="GY1" s="27"/>
      <c r="GZ1" s="27"/>
      <c r="HA1" s="27"/>
      <c r="HB1" s="27"/>
      <c r="HC1" s="27"/>
      <c r="HD1" s="27"/>
      <c r="HE1" s="27"/>
      <c r="HF1" s="27"/>
      <c r="HG1" s="27"/>
      <c r="HH1" s="27"/>
      <c r="HI1" s="27"/>
      <c r="HJ1" s="27"/>
      <c r="HK1" s="27"/>
      <c r="HL1" s="27"/>
      <c r="HM1" s="27"/>
      <c r="HN1" s="27"/>
      <c r="HO1" s="27"/>
      <c r="HP1" s="27"/>
      <c r="HQ1" s="27"/>
      <c r="HR1" s="27"/>
      <c r="HS1" s="27"/>
      <c r="HT1" s="27"/>
      <c r="HU1" s="27"/>
      <c r="HV1" s="27"/>
      <c r="HW1" s="27"/>
      <c r="HX1" s="27"/>
      <c r="HY1" s="27"/>
      <c r="HZ1" s="27"/>
      <c r="IA1" s="27"/>
      <c r="IB1" s="27"/>
      <c r="IC1" s="27"/>
      <c r="ID1" s="27"/>
      <c r="IE1" s="27"/>
      <c r="IF1" s="27"/>
      <c r="IG1" s="27"/>
      <c r="IH1" s="27"/>
      <c r="II1" s="27"/>
      <c r="IJ1" s="27"/>
      <c r="IK1" s="27"/>
      <c r="IL1" s="27"/>
      <c r="IM1" s="27"/>
      <c r="IN1" s="27"/>
      <c r="IO1" s="27"/>
      <c r="IP1" s="27"/>
      <c r="IQ1" s="27"/>
      <c r="IR1" s="27"/>
      <c r="IS1" s="27"/>
    </row>
    <row r="2" spans="1:253" x14ac:dyDescent="0.25">
      <c r="A2" s="2021" t="str">
        <f>CALEND_!B3</f>
        <v>SUBGERENCIA DE SUPERVISION Y LIQUIDACION</v>
      </c>
      <c r="B2" s="2021"/>
      <c r="C2" s="2021"/>
      <c r="D2" s="2021"/>
      <c r="E2" s="2021"/>
      <c r="F2" s="29"/>
      <c r="G2" s="29"/>
      <c r="H2" s="27"/>
      <c r="I2" s="27"/>
      <c r="J2" s="27"/>
      <c r="K2" s="27"/>
      <c r="L2" s="27"/>
      <c r="M2" s="27"/>
      <c r="N2" s="27"/>
      <c r="O2" s="27"/>
      <c r="P2" s="27"/>
      <c r="Q2" s="27"/>
      <c r="R2" s="27"/>
      <c r="S2" s="27"/>
      <c r="T2" s="27"/>
      <c r="U2" s="27"/>
      <c r="V2" s="27"/>
      <c r="W2" s="27"/>
      <c r="X2" s="27"/>
      <c r="Y2" s="27"/>
      <c r="Z2" s="27"/>
      <c r="AA2" s="27"/>
      <c r="AB2" s="27"/>
      <c r="AC2" s="27"/>
      <c r="AD2" s="27"/>
      <c r="AE2" s="27"/>
      <c r="AF2" s="27"/>
      <c r="AG2" s="27"/>
      <c r="AH2" s="27"/>
      <c r="AI2" s="27"/>
      <c r="AJ2" s="27"/>
      <c r="AK2" s="27"/>
      <c r="AL2" s="27"/>
      <c r="AM2" s="27"/>
      <c r="AN2" s="27"/>
      <c r="AO2" s="27"/>
      <c r="AP2" s="27"/>
      <c r="AQ2" s="27"/>
      <c r="AR2" s="27"/>
      <c r="AS2" s="27"/>
      <c r="AT2" s="27"/>
      <c r="AU2" s="27"/>
      <c r="AV2" s="27"/>
      <c r="AW2" s="27"/>
      <c r="AX2" s="27"/>
      <c r="AY2" s="27"/>
      <c r="AZ2" s="27"/>
      <c r="BA2" s="27"/>
      <c r="BB2" s="27"/>
      <c r="BC2" s="27"/>
      <c r="BD2" s="27"/>
      <c r="BE2" s="27"/>
      <c r="BF2" s="27"/>
      <c r="BG2" s="27"/>
      <c r="BH2" s="27"/>
      <c r="BI2" s="27"/>
      <c r="BJ2" s="27"/>
      <c r="BK2" s="27"/>
      <c r="BL2" s="27"/>
      <c r="BM2" s="27"/>
      <c r="BN2" s="27"/>
      <c r="BO2" s="27"/>
      <c r="BP2" s="27"/>
      <c r="BQ2" s="27"/>
      <c r="BR2" s="27"/>
      <c r="BS2" s="27"/>
      <c r="BT2" s="27"/>
      <c r="BU2" s="27"/>
      <c r="BV2" s="27"/>
      <c r="BW2" s="27"/>
      <c r="BX2" s="27"/>
      <c r="BY2" s="27"/>
      <c r="BZ2" s="27"/>
      <c r="CA2" s="27"/>
      <c r="CB2" s="27"/>
      <c r="CC2" s="27"/>
      <c r="CD2" s="27"/>
      <c r="CE2" s="27"/>
      <c r="CF2" s="27"/>
      <c r="CG2" s="27"/>
      <c r="CH2" s="27"/>
      <c r="CI2" s="27"/>
      <c r="CJ2" s="27"/>
      <c r="CK2" s="27"/>
      <c r="CL2" s="27"/>
      <c r="CM2" s="27"/>
      <c r="CN2" s="27"/>
      <c r="CO2" s="27"/>
      <c r="CP2" s="27"/>
      <c r="CQ2" s="27"/>
      <c r="CR2" s="27"/>
      <c r="CS2" s="27"/>
      <c r="CT2" s="27"/>
      <c r="CU2" s="27"/>
      <c r="CV2" s="27"/>
      <c r="CW2" s="27"/>
      <c r="CX2" s="27"/>
      <c r="CY2" s="27"/>
      <c r="CZ2" s="27"/>
      <c r="DA2" s="27"/>
      <c r="DB2" s="27"/>
      <c r="DC2" s="27"/>
      <c r="DD2" s="27"/>
      <c r="DE2" s="27"/>
      <c r="DF2" s="27"/>
      <c r="DG2" s="27"/>
      <c r="DH2" s="27"/>
      <c r="DI2" s="27"/>
      <c r="DJ2" s="27"/>
      <c r="DK2" s="27"/>
      <c r="DL2" s="27"/>
      <c r="DM2" s="27"/>
      <c r="DN2" s="27"/>
      <c r="DO2" s="27"/>
      <c r="DP2" s="27"/>
      <c r="DQ2" s="27"/>
      <c r="DR2" s="27"/>
      <c r="DS2" s="27"/>
      <c r="DT2" s="27"/>
      <c r="DU2" s="27"/>
      <c r="DV2" s="27"/>
      <c r="DW2" s="27"/>
      <c r="DX2" s="27"/>
      <c r="DY2" s="27"/>
      <c r="DZ2" s="27"/>
      <c r="EA2" s="27"/>
      <c r="EB2" s="27"/>
      <c r="EC2" s="27"/>
      <c r="ED2" s="27"/>
      <c r="EE2" s="27"/>
      <c r="EF2" s="27"/>
      <c r="EG2" s="27"/>
      <c r="EH2" s="27"/>
      <c r="EI2" s="27"/>
      <c r="EJ2" s="27"/>
      <c r="EK2" s="27"/>
      <c r="EL2" s="27"/>
      <c r="EM2" s="27"/>
      <c r="EN2" s="27"/>
      <c r="EO2" s="27"/>
      <c r="EP2" s="27"/>
      <c r="EQ2" s="27"/>
      <c r="ER2" s="27"/>
      <c r="ES2" s="27"/>
      <c r="ET2" s="27"/>
      <c r="EU2" s="27"/>
      <c r="EV2" s="27"/>
      <c r="EW2" s="27"/>
      <c r="EX2" s="27"/>
      <c r="EY2" s="27"/>
      <c r="EZ2" s="27"/>
      <c r="FA2" s="27"/>
      <c r="FB2" s="27"/>
      <c r="FC2" s="27"/>
      <c r="FD2" s="27"/>
      <c r="FE2" s="27"/>
      <c r="FF2" s="27"/>
      <c r="FG2" s="27"/>
      <c r="FH2" s="27"/>
      <c r="FI2" s="27"/>
      <c r="FJ2" s="27"/>
      <c r="FK2" s="27"/>
      <c r="FL2" s="27"/>
      <c r="FM2" s="27"/>
      <c r="FN2" s="27"/>
      <c r="FO2" s="27"/>
      <c r="FP2" s="27"/>
      <c r="FQ2" s="27"/>
      <c r="FR2" s="27"/>
      <c r="FS2" s="27"/>
      <c r="FT2" s="27"/>
      <c r="FU2" s="27"/>
      <c r="FV2" s="27"/>
      <c r="FW2" s="27"/>
      <c r="FX2" s="27"/>
      <c r="FY2" s="27"/>
      <c r="FZ2" s="27"/>
      <c r="GA2" s="27"/>
      <c r="GB2" s="27"/>
      <c r="GC2" s="27"/>
      <c r="GD2" s="27"/>
      <c r="GE2" s="27"/>
      <c r="GF2" s="27"/>
      <c r="GG2" s="27"/>
      <c r="GH2" s="27"/>
      <c r="GI2" s="27"/>
      <c r="GJ2" s="27"/>
      <c r="GK2" s="27"/>
      <c r="GL2" s="27"/>
      <c r="GM2" s="27"/>
      <c r="GN2" s="27"/>
      <c r="GO2" s="27"/>
      <c r="GP2" s="27"/>
      <c r="GQ2" s="27"/>
      <c r="GR2" s="27"/>
      <c r="GS2" s="27"/>
      <c r="GT2" s="27"/>
      <c r="GU2" s="27"/>
      <c r="GV2" s="27"/>
      <c r="GW2" s="27"/>
      <c r="GX2" s="27"/>
      <c r="GY2" s="27"/>
      <c r="GZ2" s="27"/>
      <c r="HA2" s="27"/>
      <c r="HB2" s="27"/>
      <c r="HC2" s="27"/>
      <c r="HD2" s="27"/>
      <c r="HE2" s="27"/>
      <c r="HF2" s="27"/>
      <c r="HG2" s="27"/>
      <c r="HH2" s="27"/>
      <c r="HI2" s="27"/>
      <c r="HJ2" s="27"/>
      <c r="HK2" s="27"/>
      <c r="HL2" s="27"/>
      <c r="HM2" s="27"/>
      <c r="HN2" s="27"/>
      <c r="HO2" s="27"/>
      <c r="HP2" s="27"/>
      <c r="HQ2" s="27"/>
      <c r="HR2" s="27"/>
      <c r="HS2" s="27"/>
      <c r="HT2" s="27"/>
      <c r="HU2" s="27"/>
      <c r="HV2" s="27"/>
      <c r="HW2" s="27"/>
      <c r="HX2" s="27"/>
      <c r="HY2" s="27"/>
      <c r="HZ2" s="27"/>
      <c r="IA2" s="27"/>
      <c r="IB2" s="27"/>
      <c r="IC2" s="27"/>
      <c r="ID2" s="27"/>
      <c r="IE2" s="27"/>
      <c r="IF2" s="27"/>
      <c r="IG2" s="27"/>
      <c r="IH2" s="27"/>
      <c r="II2" s="27"/>
      <c r="IJ2" s="27"/>
      <c r="IK2" s="27"/>
      <c r="IL2" s="27"/>
      <c r="IM2" s="27"/>
      <c r="IN2" s="27"/>
      <c r="IO2" s="27"/>
      <c r="IP2" s="27"/>
      <c r="IQ2" s="27"/>
      <c r="IR2" s="27"/>
      <c r="IS2" s="27"/>
    </row>
    <row r="3" spans="1:253" x14ac:dyDescent="0.25">
      <c r="A3" s="2391"/>
      <c r="B3" s="2391"/>
      <c r="C3" s="2391"/>
      <c r="D3" s="2391"/>
      <c r="E3" s="65"/>
      <c r="F3" s="29"/>
      <c r="G3" s="29"/>
      <c r="H3" s="27"/>
      <c r="I3" s="27"/>
      <c r="J3" s="27"/>
      <c r="K3" s="27"/>
      <c r="L3" s="27"/>
      <c r="M3" s="27"/>
      <c r="N3" s="27"/>
      <c r="O3" s="27"/>
      <c r="P3" s="27"/>
      <c r="Q3" s="27"/>
      <c r="R3" s="27"/>
      <c r="S3" s="27"/>
      <c r="T3" s="27"/>
      <c r="U3" s="27"/>
      <c r="V3" s="27"/>
      <c r="W3" s="27"/>
      <c r="X3" s="27"/>
      <c r="Y3" s="27"/>
      <c r="Z3" s="27"/>
      <c r="AA3" s="27"/>
      <c r="AB3" s="27"/>
      <c r="AC3" s="27"/>
      <c r="AD3" s="27"/>
      <c r="AE3" s="27"/>
      <c r="AF3" s="27"/>
      <c r="AG3" s="27"/>
      <c r="AH3" s="27"/>
      <c r="AI3" s="27"/>
      <c r="AJ3" s="27"/>
      <c r="AK3" s="27"/>
      <c r="AL3" s="27"/>
      <c r="AM3" s="27"/>
      <c r="AN3" s="27"/>
      <c r="AO3" s="27"/>
      <c r="AP3" s="27"/>
      <c r="AQ3" s="27"/>
      <c r="AR3" s="27"/>
      <c r="AS3" s="27"/>
      <c r="AT3" s="27"/>
      <c r="AU3" s="27"/>
      <c r="AV3" s="27"/>
      <c r="AW3" s="27"/>
      <c r="AX3" s="27"/>
      <c r="AY3" s="27"/>
      <c r="AZ3" s="27"/>
      <c r="BA3" s="27"/>
      <c r="BB3" s="27"/>
      <c r="BC3" s="27"/>
      <c r="BD3" s="27"/>
      <c r="BE3" s="27"/>
      <c r="BF3" s="27"/>
      <c r="BG3" s="27"/>
      <c r="BH3" s="27"/>
      <c r="BI3" s="27"/>
      <c r="BJ3" s="27"/>
      <c r="BK3" s="27"/>
      <c r="BL3" s="27"/>
      <c r="BM3" s="27"/>
      <c r="BN3" s="27"/>
      <c r="BO3" s="27"/>
      <c r="BP3" s="27"/>
      <c r="BQ3" s="27"/>
      <c r="BR3" s="27"/>
      <c r="BS3" s="27"/>
      <c r="BT3" s="27"/>
      <c r="BU3" s="27"/>
      <c r="BV3" s="27"/>
      <c r="BW3" s="27"/>
      <c r="BX3" s="27"/>
      <c r="BY3" s="27"/>
      <c r="BZ3" s="27"/>
      <c r="CA3" s="27"/>
      <c r="CB3" s="27"/>
      <c r="CC3" s="27"/>
      <c r="CD3" s="27"/>
      <c r="CE3" s="27"/>
      <c r="CF3" s="27"/>
      <c r="CG3" s="27"/>
      <c r="CH3" s="27"/>
      <c r="CI3" s="27"/>
      <c r="CJ3" s="27"/>
      <c r="CK3" s="27"/>
      <c r="CL3" s="27"/>
      <c r="CM3" s="27"/>
      <c r="CN3" s="27"/>
      <c r="CO3" s="27"/>
      <c r="CP3" s="27"/>
      <c r="CQ3" s="27"/>
      <c r="CR3" s="27"/>
      <c r="CS3" s="27"/>
      <c r="CT3" s="27"/>
      <c r="CU3" s="27"/>
      <c r="CV3" s="27"/>
      <c r="CW3" s="27"/>
      <c r="CX3" s="27"/>
      <c r="CY3" s="27"/>
      <c r="CZ3" s="27"/>
      <c r="DA3" s="27"/>
      <c r="DB3" s="27"/>
      <c r="DC3" s="27"/>
      <c r="DD3" s="27"/>
      <c r="DE3" s="27"/>
      <c r="DF3" s="27"/>
      <c r="DG3" s="27"/>
      <c r="DH3" s="27"/>
      <c r="DI3" s="27"/>
      <c r="DJ3" s="27"/>
      <c r="DK3" s="27"/>
      <c r="DL3" s="27"/>
      <c r="DM3" s="27"/>
      <c r="DN3" s="27"/>
      <c r="DO3" s="27"/>
      <c r="DP3" s="27"/>
      <c r="DQ3" s="27"/>
      <c r="DR3" s="27"/>
      <c r="DS3" s="27"/>
      <c r="DT3" s="27"/>
      <c r="DU3" s="27"/>
      <c r="DV3" s="27"/>
      <c r="DW3" s="27"/>
      <c r="DX3" s="27"/>
      <c r="DY3" s="27"/>
      <c r="DZ3" s="27"/>
      <c r="EA3" s="27"/>
      <c r="EB3" s="27"/>
      <c r="EC3" s="27"/>
      <c r="ED3" s="27"/>
      <c r="EE3" s="27"/>
      <c r="EF3" s="27"/>
      <c r="EG3" s="27"/>
      <c r="EH3" s="27"/>
      <c r="EI3" s="27"/>
      <c r="EJ3" s="27"/>
      <c r="EK3" s="27"/>
      <c r="EL3" s="27"/>
      <c r="EM3" s="27"/>
      <c r="EN3" s="27"/>
      <c r="EO3" s="27"/>
      <c r="EP3" s="27"/>
      <c r="EQ3" s="27"/>
      <c r="ER3" s="27"/>
      <c r="ES3" s="27"/>
      <c r="ET3" s="27"/>
      <c r="EU3" s="27"/>
      <c r="EV3" s="27"/>
      <c r="EW3" s="27"/>
      <c r="EX3" s="27"/>
      <c r="EY3" s="27"/>
      <c r="EZ3" s="27"/>
      <c r="FA3" s="27"/>
      <c r="FB3" s="27"/>
      <c r="FC3" s="27"/>
      <c r="FD3" s="27"/>
      <c r="FE3" s="27"/>
      <c r="FF3" s="27"/>
      <c r="FG3" s="27"/>
      <c r="FH3" s="27"/>
      <c r="FI3" s="27"/>
      <c r="FJ3" s="27"/>
      <c r="FK3" s="27"/>
      <c r="FL3" s="27"/>
      <c r="FM3" s="27"/>
      <c r="FN3" s="27"/>
      <c r="FO3" s="27"/>
      <c r="FP3" s="27"/>
      <c r="FQ3" s="27"/>
      <c r="FR3" s="27"/>
      <c r="FS3" s="27"/>
      <c r="FT3" s="27"/>
      <c r="FU3" s="27"/>
      <c r="FV3" s="27"/>
      <c r="FW3" s="27"/>
      <c r="FX3" s="27"/>
      <c r="FY3" s="27"/>
      <c r="FZ3" s="27"/>
      <c r="GA3" s="27"/>
      <c r="GB3" s="27"/>
      <c r="GC3" s="27"/>
      <c r="GD3" s="27"/>
      <c r="GE3" s="27"/>
      <c r="GF3" s="27"/>
      <c r="GG3" s="27"/>
      <c r="GH3" s="27"/>
      <c r="GI3" s="27"/>
      <c r="GJ3" s="27"/>
      <c r="GK3" s="27"/>
      <c r="GL3" s="27"/>
      <c r="GM3" s="27"/>
      <c r="GN3" s="27"/>
      <c r="GO3" s="27"/>
      <c r="GP3" s="27"/>
      <c r="GQ3" s="27"/>
      <c r="GR3" s="27"/>
      <c r="GS3" s="27"/>
      <c r="GT3" s="27"/>
      <c r="GU3" s="27"/>
      <c r="GV3" s="27"/>
      <c r="GW3" s="27"/>
      <c r="GX3" s="27"/>
      <c r="GY3" s="27"/>
      <c r="GZ3" s="27"/>
      <c r="HA3" s="27"/>
      <c r="HB3" s="27"/>
      <c r="HC3" s="27"/>
      <c r="HD3" s="27"/>
      <c r="HE3" s="27"/>
      <c r="HF3" s="27"/>
      <c r="HG3" s="27"/>
      <c r="HH3" s="27"/>
      <c r="HI3" s="27"/>
      <c r="HJ3" s="27"/>
      <c r="HK3" s="27"/>
      <c r="HL3" s="27"/>
      <c r="HM3" s="27"/>
      <c r="HN3" s="27"/>
      <c r="HO3" s="27"/>
      <c r="HP3" s="27"/>
      <c r="HQ3" s="27"/>
      <c r="HR3" s="27"/>
      <c r="HS3" s="27"/>
      <c r="HT3" s="27"/>
      <c r="HU3" s="27"/>
      <c r="HV3" s="27"/>
      <c r="HW3" s="27"/>
      <c r="HX3" s="27"/>
      <c r="HY3" s="27"/>
      <c r="HZ3" s="27"/>
      <c r="IA3" s="27"/>
      <c r="IB3" s="27"/>
      <c r="IC3" s="27"/>
      <c r="ID3" s="27"/>
      <c r="IE3" s="27"/>
      <c r="IF3" s="27"/>
      <c r="IG3" s="27"/>
      <c r="IH3" s="27"/>
      <c r="II3" s="27"/>
      <c r="IJ3" s="27"/>
      <c r="IK3" s="27"/>
      <c r="IL3" s="27"/>
      <c r="IM3" s="27"/>
      <c r="IN3" s="27"/>
      <c r="IO3" s="27"/>
      <c r="IP3" s="27"/>
      <c r="IQ3" s="27"/>
      <c r="IR3" s="27"/>
      <c r="IS3" s="27"/>
    </row>
    <row r="4" spans="1:253" ht="17.25" customHeight="1" x14ac:dyDescent="0.3">
      <c r="A4" s="2393" t="s">
        <v>1807</v>
      </c>
      <c r="B4" s="2393"/>
      <c r="C4" s="2393"/>
      <c r="D4" s="2393"/>
      <c r="E4" s="2393"/>
      <c r="F4" s="2393"/>
      <c r="G4" s="2393"/>
      <c r="H4" s="2393"/>
      <c r="I4" s="2393"/>
      <c r="J4" s="2393"/>
      <c r="K4" s="27"/>
      <c r="L4" s="27"/>
      <c r="M4" s="27"/>
      <c r="N4" s="27"/>
      <c r="O4" s="27"/>
      <c r="P4" s="27"/>
      <c r="Q4" s="27"/>
      <c r="R4" s="27"/>
      <c r="S4" s="27"/>
      <c r="T4" s="27"/>
      <c r="U4" s="27"/>
      <c r="V4" s="27"/>
      <c r="W4" s="27"/>
      <c r="X4" s="27"/>
      <c r="Y4" s="27"/>
      <c r="Z4" s="27"/>
      <c r="AA4" s="27"/>
      <c r="AB4" s="27"/>
      <c r="AC4" s="27"/>
      <c r="AD4" s="27"/>
      <c r="AE4" s="27"/>
      <c r="AF4" s="27"/>
      <c r="AG4" s="27"/>
      <c r="AH4" s="27"/>
      <c r="AI4" s="27"/>
      <c r="AJ4" s="27"/>
      <c r="AK4" s="27"/>
      <c r="AL4" s="27"/>
      <c r="AM4" s="27"/>
      <c r="AN4" s="27"/>
      <c r="AO4" s="27"/>
      <c r="AP4" s="27"/>
      <c r="AQ4" s="27"/>
      <c r="AR4" s="27"/>
      <c r="AS4" s="27"/>
      <c r="AT4" s="27"/>
      <c r="AU4" s="27"/>
      <c r="AV4" s="27"/>
      <c r="AW4" s="27"/>
      <c r="AX4" s="27"/>
      <c r="AY4" s="27"/>
      <c r="AZ4" s="27"/>
      <c r="BA4" s="27"/>
      <c r="BB4" s="27"/>
      <c r="BC4" s="27"/>
      <c r="BD4" s="27"/>
      <c r="BE4" s="27"/>
      <c r="BF4" s="27"/>
      <c r="BG4" s="27"/>
      <c r="BH4" s="27"/>
      <c r="BI4" s="27"/>
      <c r="BJ4" s="27"/>
      <c r="BK4" s="27"/>
      <c r="BL4" s="27"/>
      <c r="BM4" s="27"/>
      <c r="BN4" s="27"/>
      <c r="BO4" s="27"/>
      <c r="BP4" s="27"/>
      <c r="BQ4" s="27"/>
      <c r="BR4" s="27"/>
      <c r="BS4" s="27"/>
      <c r="BT4" s="27"/>
      <c r="BU4" s="27"/>
      <c r="BV4" s="27"/>
      <c r="BW4" s="27"/>
      <c r="BX4" s="27"/>
      <c r="BY4" s="27"/>
      <c r="BZ4" s="27"/>
      <c r="CA4" s="27"/>
      <c r="CB4" s="27"/>
      <c r="CC4" s="27"/>
      <c r="CD4" s="27"/>
      <c r="CE4" s="27"/>
      <c r="CF4" s="27"/>
      <c r="CG4" s="27"/>
      <c r="CH4" s="27"/>
      <c r="CI4" s="27"/>
      <c r="CJ4" s="27"/>
      <c r="CK4" s="27"/>
      <c r="CL4" s="27"/>
      <c r="CM4" s="27"/>
      <c r="CN4" s="27"/>
      <c r="CO4" s="27"/>
      <c r="CP4" s="27"/>
      <c r="CQ4" s="27"/>
      <c r="CR4" s="27"/>
      <c r="CS4" s="27"/>
      <c r="CT4" s="27"/>
      <c r="CU4" s="27"/>
      <c r="CV4" s="27"/>
      <c r="CW4" s="27"/>
      <c r="CX4" s="27"/>
      <c r="CY4" s="27"/>
      <c r="CZ4" s="27"/>
      <c r="DA4" s="27"/>
      <c r="DB4" s="27"/>
      <c r="DC4" s="27"/>
      <c r="DD4" s="27"/>
      <c r="DE4" s="27"/>
      <c r="DF4" s="27"/>
      <c r="DG4" s="27"/>
      <c r="DH4" s="27"/>
      <c r="DI4" s="27"/>
      <c r="DJ4" s="27"/>
      <c r="DK4" s="27"/>
      <c r="DL4" s="27"/>
      <c r="DM4" s="27"/>
      <c r="DN4" s="27"/>
      <c r="DO4" s="27"/>
      <c r="DP4" s="27"/>
      <c r="DQ4" s="27"/>
      <c r="DR4" s="27"/>
      <c r="DS4" s="27"/>
      <c r="DT4" s="27"/>
      <c r="DU4" s="27"/>
      <c r="DV4" s="27"/>
      <c r="DW4" s="27"/>
      <c r="DX4" s="27"/>
      <c r="DY4" s="27"/>
      <c r="DZ4" s="27"/>
      <c r="EA4" s="27"/>
      <c r="EB4" s="27"/>
      <c r="EC4" s="27"/>
      <c r="ED4" s="27"/>
      <c r="EE4" s="27"/>
      <c r="EF4" s="27"/>
      <c r="EG4" s="27"/>
      <c r="EH4" s="27"/>
      <c r="EI4" s="27"/>
      <c r="EJ4" s="27"/>
      <c r="EK4" s="27"/>
      <c r="EL4" s="27"/>
      <c r="EM4" s="27"/>
      <c r="EN4" s="27"/>
      <c r="EO4" s="27"/>
      <c r="EP4" s="27"/>
      <c r="EQ4" s="27"/>
      <c r="ER4" s="27"/>
      <c r="ES4" s="27"/>
      <c r="ET4" s="27"/>
      <c r="EU4" s="27"/>
      <c r="EV4" s="27"/>
      <c r="EW4" s="27"/>
      <c r="EX4" s="27"/>
      <c r="EY4" s="27"/>
      <c r="EZ4" s="27"/>
      <c r="FA4" s="27"/>
      <c r="FB4" s="27"/>
      <c r="FC4" s="27"/>
      <c r="FD4" s="27"/>
      <c r="FE4" s="27"/>
      <c r="FF4" s="27"/>
      <c r="FG4" s="27"/>
      <c r="FH4" s="27"/>
      <c r="FI4" s="27"/>
      <c r="FJ4" s="27"/>
      <c r="FK4" s="27"/>
      <c r="FL4" s="27"/>
      <c r="FM4" s="27"/>
      <c r="FN4" s="27"/>
      <c r="FO4" s="27"/>
      <c r="FP4" s="27"/>
      <c r="FQ4" s="27"/>
      <c r="FR4" s="27"/>
      <c r="FS4" s="27"/>
      <c r="FT4" s="27"/>
      <c r="FU4" s="27"/>
      <c r="FV4" s="27"/>
      <c r="FW4" s="27"/>
      <c r="FX4" s="27"/>
      <c r="FY4" s="27"/>
      <c r="FZ4" s="27"/>
      <c r="GA4" s="27"/>
      <c r="GB4" s="27"/>
      <c r="GC4" s="27"/>
      <c r="GD4" s="27"/>
      <c r="GE4" s="27"/>
      <c r="GF4" s="27"/>
      <c r="GG4" s="27"/>
      <c r="GH4" s="27"/>
      <c r="GI4" s="27"/>
      <c r="GJ4" s="27"/>
      <c r="GK4" s="27"/>
      <c r="GL4" s="27"/>
      <c r="GM4" s="27"/>
      <c r="GN4" s="27"/>
      <c r="GO4" s="27"/>
      <c r="GP4" s="27"/>
      <c r="GQ4" s="27"/>
      <c r="GR4" s="27"/>
      <c r="GS4" s="27"/>
      <c r="GT4" s="27"/>
      <c r="GU4" s="27"/>
      <c r="GV4" s="27"/>
      <c r="GW4" s="27"/>
      <c r="GX4" s="27"/>
      <c r="GY4" s="27"/>
      <c r="GZ4" s="27"/>
      <c r="HA4" s="27"/>
      <c r="HB4" s="27"/>
      <c r="HC4" s="27"/>
      <c r="HD4" s="27"/>
      <c r="HE4" s="27"/>
      <c r="HF4" s="27"/>
      <c r="HG4" s="27"/>
      <c r="HH4" s="27"/>
      <c r="HI4" s="27"/>
      <c r="HJ4" s="27"/>
      <c r="HK4" s="27"/>
      <c r="HL4" s="27"/>
      <c r="HM4" s="27"/>
      <c r="HN4" s="27"/>
      <c r="HO4" s="27"/>
      <c r="HP4" s="27"/>
      <c r="HQ4" s="27"/>
      <c r="HR4" s="27"/>
      <c r="HS4" s="27"/>
      <c r="HT4" s="27"/>
      <c r="HU4" s="27"/>
      <c r="HV4" s="27"/>
      <c r="HW4" s="27"/>
      <c r="HX4" s="27"/>
      <c r="HY4" s="27"/>
      <c r="HZ4" s="27"/>
      <c r="IA4" s="27"/>
      <c r="IB4" s="27"/>
      <c r="IC4" s="27"/>
      <c r="ID4" s="27"/>
      <c r="IE4" s="27"/>
      <c r="IF4" s="27"/>
      <c r="IG4" s="27"/>
      <c r="IH4" s="27"/>
      <c r="II4" s="27"/>
      <c r="IJ4" s="27"/>
      <c r="IK4" s="27"/>
      <c r="IL4" s="27"/>
      <c r="IM4" s="27"/>
      <c r="IN4" s="27"/>
      <c r="IO4" s="27"/>
      <c r="IP4" s="27"/>
      <c r="IQ4" s="27"/>
      <c r="IR4" s="27"/>
      <c r="IS4" s="27"/>
    </row>
    <row r="5" spans="1:253" s="27" customFormat="1" x14ac:dyDescent="0.25"/>
    <row r="6" spans="1:253" x14ac:dyDescent="0.25">
      <c r="A6" s="111" t="s">
        <v>1204</v>
      </c>
      <c r="B6" s="39"/>
      <c r="C6" s="39" t="s">
        <v>7</v>
      </c>
      <c r="D6" s="66" t="str">
        <f>CARAT_!$F$47</f>
        <v>ESPECIFICO Nº SP-2022-012</v>
      </c>
      <c r="E6" s="39"/>
      <c r="F6" s="33"/>
      <c r="G6" s="33"/>
      <c r="H6" s="33"/>
      <c r="I6" s="33"/>
      <c r="J6" s="33"/>
      <c r="K6" s="27"/>
      <c r="L6" s="27"/>
      <c r="M6" s="27"/>
      <c r="N6" s="27"/>
      <c r="O6" s="27"/>
      <c r="P6" s="27"/>
      <c r="Q6" s="27"/>
      <c r="R6" s="27"/>
      <c r="S6" s="27"/>
      <c r="T6" s="27"/>
      <c r="U6" s="27"/>
      <c r="V6" s="27"/>
      <c r="W6" s="27"/>
      <c r="X6" s="27"/>
      <c r="Y6" s="27"/>
      <c r="Z6" s="27"/>
      <c r="AA6" s="27"/>
      <c r="AB6" s="27"/>
      <c r="AC6" s="27"/>
      <c r="AD6" s="27"/>
      <c r="AE6" s="27"/>
      <c r="AF6" s="27"/>
      <c r="AG6" s="27"/>
      <c r="AH6" s="27"/>
      <c r="AI6" s="27"/>
      <c r="AJ6" s="27"/>
      <c r="AK6" s="27"/>
      <c r="AL6" s="27"/>
      <c r="AM6" s="27"/>
      <c r="AN6" s="27"/>
      <c r="AO6" s="27"/>
      <c r="AP6" s="27"/>
      <c r="AQ6" s="27"/>
      <c r="AR6" s="27"/>
      <c r="AS6" s="27"/>
      <c r="AT6" s="27"/>
      <c r="AU6" s="27"/>
      <c r="AV6" s="27"/>
      <c r="AW6" s="27"/>
      <c r="AX6" s="27"/>
      <c r="AY6" s="27"/>
      <c r="AZ6" s="27"/>
      <c r="BA6" s="27"/>
      <c r="BB6" s="27"/>
      <c r="BC6" s="27"/>
      <c r="BD6" s="27"/>
      <c r="BE6" s="27"/>
      <c r="BF6" s="27"/>
      <c r="BG6" s="27"/>
      <c r="BH6" s="27"/>
      <c r="BI6" s="27"/>
      <c r="BJ6" s="27"/>
      <c r="BK6" s="27"/>
      <c r="BL6" s="27"/>
      <c r="BM6" s="27"/>
      <c r="BN6" s="27"/>
      <c r="BO6" s="27"/>
      <c r="BP6" s="27"/>
      <c r="BQ6" s="27"/>
      <c r="BR6" s="27"/>
      <c r="BS6" s="27"/>
      <c r="BT6" s="27"/>
      <c r="BU6" s="27"/>
      <c r="BV6" s="27"/>
      <c r="BW6" s="27"/>
      <c r="BX6" s="27"/>
      <c r="BY6" s="27"/>
      <c r="BZ6" s="27"/>
      <c r="CA6" s="27"/>
      <c r="CB6" s="27"/>
      <c r="CC6" s="27"/>
      <c r="CD6" s="27"/>
      <c r="CE6" s="27"/>
      <c r="CF6" s="27"/>
      <c r="CG6" s="27"/>
      <c r="CH6" s="27"/>
      <c r="CI6" s="27"/>
      <c r="CJ6" s="27"/>
      <c r="CK6" s="27"/>
      <c r="CL6" s="27"/>
      <c r="CM6" s="27"/>
      <c r="CN6" s="27"/>
      <c r="CO6" s="27"/>
      <c r="CP6" s="27"/>
      <c r="CQ6" s="27"/>
      <c r="CR6" s="27"/>
      <c r="CS6" s="27"/>
      <c r="CT6" s="27"/>
      <c r="CU6" s="27"/>
      <c r="CV6" s="27"/>
      <c r="CW6" s="27"/>
      <c r="CX6" s="27"/>
      <c r="CY6" s="27"/>
      <c r="CZ6" s="27"/>
      <c r="DA6" s="27"/>
      <c r="DB6" s="27"/>
      <c r="DC6" s="27"/>
      <c r="DD6" s="27"/>
      <c r="DE6" s="27"/>
      <c r="DF6" s="27"/>
      <c r="DG6" s="27"/>
      <c r="DH6" s="27"/>
      <c r="DI6" s="27"/>
      <c r="DJ6" s="27"/>
      <c r="DK6" s="27"/>
      <c r="DL6" s="27"/>
      <c r="DM6" s="27"/>
      <c r="DN6" s="27"/>
      <c r="DO6" s="27"/>
      <c r="DP6" s="27"/>
      <c r="DQ6" s="27"/>
      <c r="DR6" s="27"/>
      <c r="DS6" s="27"/>
      <c r="DT6" s="27"/>
      <c r="DU6" s="27"/>
      <c r="DV6" s="27"/>
      <c r="DW6" s="27"/>
      <c r="DX6" s="27"/>
      <c r="DY6" s="27"/>
      <c r="DZ6" s="27"/>
      <c r="EA6" s="27"/>
      <c r="EB6" s="27"/>
      <c r="EC6" s="27"/>
      <c r="ED6" s="27"/>
      <c r="EE6" s="27"/>
      <c r="EF6" s="27"/>
      <c r="EG6" s="27"/>
      <c r="EH6" s="27"/>
      <c r="EI6" s="27"/>
      <c r="EJ6" s="27"/>
      <c r="EK6" s="27"/>
      <c r="EL6" s="27"/>
      <c r="EM6" s="27"/>
      <c r="EN6" s="27"/>
      <c r="EO6" s="27"/>
      <c r="EP6" s="27"/>
      <c r="EQ6" s="27"/>
      <c r="ER6" s="27"/>
      <c r="ES6" s="27"/>
      <c r="ET6" s="27"/>
      <c r="EU6" s="27"/>
      <c r="EV6" s="27"/>
      <c r="EW6" s="27"/>
      <c r="EX6" s="27"/>
      <c r="EY6" s="27"/>
      <c r="EZ6" s="27"/>
      <c r="FA6" s="27"/>
      <c r="FB6" s="27"/>
      <c r="FC6" s="27"/>
      <c r="FD6" s="27"/>
      <c r="FE6" s="27"/>
      <c r="FF6" s="27"/>
      <c r="FG6" s="27"/>
      <c r="FH6" s="27"/>
      <c r="FI6" s="27"/>
      <c r="FJ6" s="27"/>
      <c r="FK6" s="27"/>
      <c r="FL6" s="27"/>
      <c r="FM6" s="27"/>
      <c r="FN6" s="27"/>
      <c r="FO6" s="27"/>
      <c r="FP6" s="27"/>
      <c r="FQ6" s="27"/>
      <c r="FR6" s="27"/>
      <c r="FS6" s="27"/>
      <c r="FT6" s="27"/>
      <c r="FU6" s="27"/>
      <c r="FV6" s="27"/>
      <c r="FW6" s="27"/>
      <c r="FX6" s="27"/>
      <c r="FY6" s="27"/>
      <c r="FZ6" s="27"/>
      <c r="GA6" s="27"/>
      <c r="GB6" s="27"/>
      <c r="GC6" s="27"/>
      <c r="GD6" s="27"/>
      <c r="GE6" s="27"/>
      <c r="GF6" s="27"/>
      <c r="GG6" s="27"/>
      <c r="GH6" s="27"/>
      <c r="GI6" s="27"/>
      <c r="GJ6" s="27"/>
      <c r="GK6" s="27"/>
      <c r="GL6" s="27"/>
      <c r="GM6" s="27"/>
      <c r="GN6" s="27"/>
      <c r="GO6" s="27"/>
      <c r="GP6" s="27"/>
      <c r="GQ6" s="27"/>
      <c r="GR6" s="27"/>
      <c r="GS6" s="27"/>
      <c r="GT6" s="27"/>
      <c r="GU6" s="27"/>
      <c r="GV6" s="27"/>
      <c r="GW6" s="27"/>
      <c r="GX6" s="27"/>
      <c r="GY6" s="27"/>
      <c r="GZ6" s="27"/>
      <c r="HA6" s="27"/>
      <c r="HB6" s="27"/>
      <c r="HC6" s="27"/>
      <c r="HD6" s="27"/>
      <c r="HE6" s="27"/>
      <c r="HF6" s="27"/>
      <c r="HG6" s="27"/>
      <c r="HH6" s="27"/>
      <c r="HI6" s="27"/>
      <c r="HJ6" s="27"/>
      <c r="HK6" s="27"/>
      <c r="HL6" s="27"/>
      <c r="HM6" s="27"/>
      <c r="HN6" s="27"/>
      <c r="HO6" s="27"/>
      <c r="HP6" s="27"/>
      <c r="HQ6" s="27"/>
      <c r="HR6" s="27"/>
      <c r="HS6" s="27"/>
      <c r="HT6" s="27"/>
      <c r="HU6" s="27"/>
      <c r="HV6" s="27"/>
      <c r="HW6" s="27"/>
      <c r="HX6" s="27"/>
      <c r="HY6" s="27"/>
      <c r="HZ6" s="27"/>
      <c r="IA6" s="27"/>
      <c r="IB6" s="27"/>
      <c r="IC6" s="27"/>
      <c r="ID6" s="27"/>
      <c r="IE6" s="27"/>
      <c r="IF6" s="27"/>
      <c r="IG6" s="27"/>
      <c r="IH6" s="27"/>
      <c r="II6" s="27"/>
      <c r="IJ6" s="27"/>
      <c r="IK6" s="27"/>
      <c r="IL6" s="27"/>
      <c r="IM6" s="27"/>
      <c r="IN6" s="27"/>
      <c r="IO6" s="27"/>
      <c r="IP6" s="27"/>
      <c r="IQ6" s="27"/>
      <c r="IR6" s="27"/>
      <c r="IS6" s="27"/>
    </row>
    <row r="7" spans="1:253" x14ac:dyDescent="0.25">
      <c r="A7" s="111" t="s">
        <v>18</v>
      </c>
      <c r="B7" s="39"/>
      <c r="C7" s="39" t="s">
        <v>7</v>
      </c>
      <c r="D7" s="2392" t="str">
        <f>+CARAT_!F48</f>
        <v>“CREACION DEL PUENTE VEHICULAR CCANCHIS SOBRE EL RIO PAMPAS, DISTRITO DE CHUNGUI - PROVINCIA LA MAR - DEPARTAMENTO AYACUCHO”.</v>
      </c>
      <c r="E7" s="2392"/>
      <c r="F7" s="2392"/>
      <c r="G7" s="2392"/>
      <c r="H7" s="2392"/>
      <c r="I7" s="2392"/>
      <c r="J7" s="2392"/>
      <c r="K7" s="27"/>
      <c r="L7" s="27"/>
      <c r="M7" s="27"/>
      <c r="N7" s="27"/>
      <c r="O7" s="27"/>
      <c r="P7" s="27"/>
      <c r="Q7" s="27"/>
      <c r="R7" s="27"/>
      <c r="S7" s="27"/>
      <c r="T7" s="27"/>
      <c r="U7" s="27"/>
      <c r="V7" s="27"/>
      <c r="W7" s="27"/>
      <c r="X7" s="27"/>
      <c r="Y7" s="27"/>
      <c r="Z7" s="27"/>
      <c r="AA7" s="27"/>
      <c r="AB7" s="27"/>
      <c r="AC7" s="27"/>
      <c r="AD7" s="27"/>
      <c r="AE7" s="27"/>
      <c r="AF7" s="27"/>
      <c r="AG7" s="27"/>
      <c r="AH7" s="27"/>
      <c r="AI7" s="27"/>
      <c r="AJ7" s="27"/>
      <c r="AK7" s="27"/>
      <c r="AL7" s="27"/>
      <c r="AM7" s="27"/>
      <c r="AN7" s="27"/>
      <c r="AO7" s="27"/>
      <c r="AP7" s="27"/>
      <c r="AQ7" s="27"/>
      <c r="AR7" s="27"/>
      <c r="AS7" s="27"/>
      <c r="AT7" s="27"/>
      <c r="AU7" s="27"/>
      <c r="AV7" s="27"/>
      <c r="AW7" s="27"/>
      <c r="AX7" s="27"/>
      <c r="AY7" s="27"/>
      <c r="AZ7" s="27"/>
      <c r="BA7" s="27"/>
      <c r="BB7" s="27"/>
      <c r="BC7" s="27"/>
      <c r="BD7" s="27"/>
      <c r="BE7" s="27"/>
      <c r="BF7" s="27"/>
      <c r="BG7" s="27"/>
      <c r="BH7" s="27"/>
      <c r="BI7" s="27"/>
      <c r="BJ7" s="27"/>
      <c r="BK7" s="27"/>
      <c r="BL7" s="27"/>
      <c r="BM7" s="27"/>
      <c r="BN7" s="27"/>
      <c r="BO7" s="27"/>
      <c r="BP7" s="27"/>
      <c r="BQ7" s="27"/>
      <c r="BR7" s="27"/>
      <c r="BS7" s="27"/>
      <c r="BT7" s="27"/>
      <c r="BU7" s="27"/>
      <c r="BV7" s="27"/>
      <c r="BW7" s="27"/>
      <c r="BX7" s="27"/>
      <c r="BY7" s="27"/>
      <c r="BZ7" s="27"/>
      <c r="CA7" s="27"/>
      <c r="CB7" s="27"/>
      <c r="CC7" s="27"/>
      <c r="CD7" s="27"/>
      <c r="CE7" s="27"/>
      <c r="CF7" s="27"/>
      <c r="CG7" s="27"/>
      <c r="CH7" s="27"/>
      <c r="CI7" s="27"/>
      <c r="CJ7" s="27"/>
      <c r="CK7" s="27"/>
      <c r="CL7" s="27"/>
      <c r="CM7" s="27"/>
      <c r="CN7" s="27"/>
      <c r="CO7" s="27"/>
      <c r="CP7" s="27"/>
      <c r="CQ7" s="27"/>
      <c r="CR7" s="27"/>
      <c r="CS7" s="27"/>
      <c r="CT7" s="27"/>
      <c r="CU7" s="27"/>
      <c r="CV7" s="27"/>
      <c r="CW7" s="27"/>
      <c r="CX7" s="27"/>
      <c r="CY7" s="27"/>
      <c r="CZ7" s="27"/>
      <c r="DA7" s="27"/>
      <c r="DB7" s="27"/>
      <c r="DC7" s="27"/>
      <c r="DD7" s="27"/>
      <c r="DE7" s="27"/>
      <c r="DF7" s="27"/>
      <c r="DG7" s="27"/>
      <c r="DH7" s="27"/>
      <c r="DI7" s="27"/>
      <c r="DJ7" s="27"/>
      <c r="DK7" s="27"/>
      <c r="DL7" s="27"/>
      <c r="DM7" s="27"/>
      <c r="DN7" s="27"/>
      <c r="DO7" s="27"/>
      <c r="DP7" s="27"/>
      <c r="DQ7" s="27"/>
      <c r="DR7" s="27"/>
      <c r="DS7" s="27"/>
      <c r="DT7" s="27"/>
      <c r="DU7" s="27"/>
      <c r="DV7" s="27"/>
      <c r="DW7" s="27"/>
      <c r="DX7" s="27"/>
      <c r="DY7" s="27"/>
      <c r="DZ7" s="27"/>
      <c r="EA7" s="27"/>
      <c r="EB7" s="27"/>
      <c r="EC7" s="27"/>
      <c r="ED7" s="27"/>
      <c r="EE7" s="27"/>
      <c r="EF7" s="27"/>
      <c r="EG7" s="27"/>
      <c r="EH7" s="27"/>
      <c r="EI7" s="27"/>
      <c r="EJ7" s="27"/>
      <c r="EK7" s="27"/>
      <c r="EL7" s="27"/>
      <c r="EM7" s="27"/>
      <c r="EN7" s="27"/>
      <c r="EO7" s="27"/>
      <c r="EP7" s="27"/>
      <c r="EQ7" s="27"/>
      <c r="ER7" s="27"/>
      <c r="ES7" s="27"/>
      <c r="ET7" s="27"/>
      <c r="EU7" s="27"/>
      <c r="EV7" s="27"/>
      <c r="EW7" s="27"/>
      <c r="EX7" s="27"/>
      <c r="EY7" s="27"/>
      <c r="EZ7" s="27"/>
      <c r="FA7" s="27"/>
      <c r="FB7" s="27"/>
      <c r="FC7" s="27"/>
      <c r="FD7" s="27"/>
      <c r="FE7" s="27"/>
      <c r="FF7" s="27"/>
      <c r="FG7" s="27"/>
      <c r="FH7" s="27"/>
      <c r="FI7" s="27"/>
      <c r="FJ7" s="27"/>
      <c r="FK7" s="27"/>
      <c r="FL7" s="27"/>
      <c r="FM7" s="27"/>
      <c r="FN7" s="27"/>
      <c r="FO7" s="27"/>
      <c r="FP7" s="27"/>
      <c r="FQ7" s="27"/>
      <c r="FR7" s="27"/>
      <c r="FS7" s="27"/>
      <c r="FT7" s="27"/>
      <c r="FU7" s="27"/>
      <c r="FV7" s="27"/>
      <c r="FW7" s="27"/>
      <c r="FX7" s="27"/>
      <c r="FY7" s="27"/>
      <c r="FZ7" s="27"/>
      <c r="GA7" s="27"/>
      <c r="GB7" s="27"/>
      <c r="GC7" s="27"/>
      <c r="GD7" s="27"/>
      <c r="GE7" s="27"/>
      <c r="GF7" s="27"/>
      <c r="GG7" s="27"/>
      <c r="GH7" s="27"/>
      <c r="GI7" s="27"/>
      <c r="GJ7" s="27"/>
      <c r="GK7" s="27"/>
      <c r="GL7" s="27"/>
      <c r="GM7" s="27"/>
      <c r="GN7" s="27"/>
      <c r="GO7" s="27"/>
      <c r="GP7" s="27"/>
      <c r="GQ7" s="27"/>
      <c r="GR7" s="27"/>
      <c r="GS7" s="27"/>
      <c r="GT7" s="27"/>
      <c r="GU7" s="27"/>
      <c r="GV7" s="27"/>
      <c r="GW7" s="27"/>
      <c r="GX7" s="27"/>
      <c r="GY7" s="27"/>
      <c r="GZ7" s="27"/>
      <c r="HA7" s="27"/>
      <c r="HB7" s="27"/>
      <c r="HC7" s="27"/>
      <c r="HD7" s="27"/>
      <c r="HE7" s="27"/>
      <c r="HF7" s="27"/>
      <c r="HG7" s="27"/>
      <c r="HH7" s="27"/>
      <c r="HI7" s="27"/>
      <c r="HJ7" s="27"/>
      <c r="HK7" s="27"/>
      <c r="HL7" s="27"/>
      <c r="HM7" s="27"/>
      <c r="HN7" s="27"/>
      <c r="HO7" s="27"/>
      <c r="HP7" s="27"/>
      <c r="HQ7" s="27"/>
      <c r="HR7" s="27"/>
      <c r="HS7" s="27"/>
      <c r="HT7" s="27"/>
      <c r="HU7" s="27"/>
      <c r="HV7" s="27"/>
      <c r="HW7" s="27"/>
      <c r="HX7" s="27"/>
      <c r="HY7" s="27"/>
      <c r="HZ7" s="27"/>
      <c r="IA7" s="27"/>
      <c r="IB7" s="27"/>
      <c r="IC7" s="27"/>
      <c r="ID7" s="27"/>
      <c r="IE7" s="27"/>
      <c r="IF7" s="27"/>
      <c r="IG7" s="27"/>
      <c r="IH7" s="27"/>
      <c r="II7" s="27"/>
      <c r="IJ7" s="27"/>
      <c r="IK7" s="27"/>
      <c r="IL7" s="27"/>
      <c r="IM7" s="27"/>
      <c r="IN7" s="27"/>
      <c r="IO7" s="27"/>
      <c r="IP7" s="27"/>
      <c r="IQ7" s="27"/>
      <c r="IR7" s="27"/>
      <c r="IS7" s="27"/>
    </row>
    <row r="8" spans="1:253" x14ac:dyDescent="0.25">
      <c r="A8" s="40"/>
      <c r="B8" s="39"/>
      <c r="C8" s="39"/>
      <c r="D8" s="2392"/>
      <c r="E8" s="2392"/>
      <c r="F8" s="2392"/>
      <c r="G8" s="2392"/>
      <c r="H8" s="2392"/>
      <c r="I8" s="2392"/>
      <c r="J8" s="2392"/>
      <c r="K8" s="27"/>
      <c r="L8" s="27"/>
      <c r="M8" s="27"/>
      <c r="N8" s="27"/>
      <c r="O8" s="27"/>
      <c r="P8" s="27"/>
      <c r="Q8" s="27"/>
      <c r="R8" s="27"/>
      <c r="S8" s="27"/>
      <c r="T8" s="27"/>
      <c r="U8" s="27"/>
      <c r="V8" s="27"/>
      <c r="W8" s="27"/>
      <c r="X8" s="27"/>
      <c r="Y8" s="27"/>
      <c r="Z8" s="27"/>
      <c r="AA8" s="27"/>
      <c r="AB8" s="27"/>
      <c r="AC8" s="27"/>
      <c r="AD8" s="27"/>
      <c r="AE8" s="27"/>
      <c r="AF8" s="27"/>
      <c r="AG8" s="27"/>
      <c r="AH8" s="27"/>
      <c r="AI8" s="27"/>
      <c r="AJ8" s="27"/>
      <c r="AK8" s="27"/>
      <c r="AL8" s="27"/>
      <c r="AM8" s="27"/>
      <c r="AN8" s="27"/>
      <c r="AO8" s="27"/>
      <c r="AP8" s="27"/>
      <c r="AQ8" s="27"/>
      <c r="AR8" s="27"/>
      <c r="AS8" s="27"/>
      <c r="AT8" s="27"/>
      <c r="AU8" s="27"/>
      <c r="AV8" s="27"/>
      <c r="AW8" s="27"/>
      <c r="AX8" s="27"/>
      <c r="AY8" s="27"/>
      <c r="AZ8" s="27"/>
      <c r="BA8" s="27"/>
      <c r="BB8" s="27"/>
      <c r="BC8" s="27"/>
      <c r="BD8" s="27"/>
      <c r="BE8" s="27"/>
      <c r="BF8" s="27"/>
      <c r="BG8" s="27"/>
      <c r="BH8" s="27"/>
      <c r="BI8" s="27"/>
      <c r="BJ8" s="27"/>
      <c r="BK8" s="27"/>
      <c r="BL8" s="27"/>
      <c r="BM8" s="27"/>
      <c r="BN8" s="27"/>
      <c r="BO8" s="27"/>
      <c r="BP8" s="27"/>
      <c r="BQ8" s="27"/>
      <c r="BR8" s="27"/>
      <c r="BS8" s="27"/>
      <c r="BT8" s="27"/>
      <c r="BU8" s="27"/>
      <c r="BV8" s="27"/>
      <c r="BW8" s="27"/>
      <c r="BX8" s="27"/>
      <c r="BY8" s="27"/>
      <c r="BZ8" s="27"/>
      <c r="CA8" s="27"/>
      <c r="CB8" s="27"/>
      <c r="CC8" s="27"/>
      <c r="CD8" s="27"/>
      <c r="CE8" s="27"/>
      <c r="CF8" s="27"/>
      <c r="CG8" s="27"/>
      <c r="CH8" s="27"/>
      <c r="CI8" s="27"/>
      <c r="CJ8" s="27"/>
      <c r="CK8" s="27"/>
      <c r="CL8" s="27"/>
      <c r="CM8" s="27"/>
      <c r="CN8" s="27"/>
      <c r="CO8" s="27"/>
      <c r="CP8" s="27"/>
      <c r="CQ8" s="27"/>
      <c r="CR8" s="27"/>
      <c r="CS8" s="27"/>
      <c r="CT8" s="27"/>
      <c r="CU8" s="27"/>
      <c r="CV8" s="27"/>
      <c r="CW8" s="27"/>
      <c r="CX8" s="27"/>
      <c r="CY8" s="27"/>
      <c r="CZ8" s="27"/>
      <c r="DA8" s="27"/>
      <c r="DB8" s="27"/>
      <c r="DC8" s="27"/>
      <c r="DD8" s="27"/>
      <c r="DE8" s="27"/>
      <c r="DF8" s="27"/>
      <c r="DG8" s="27"/>
      <c r="DH8" s="27"/>
      <c r="DI8" s="27"/>
      <c r="DJ8" s="27"/>
      <c r="DK8" s="27"/>
      <c r="DL8" s="27"/>
      <c r="DM8" s="27"/>
      <c r="DN8" s="27"/>
      <c r="DO8" s="27"/>
      <c r="DP8" s="27"/>
      <c r="DQ8" s="27"/>
      <c r="DR8" s="27"/>
      <c r="DS8" s="27"/>
      <c r="DT8" s="27"/>
      <c r="DU8" s="27"/>
      <c r="DV8" s="27"/>
      <c r="DW8" s="27"/>
      <c r="DX8" s="27"/>
      <c r="DY8" s="27"/>
      <c r="DZ8" s="27"/>
      <c r="EA8" s="27"/>
      <c r="EB8" s="27"/>
      <c r="EC8" s="27"/>
      <c r="ED8" s="27"/>
      <c r="EE8" s="27"/>
      <c r="EF8" s="27"/>
      <c r="EG8" s="27"/>
      <c r="EH8" s="27"/>
      <c r="EI8" s="27"/>
      <c r="EJ8" s="27"/>
      <c r="EK8" s="27"/>
      <c r="EL8" s="27"/>
      <c r="EM8" s="27"/>
      <c r="EN8" s="27"/>
      <c r="EO8" s="27"/>
      <c r="EP8" s="27"/>
      <c r="EQ8" s="27"/>
      <c r="ER8" s="27"/>
      <c r="ES8" s="27"/>
      <c r="ET8" s="27"/>
      <c r="EU8" s="27"/>
      <c r="EV8" s="27"/>
      <c r="EW8" s="27"/>
      <c r="EX8" s="27"/>
      <c r="EY8" s="27"/>
      <c r="EZ8" s="27"/>
      <c r="FA8" s="27"/>
      <c r="FB8" s="27"/>
      <c r="FC8" s="27"/>
      <c r="FD8" s="27"/>
      <c r="FE8" s="27"/>
      <c r="FF8" s="27"/>
      <c r="FG8" s="27"/>
      <c r="FH8" s="27"/>
      <c r="FI8" s="27"/>
      <c r="FJ8" s="27"/>
      <c r="FK8" s="27"/>
      <c r="FL8" s="27"/>
      <c r="FM8" s="27"/>
      <c r="FN8" s="27"/>
      <c r="FO8" s="27"/>
      <c r="FP8" s="27"/>
      <c r="FQ8" s="27"/>
      <c r="FR8" s="27"/>
      <c r="FS8" s="27"/>
      <c r="FT8" s="27"/>
      <c r="FU8" s="27"/>
      <c r="FV8" s="27"/>
      <c r="FW8" s="27"/>
      <c r="FX8" s="27"/>
      <c r="FY8" s="27"/>
      <c r="FZ8" s="27"/>
      <c r="GA8" s="27"/>
      <c r="GB8" s="27"/>
      <c r="GC8" s="27"/>
      <c r="GD8" s="27"/>
      <c r="GE8" s="27"/>
      <c r="GF8" s="27"/>
      <c r="GG8" s="27"/>
      <c r="GH8" s="27"/>
      <c r="GI8" s="27"/>
      <c r="GJ8" s="27"/>
      <c r="GK8" s="27"/>
      <c r="GL8" s="27"/>
      <c r="GM8" s="27"/>
      <c r="GN8" s="27"/>
      <c r="GO8" s="27"/>
      <c r="GP8" s="27"/>
      <c r="GQ8" s="27"/>
      <c r="GR8" s="27"/>
      <c r="GS8" s="27"/>
      <c r="GT8" s="27"/>
      <c r="GU8" s="27"/>
      <c r="GV8" s="27"/>
      <c r="GW8" s="27"/>
      <c r="GX8" s="27"/>
      <c r="GY8" s="27"/>
      <c r="GZ8" s="27"/>
      <c r="HA8" s="27"/>
      <c r="HB8" s="27"/>
      <c r="HC8" s="27"/>
      <c r="HD8" s="27"/>
      <c r="HE8" s="27"/>
      <c r="HF8" s="27"/>
      <c r="HG8" s="27"/>
      <c r="HH8" s="27"/>
      <c r="HI8" s="27"/>
      <c r="HJ8" s="27"/>
      <c r="HK8" s="27"/>
      <c r="HL8" s="27"/>
      <c r="HM8" s="27"/>
      <c r="HN8" s="27"/>
      <c r="HO8" s="27"/>
      <c r="HP8" s="27"/>
      <c r="HQ8" s="27"/>
      <c r="HR8" s="27"/>
      <c r="HS8" s="27"/>
      <c r="HT8" s="27"/>
      <c r="HU8" s="27"/>
      <c r="HV8" s="27"/>
      <c r="HW8" s="27"/>
      <c r="HX8" s="27"/>
      <c r="HY8" s="27"/>
      <c r="HZ8" s="27"/>
      <c r="IA8" s="27"/>
      <c r="IB8" s="27"/>
      <c r="IC8" s="27"/>
      <c r="ID8" s="27"/>
      <c r="IE8" s="27"/>
      <c r="IF8" s="27"/>
      <c r="IG8" s="27"/>
      <c r="IH8" s="27"/>
      <c r="II8" s="27"/>
      <c r="IJ8" s="27"/>
      <c r="IK8" s="27"/>
      <c r="IL8" s="27"/>
      <c r="IM8" s="27"/>
      <c r="IN8" s="27"/>
      <c r="IO8" s="27"/>
      <c r="IP8" s="27"/>
      <c r="IQ8" s="27"/>
      <c r="IR8" s="27"/>
      <c r="IS8" s="27"/>
    </row>
    <row r="9" spans="1:253" x14ac:dyDescent="0.25">
      <c r="A9" s="106" t="s">
        <v>1488</v>
      </c>
      <c r="B9" s="39"/>
      <c r="C9" s="39" t="s">
        <v>7</v>
      </c>
      <c r="D9" s="66" t="str">
        <f>CARAT_!$F$52</f>
        <v>SIMA PERU S.A.</v>
      </c>
      <c r="E9" s="39"/>
      <c r="F9" s="33"/>
      <c r="G9" s="33"/>
      <c r="H9" s="33"/>
      <c r="I9" s="33"/>
      <c r="J9" s="33"/>
      <c r="K9" s="27"/>
      <c r="L9" s="27"/>
      <c r="M9" s="27"/>
      <c r="N9" s="27"/>
      <c r="O9" s="27"/>
      <c r="P9" s="27"/>
      <c r="Q9" s="27"/>
      <c r="R9" s="27"/>
      <c r="S9" s="27"/>
      <c r="T9" s="27"/>
      <c r="U9" s="27"/>
      <c r="V9" s="27"/>
      <c r="W9" s="27"/>
      <c r="X9" s="27"/>
      <c r="Y9" s="27"/>
      <c r="Z9" s="27"/>
      <c r="AA9" s="27"/>
      <c r="AB9" s="27"/>
      <c r="AC9" s="27"/>
      <c r="AD9" s="27"/>
      <c r="AE9" s="27"/>
      <c r="AF9" s="27"/>
      <c r="AG9" s="27"/>
      <c r="AH9" s="27"/>
      <c r="AI9" s="27"/>
      <c r="AJ9" s="27"/>
      <c r="AK9" s="27"/>
      <c r="AL9" s="27"/>
      <c r="AM9" s="27"/>
      <c r="AN9" s="27"/>
      <c r="AO9" s="27"/>
      <c r="AP9" s="27"/>
      <c r="AQ9" s="27"/>
      <c r="AR9" s="27"/>
      <c r="AS9" s="27"/>
      <c r="AT9" s="27"/>
      <c r="AU9" s="27"/>
      <c r="AV9" s="27"/>
      <c r="AW9" s="27"/>
      <c r="AX9" s="27"/>
      <c r="AY9" s="27"/>
      <c r="AZ9" s="27"/>
      <c r="BA9" s="27"/>
      <c r="BB9" s="27"/>
      <c r="BC9" s="27"/>
      <c r="BD9" s="27"/>
      <c r="BE9" s="27"/>
      <c r="BF9" s="27"/>
      <c r="BG9" s="27"/>
      <c r="BH9" s="27"/>
      <c r="BI9" s="27"/>
      <c r="BJ9" s="27"/>
      <c r="BK9" s="27"/>
      <c r="BL9" s="27"/>
      <c r="BM9" s="27"/>
      <c r="BN9" s="27"/>
      <c r="BO9" s="27"/>
      <c r="BP9" s="27"/>
      <c r="BQ9" s="27"/>
      <c r="BR9" s="27"/>
      <c r="BS9" s="27"/>
      <c r="BT9" s="27"/>
      <c r="BU9" s="27"/>
      <c r="BV9" s="27"/>
      <c r="BW9" s="27"/>
      <c r="BX9" s="27"/>
      <c r="BY9" s="27"/>
      <c r="BZ9" s="27"/>
      <c r="CA9" s="27"/>
      <c r="CB9" s="27"/>
      <c r="CC9" s="27"/>
      <c r="CD9" s="27"/>
      <c r="CE9" s="27"/>
      <c r="CF9" s="27"/>
      <c r="CG9" s="27"/>
      <c r="CH9" s="27"/>
      <c r="CI9" s="27"/>
      <c r="CJ9" s="27"/>
      <c r="CK9" s="27"/>
      <c r="CL9" s="27"/>
      <c r="CM9" s="27"/>
      <c r="CN9" s="27"/>
      <c r="CO9" s="27"/>
      <c r="CP9" s="27"/>
      <c r="CQ9" s="27"/>
      <c r="CR9" s="27"/>
      <c r="CS9" s="27"/>
      <c r="CT9" s="27"/>
      <c r="CU9" s="27"/>
      <c r="CV9" s="27"/>
      <c r="CW9" s="27"/>
      <c r="CX9" s="27"/>
      <c r="CY9" s="27"/>
      <c r="CZ9" s="27"/>
      <c r="DA9" s="27"/>
      <c r="DB9" s="27"/>
      <c r="DC9" s="27"/>
      <c r="DD9" s="27"/>
      <c r="DE9" s="27"/>
      <c r="DF9" s="27"/>
      <c r="DG9" s="27"/>
      <c r="DH9" s="27"/>
      <c r="DI9" s="27"/>
      <c r="DJ9" s="27"/>
      <c r="DK9" s="27"/>
      <c r="DL9" s="27"/>
      <c r="DM9" s="27"/>
      <c r="DN9" s="27"/>
      <c r="DO9" s="27"/>
      <c r="DP9" s="27"/>
      <c r="DQ9" s="27"/>
      <c r="DR9" s="27"/>
      <c r="DS9" s="27"/>
      <c r="DT9" s="27"/>
      <c r="DU9" s="27"/>
      <c r="DV9" s="27"/>
      <c r="DW9" s="27"/>
      <c r="DX9" s="27"/>
      <c r="DY9" s="27"/>
      <c r="DZ9" s="27"/>
      <c r="EA9" s="27"/>
      <c r="EB9" s="27"/>
      <c r="EC9" s="27"/>
      <c r="ED9" s="27"/>
      <c r="EE9" s="27"/>
      <c r="EF9" s="27"/>
      <c r="EG9" s="27"/>
      <c r="EH9" s="27"/>
      <c r="EI9" s="27"/>
      <c r="EJ9" s="27"/>
      <c r="EK9" s="27"/>
      <c r="EL9" s="27"/>
      <c r="EM9" s="27"/>
      <c r="EN9" s="27"/>
      <c r="EO9" s="27"/>
      <c r="EP9" s="27"/>
      <c r="EQ9" s="27"/>
      <c r="ER9" s="27"/>
      <c r="ES9" s="27"/>
      <c r="ET9" s="27"/>
      <c r="EU9" s="27"/>
      <c r="EV9" s="27"/>
      <c r="EW9" s="27"/>
      <c r="EX9" s="27"/>
      <c r="EY9" s="27"/>
      <c r="EZ9" s="27"/>
      <c r="FA9" s="27"/>
      <c r="FB9" s="27"/>
      <c r="FC9" s="27"/>
      <c r="FD9" s="27"/>
      <c r="FE9" s="27"/>
      <c r="FF9" s="27"/>
      <c r="FG9" s="27"/>
      <c r="FH9" s="27"/>
      <c r="FI9" s="27"/>
      <c r="FJ9" s="27"/>
      <c r="FK9" s="27"/>
      <c r="FL9" s="27"/>
      <c r="FM9" s="27"/>
      <c r="FN9" s="27"/>
      <c r="FO9" s="27"/>
      <c r="FP9" s="27"/>
      <c r="FQ9" s="27"/>
      <c r="FR9" s="27"/>
      <c r="FS9" s="27"/>
      <c r="FT9" s="27"/>
      <c r="FU9" s="27"/>
      <c r="FV9" s="27"/>
      <c r="FW9" s="27"/>
      <c r="FX9" s="27"/>
      <c r="FY9" s="27"/>
      <c r="FZ9" s="27"/>
      <c r="GA9" s="27"/>
      <c r="GB9" s="27"/>
      <c r="GC9" s="27"/>
      <c r="GD9" s="27"/>
      <c r="GE9" s="27"/>
      <c r="GF9" s="27"/>
      <c r="GG9" s="27"/>
      <c r="GH9" s="27"/>
      <c r="GI9" s="27"/>
      <c r="GJ9" s="27"/>
      <c r="GK9" s="27"/>
      <c r="GL9" s="27"/>
      <c r="GM9" s="27"/>
      <c r="GN9" s="27"/>
      <c r="GO9" s="27"/>
      <c r="GP9" s="27"/>
      <c r="GQ9" s="27"/>
      <c r="GR9" s="27"/>
      <c r="GS9" s="27"/>
      <c r="GT9" s="27"/>
      <c r="GU9" s="27"/>
      <c r="GV9" s="27"/>
      <c r="GW9" s="27"/>
      <c r="GX9" s="27"/>
      <c r="GY9" s="27"/>
      <c r="GZ9" s="27"/>
      <c r="HA9" s="27"/>
      <c r="HB9" s="27"/>
      <c r="HC9" s="27"/>
      <c r="HD9" s="27"/>
      <c r="HE9" s="27"/>
      <c r="HF9" s="27"/>
      <c r="HG9" s="27"/>
      <c r="HH9" s="27"/>
      <c r="HI9" s="27"/>
      <c r="HJ9" s="27"/>
      <c r="HK9" s="27"/>
      <c r="HL9" s="27"/>
      <c r="HM9" s="27"/>
      <c r="HN9" s="27"/>
      <c r="HO9" s="27"/>
      <c r="HP9" s="27"/>
      <c r="HQ9" s="27"/>
      <c r="HR9" s="27"/>
      <c r="HS9" s="27"/>
      <c r="HT9" s="27"/>
      <c r="HU9" s="27"/>
      <c r="HV9" s="27"/>
      <c r="HW9" s="27"/>
      <c r="HX9" s="27"/>
      <c r="HY9" s="27"/>
      <c r="HZ9" s="27"/>
      <c r="IA9" s="27"/>
      <c r="IB9" s="27"/>
      <c r="IC9" s="27"/>
      <c r="ID9" s="27"/>
      <c r="IE9" s="27"/>
      <c r="IF9" s="27"/>
      <c r="IG9" s="27"/>
      <c r="IH9" s="27"/>
      <c r="II9" s="27"/>
      <c r="IJ9" s="27"/>
      <c r="IK9" s="27"/>
      <c r="IL9" s="27"/>
      <c r="IM9" s="27"/>
      <c r="IN9" s="27"/>
      <c r="IO9" s="27"/>
      <c r="IP9" s="27"/>
      <c r="IQ9" s="27"/>
      <c r="IR9" s="27"/>
      <c r="IS9" s="27"/>
    </row>
    <row r="10" spans="1:253" x14ac:dyDescent="0.25">
      <c r="A10" s="39" t="s">
        <v>25</v>
      </c>
      <c r="B10" s="39"/>
      <c r="C10" s="39" t="s">
        <v>7</v>
      </c>
      <c r="D10" s="107" t="s">
        <v>1461</v>
      </c>
      <c r="E10" s="39"/>
      <c r="F10" s="33"/>
      <c r="G10" s="33"/>
      <c r="H10" s="33"/>
      <c r="I10" s="33"/>
      <c r="J10" s="33"/>
      <c r="K10" s="27"/>
      <c r="L10" s="27"/>
      <c r="M10" s="27"/>
      <c r="N10" s="27"/>
      <c r="O10" s="27"/>
      <c r="P10" s="27"/>
      <c r="Q10" s="27"/>
      <c r="R10" s="27"/>
      <c r="S10" s="27"/>
      <c r="T10" s="27"/>
      <c r="U10" s="27"/>
      <c r="V10" s="27"/>
      <c r="W10" s="27"/>
      <c r="X10" s="27"/>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27"/>
      <c r="BC10" s="27"/>
      <c r="BD10" s="27"/>
      <c r="BE10" s="27"/>
      <c r="BF10" s="27"/>
      <c r="BG10" s="27"/>
      <c r="BH10" s="27"/>
      <c r="BI10" s="27"/>
      <c r="BJ10" s="27"/>
      <c r="BK10" s="27"/>
      <c r="BL10" s="27"/>
      <c r="BM10" s="27"/>
      <c r="BN10" s="27"/>
      <c r="BO10" s="27"/>
      <c r="BP10" s="27"/>
      <c r="BQ10" s="27"/>
      <c r="BR10" s="27"/>
      <c r="BS10" s="27"/>
      <c r="BT10" s="27"/>
      <c r="BU10" s="27"/>
      <c r="BV10" s="27"/>
      <c r="BW10" s="27"/>
      <c r="BX10" s="27"/>
      <c r="BY10" s="27"/>
      <c r="BZ10" s="27"/>
      <c r="CA10" s="27"/>
      <c r="CB10" s="27"/>
      <c r="CC10" s="27"/>
      <c r="CD10" s="27"/>
      <c r="CE10" s="27"/>
      <c r="CF10" s="27"/>
      <c r="CG10" s="27"/>
      <c r="CH10" s="27"/>
      <c r="CI10" s="27"/>
      <c r="CJ10" s="27"/>
      <c r="CK10" s="27"/>
      <c r="CL10" s="27"/>
      <c r="CM10" s="27"/>
      <c r="CN10" s="27"/>
      <c r="CO10" s="27"/>
      <c r="CP10" s="27"/>
      <c r="CQ10" s="27"/>
      <c r="CR10" s="27"/>
      <c r="CS10" s="27"/>
      <c r="CT10" s="27"/>
      <c r="CU10" s="27"/>
      <c r="CV10" s="27"/>
      <c r="CW10" s="27"/>
      <c r="CX10" s="27"/>
      <c r="CY10" s="27"/>
      <c r="CZ10" s="27"/>
      <c r="DA10" s="27"/>
      <c r="DB10" s="27"/>
      <c r="DC10" s="27"/>
      <c r="DD10" s="27"/>
      <c r="DE10" s="27"/>
      <c r="DF10" s="27"/>
      <c r="DG10" s="27"/>
      <c r="DH10" s="27"/>
      <c r="DI10" s="27"/>
      <c r="DJ10" s="27"/>
      <c r="DK10" s="27"/>
      <c r="DL10" s="27"/>
      <c r="DM10" s="27"/>
      <c r="DN10" s="27"/>
      <c r="DO10" s="27"/>
      <c r="DP10" s="27"/>
      <c r="DQ10" s="27"/>
      <c r="DR10" s="27"/>
      <c r="DS10" s="27"/>
      <c r="DT10" s="27"/>
      <c r="DU10" s="27"/>
      <c r="DV10" s="27"/>
      <c r="DW10" s="27"/>
      <c r="DX10" s="27"/>
      <c r="DY10" s="27"/>
      <c r="DZ10" s="27"/>
      <c r="EA10" s="27"/>
      <c r="EB10" s="27"/>
      <c r="EC10" s="27"/>
      <c r="ED10" s="27"/>
      <c r="EE10" s="27"/>
      <c r="EF10" s="27"/>
      <c r="EG10" s="27"/>
      <c r="EH10" s="27"/>
      <c r="EI10" s="27"/>
      <c r="EJ10" s="27"/>
      <c r="EK10" s="27"/>
      <c r="EL10" s="27"/>
      <c r="EM10" s="27"/>
      <c r="EN10" s="27"/>
      <c r="EO10" s="27"/>
      <c r="EP10" s="27"/>
      <c r="EQ10" s="27"/>
      <c r="ER10" s="27"/>
      <c r="ES10" s="27"/>
      <c r="ET10" s="27"/>
      <c r="EU10" s="27"/>
      <c r="EV10" s="27"/>
      <c r="EW10" s="27"/>
      <c r="EX10" s="27"/>
      <c r="EY10" s="27"/>
      <c r="EZ10" s="27"/>
      <c r="FA10" s="27"/>
      <c r="FB10" s="27"/>
      <c r="FC10" s="27"/>
      <c r="FD10" s="27"/>
      <c r="FE10" s="27"/>
      <c r="FF10" s="27"/>
      <c r="FG10" s="27"/>
      <c r="FH10" s="27"/>
      <c r="FI10" s="27"/>
      <c r="FJ10" s="27"/>
      <c r="FK10" s="27"/>
      <c r="FL10" s="27"/>
      <c r="FM10" s="27"/>
      <c r="FN10" s="27"/>
      <c r="FO10" s="27"/>
      <c r="FP10" s="27"/>
      <c r="FQ10" s="27"/>
      <c r="FR10" s="27"/>
      <c r="FS10" s="27"/>
      <c r="FT10" s="27"/>
      <c r="FU10" s="27"/>
      <c r="FV10" s="27"/>
      <c r="FW10" s="27"/>
      <c r="FX10" s="27"/>
      <c r="FY10" s="27"/>
      <c r="FZ10" s="27"/>
      <c r="GA10" s="27"/>
      <c r="GB10" s="27"/>
      <c r="GC10" s="27"/>
      <c r="GD10" s="27"/>
      <c r="GE10" s="27"/>
      <c r="GF10" s="27"/>
      <c r="GG10" s="27"/>
      <c r="GH10" s="27"/>
      <c r="GI10" s="27"/>
      <c r="GJ10" s="27"/>
      <c r="GK10" s="27"/>
      <c r="GL10" s="27"/>
      <c r="GM10" s="27"/>
      <c r="GN10" s="27"/>
      <c r="GO10" s="27"/>
      <c r="GP10" s="27"/>
      <c r="GQ10" s="27"/>
      <c r="GR10" s="27"/>
      <c r="GS10" s="27"/>
      <c r="GT10" s="27"/>
      <c r="GU10" s="27"/>
      <c r="GV10" s="27"/>
      <c r="GW10" s="27"/>
      <c r="GX10" s="27"/>
      <c r="GY10" s="27"/>
      <c r="GZ10" s="27"/>
      <c r="HA10" s="27"/>
      <c r="HB10" s="27"/>
      <c r="HC10" s="27"/>
      <c r="HD10" s="27"/>
      <c r="HE10" s="27"/>
      <c r="HF10" s="27"/>
      <c r="HG10" s="27"/>
      <c r="HH10" s="27"/>
      <c r="HI10" s="27"/>
      <c r="HJ10" s="27"/>
      <c r="HK10" s="27"/>
      <c r="HL10" s="27"/>
      <c r="HM10" s="27"/>
      <c r="HN10" s="27"/>
      <c r="HO10" s="27"/>
      <c r="HP10" s="27"/>
      <c r="HQ10" s="27"/>
      <c r="HR10" s="27"/>
      <c r="HS10" s="27"/>
      <c r="HT10" s="27"/>
      <c r="HU10" s="27"/>
      <c r="HV10" s="27"/>
      <c r="HW10" s="27"/>
      <c r="HX10" s="27"/>
      <c r="HY10" s="27"/>
      <c r="HZ10" s="27"/>
      <c r="IA10" s="27"/>
      <c r="IB10" s="27"/>
      <c r="IC10" s="27"/>
      <c r="ID10" s="27"/>
      <c r="IE10" s="27"/>
      <c r="IF10" s="27"/>
      <c r="IG10" s="27"/>
      <c r="IH10" s="27"/>
      <c r="II10" s="27"/>
      <c r="IJ10" s="27"/>
      <c r="IK10" s="27"/>
      <c r="IL10" s="27"/>
      <c r="IM10" s="27"/>
      <c r="IN10" s="27"/>
      <c r="IO10" s="27"/>
      <c r="IP10" s="27"/>
      <c r="IQ10" s="27"/>
      <c r="IR10" s="27"/>
      <c r="IS10" s="27"/>
    </row>
    <row r="11" spans="1:253" x14ac:dyDescent="0.25">
      <c r="A11" s="39" t="s">
        <v>3</v>
      </c>
      <c r="B11" s="39"/>
      <c r="C11" s="39" t="s">
        <v>7</v>
      </c>
      <c r="D11" s="66" t="str">
        <f>CARAT_!$F$54</f>
        <v>MES DE DICIEMBRE DE 2022</v>
      </c>
      <c r="E11" s="39"/>
      <c r="F11" s="33"/>
      <c r="G11" s="33"/>
      <c r="H11" s="33"/>
      <c r="I11" s="33"/>
      <c r="J11" s="33"/>
      <c r="K11" s="27"/>
      <c r="L11" s="27"/>
      <c r="M11" s="27"/>
      <c r="N11" s="27"/>
      <c r="O11" s="27"/>
      <c r="P11" s="27"/>
      <c r="Q11" s="27"/>
      <c r="R11" s="27"/>
      <c r="S11" s="27"/>
      <c r="T11" s="27"/>
      <c r="U11" s="27"/>
      <c r="V11" s="27"/>
      <c r="W11" s="27"/>
      <c r="X11" s="27"/>
      <c r="Y11" s="27"/>
      <c r="Z11" s="27"/>
      <c r="AA11" s="27"/>
      <c r="AB11" s="27"/>
      <c r="AC11" s="27"/>
      <c r="AD11" s="27"/>
      <c r="AE11" s="27"/>
      <c r="AF11" s="27"/>
      <c r="AG11" s="27"/>
      <c r="AH11" s="27"/>
      <c r="AI11" s="27"/>
      <c r="AJ11" s="27"/>
      <c r="AK11" s="27"/>
      <c r="AL11" s="27"/>
      <c r="AM11" s="27"/>
      <c r="AN11" s="27"/>
      <c r="AO11" s="27"/>
      <c r="AP11" s="27"/>
      <c r="AQ11" s="27"/>
      <c r="AR11" s="27"/>
      <c r="AS11" s="27"/>
      <c r="AT11" s="27"/>
      <c r="AU11" s="27"/>
      <c r="AV11" s="27"/>
      <c r="AW11" s="27"/>
      <c r="AX11" s="27"/>
      <c r="AY11" s="27"/>
      <c r="AZ11" s="27"/>
      <c r="BA11" s="27"/>
      <c r="BB11" s="27"/>
      <c r="BC11" s="27"/>
      <c r="BD11" s="27"/>
      <c r="BE11" s="27"/>
      <c r="BF11" s="27"/>
      <c r="BG11" s="27"/>
      <c r="BH11" s="27"/>
      <c r="BI11" s="27"/>
      <c r="BJ11" s="27"/>
      <c r="BK11" s="27"/>
      <c r="BL11" s="27"/>
      <c r="BM11" s="27"/>
      <c r="BN11" s="27"/>
      <c r="BO11" s="27"/>
      <c r="BP11" s="27"/>
      <c r="BQ11" s="27"/>
      <c r="BR11" s="27"/>
      <c r="BS11" s="27"/>
      <c r="BT11" s="27"/>
      <c r="BU11" s="27"/>
      <c r="BV11" s="27"/>
      <c r="BW11" s="27"/>
      <c r="BX11" s="27"/>
      <c r="BY11" s="27"/>
      <c r="BZ11" s="27"/>
      <c r="CA11" s="27"/>
      <c r="CB11" s="27"/>
      <c r="CC11" s="27"/>
      <c r="CD11" s="27"/>
      <c r="CE11" s="27"/>
      <c r="CF11" s="27"/>
      <c r="CG11" s="27"/>
      <c r="CH11" s="27"/>
      <c r="CI11" s="27"/>
      <c r="CJ11" s="27"/>
      <c r="CK11" s="27"/>
      <c r="CL11" s="27"/>
      <c r="CM11" s="27"/>
      <c r="CN11" s="27"/>
      <c r="CO11" s="27"/>
      <c r="CP11" s="27"/>
      <c r="CQ11" s="27"/>
      <c r="CR11" s="27"/>
      <c r="CS11" s="27"/>
      <c r="CT11" s="27"/>
      <c r="CU11" s="27"/>
      <c r="CV11" s="27"/>
      <c r="CW11" s="27"/>
      <c r="CX11" s="27"/>
      <c r="CY11" s="27"/>
      <c r="CZ11" s="27"/>
      <c r="DA11" s="27"/>
      <c r="DB11" s="27"/>
      <c r="DC11" s="27"/>
      <c r="DD11" s="27"/>
      <c r="DE11" s="27"/>
      <c r="DF11" s="27"/>
      <c r="DG11" s="27"/>
      <c r="DH11" s="27"/>
      <c r="DI11" s="27"/>
      <c r="DJ11" s="27"/>
      <c r="DK11" s="27"/>
      <c r="DL11" s="27"/>
      <c r="DM11" s="27"/>
      <c r="DN11" s="27"/>
      <c r="DO11" s="27"/>
      <c r="DP11" s="27"/>
      <c r="DQ11" s="27"/>
      <c r="DR11" s="27"/>
      <c r="DS11" s="27"/>
      <c r="DT11" s="27"/>
      <c r="DU11" s="27"/>
      <c r="DV11" s="27"/>
      <c r="DW11" s="27"/>
      <c r="DX11" s="27"/>
      <c r="DY11" s="27"/>
      <c r="DZ11" s="27"/>
      <c r="EA11" s="27"/>
      <c r="EB11" s="27"/>
      <c r="EC11" s="27"/>
      <c r="ED11" s="27"/>
      <c r="EE11" s="27"/>
      <c r="EF11" s="27"/>
      <c r="EG11" s="27"/>
      <c r="EH11" s="27"/>
      <c r="EI11" s="27"/>
      <c r="EJ11" s="27"/>
      <c r="EK11" s="27"/>
      <c r="EL11" s="27"/>
      <c r="EM11" s="27"/>
      <c r="EN11" s="27"/>
      <c r="EO11" s="27"/>
      <c r="EP11" s="27"/>
      <c r="EQ11" s="27"/>
      <c r="ER11" s="27"/>
      <c r="ES11" s="27"/>
      <c r="ET11" s="27"/>
      <c r="EU11" s="27"/>
      <c r="EV11" s="27"/>
      <c r="EW11" s="27"/>
      <c r="EX11" s="27"/>
      <c r="EY11" s="27"/>
      <c r="EZ11" s="27"/>
      <c r="FA11" s="27"/>
      <c r="FB11" s="27"/>
      <c r="FC11" s="27"/>
      <c r="FD11" s="27"/>
      <c r="FE11" s="27"/>
      <c r="FF11" s="27"/>
      <c r="FG11" s="27"/>
      <c r="FH11" s="27"/>
      <c r="FI11" s="27"/>
      <c r="FJ11" s="27"/>
      <c r="FK11" s="27"/>
      <c r="FL11" s="27"/>
      <c r="FM11" s="27"/>
      <c r="FN11" s="27"/>
      <c r="FO11" s="27"/>
      <c r="FP11" s="27"/>
      <c r="FQ11" s="27"/>
      <c r="FR11" s="27"/>
      <c r="FS11" s="27"/>
      <c r="FT11" s="27"/>
      <c r="FU11" s="27"/>
      <c r="FV11" s="27"/>
      <c r="FW11" s="27"/>
      <c r="FX11" s="27"/>
      <c r="FY11" s="27"/>
      <c r="FZ11" s="27"/>
      <c r="GA11" s="27"/>
      <c r="GB11" s="27"/>
      <c r="GC11" s="27"/>
      <c r="GD11" s="27"/>
      <c r="GE11" s="27"/>
      <c r="GF11" s="27"/>
      <c r="GG11" s="27"/>
      <c r="GH11" s="27"/>
      <c r="GI11" s="27"/>
      <c r="GJ11" s="27"/>
      <c r="GK11" s="27"/>
      <c r="GL11" s="27"/>
      <c r="GM11" s="27"/>
      <c r="GN11" s="27"/>
      <c r="GO11" s="27"/>
      <c r="GP11" s="27"/>
      <c r="GQ11" s="27"/>
      <c r="GR11" s="27"/>
      <c r="GS11" s="27"/>
      <c r="GT11" s="27"/>
      <c r="GU11" s="27"/>
      <c r="GV11" s="27"/>
      <c r="GW11" s="27"/>
      <c r="GX11" s="27"/>
      <c r="GY11" s="27"/>
      <c r="GZ11" s="27"/>
      <c r="HA11" s="27"/>
      <c r="HB11" s="27"/>
      <c r="HC11" s="27"/>
      <c r="HD11" s="27"/>
      <c r="HE11" s="27"/>
      <c r="HF11" s="27"/>
      <c r="HG11" s="27"/>
      <c r="HH11" s="27"/>
      <c r="HI11" s="27"/>
      <c r="HJ11" s="27"/>
      <c r="HK11" s="27"/>
      <c r="HL11" s="27"/>
      <c r="HM11" s="27"/>
      <c r="HN11" s="27"/>
      <c r="HO11" s="27"/>
      <c r="HP11" s="27"/>
      <c r="HQ11" s="27"/>
      <c r="HR11" s="27"/>
      <c r="HS11" s="27"/>
      <c r="HT11" s="27"/>
      <c r="HU11" s="27"/>
      <c r="HV11" s="27"/>
      <c r="HW11" s="27"/>
      <c r="HX11" s="27"/>
      <c r="HY11" s="27"/>
      <c r="HZ11" s="27"/>
      <c r="IA11" s="27"/>
      <c r="IB11" s="27"/>
      <c r="IC11" s="27"/>
      <c r="ID11" s="27"/>
      <c r="IE11" s="27"/>
      <c r="IF11" s="27"/>
      <c r="IG11" s="27"/>
      <c r="IH11" s="27"/>
      <c r="II11" s="27"/>
      <c r="IJ11" s="27"/>
      <c r="IK11" s="27"/>
      <c r="IL11" s="27"/>
      <c r="IM11" s="27"/>
      <c r="IN11" s="27"/>
      <c r="IO11" s="27"/>
      <c r="IP11" s="27"/>
      <c r="IQ11" s="27"/>
      <c r="IR11" s="27"/>
      <c r="IS11" s="27"/>
    </row>
    <row r="12" spans="1:253" x14ac:dyDescent="0.25">
      <c r="A12" s="106" t="s">
        <v>491</v>
      </c>
      <c r="B12" s="39"/>
      <c r="C12" s="106" t="s">
        <v>7</v>
      </c>
      <c r="D12" s="107" t="s">
        <v>1393</v>
      </c>
      <c r="E12" s="39"/>
      <c r="F12" s="33"/>
      <c r="G12" s="33"/>
      <c r="H12" s="33"/>
      <c r="I12" s="33"/>
      <c r="J12" s="33"/>
      <c r="K12" s="27"/>
      <c r="L12" s="27"/>
      <c r="M12" s="27"/>
      <c r="N12" s="27"/>
      <c r="O12" s="27"/>
      <c r="P12" s="27"/>
      <c r="Q12" s="27"/>
      <c r="R12" s="27"/>
      <c r="S12" s="27"/>
      <c r="T12" s="27"/>
      <c r="U12" s="27"/>
      <c r="V12" s="27"/>
      <c r="W12" s="27"/>
      <c r="X12" s="27"/>
      <c r="Y12" s="27"/>
      <c r="Z12" s="27"/>
      <c r="AA12" s="27"/>
      <c r="AB12" s="27"/>
      <c r="AC12" s="27"/>
      <c r="AD12" s="27"/>
      <c r="AE12" s="27"/>
      <c r="AF12" s="27"/>
      <c r="AG12" s="27"/>
      <c r="AH12" s="27"/>
      <c r="AI12" s="27"/>
      <c r="AJ12" s="27"/>
      <c r="AK12" s="27"/>
      <c r="AL12" s="27"/>
      <c r="AM12" s="27"/>
      <c r="AN12" s="27"/>
      <c r="AO12" s="27"/>
      <c r="AP12" s="27"/>
      <c r="AQ12" s="27"/>
      <c r="AR12" s="27"/>
      <c r="AS12" s="27"/>
      <c r="AT12" s="27"/>
      <c r="AU12" s="27"/>
      <c r="AV12" s="27"/>
      <c r="AW12" s="27"/>
      <c r="AX12" s="27"/>
      <c r="AY12" s="27"/>
      <c r="AZ12" s="27"/>
      <c r="BA12" s="27"/>
      <c r="BB12" s="27"/>
      <c r="BC12" s="27"/>
      <c r="BD12" s="27"/>
      <c r="BE12" s="27"/>
      <c r="BF12" s="27"/>
      <c r="BG12" s="27"/>
      <c r="BH12" s="27"/>
      <c r="BI12" s="27"/>
      <c r="BJ12" s="27"/>
      <c r="BK12" s="27"/>
      <c r="BL12" s="27"/>
      <c r="BM12" s="27"/>
      <c r="BN12" s="27"/>
      <c r="BO12" s="27"/>
      <c r="BP12" s="27"/>
      <c r="BQ12" s="27"/>
      <c r="BR12" s="27"/>
      <c r="BS12" s="27"/>
      <c r="BT12" s="27"/>
      <c r="BU12" s="27"/>
      <c r="BV12" s="27"/>
      <c r="BW12" s="27"/>
      <c r="BX12" s="27"/>
      <c r="BY12" s="27"/>
      <c r="BZ12" s="27"/>
      <c r="CA12" s="27"/>
      <c r="CB12" s="27"/>
      <c r="CC12" s="27"/>
      <c r="CD12" s="27"/>
      <c r="CE12" s="27"/>
      <c r="CF12" s="27"/>
      <c r="CG12" s="27"/>
      <c r="CH12" s="27"/>
      <c r="CI12" s="27"/>
      <c r="CJ12" s="27"/>
      <c r="CK12" s="27"/>
      <c r="CL12" s="27"/>
      <c r="CM12" s="27"/>
      <c r="CN12" s="27"/>
      <c r="CO12" s="27"/>
      <c r="CP12" s="27"/>
      <c r="CQ12" s="27"/>
      <c r="CR12" s="27"/>
      <c r="CS12" s="27"/>
      <c r="CT12" s="27"/>
      <c r="CU12" s="27"/>
      <c r="CV12" s="27"/>
      <c r="CW12" s="27"/>
      <c r="CX12" s="27"/>
      <c r="CY12" s="27"/>
      <c r="CZ12" s="27"/>
      <c r="DA12" s="27"/>
      <c r="DB12" s="27"/>
      <c r="DC12" s="27"/>
      <c r="DD12" s="27"/>
      <c r="DE12" s="27"/>
      <c r="DF12" s="27"/>
      <c r="DG12" s="27"/>
      <c r="DH12" s="27"/>
      <c r="DI12" s="27"/>
      <c r="DJ12" s="27"/>
      <c r="DK12" s="27"/>
      <c r="DL12" s="27"/>
      <c r="DM12" s="27"/>
      <c r="DN12" s="27"/>
      <c r="DO12" s="27"/>
      <c r="DP12" s="27"/>
      <c r="DQ12" s="27"/>
      <c r="DR12" s="27"/>
      <c r="DS12" s="27"/>
      <c r="DT12" s="27"/>
      <c r="DU12" s="27"/>
      <c r="DV12" s="27"/>
      <c r="DW12" s="27"/>
      <c r="DX12" s="27"/>
      <c r="DY12" s="27"/>
      <c r="DZ12" s="27"/>
      <c r="EA12" s="27"/>
      <c r="EB12" s="27"/>
      <c r="EC12" s="27"/>
      <c r="ED12" s="27"/>
      <c r="EE12" s="27"/>
      <c r="EF12" s="27"/>
      <c r="EG12" s="27"/>
      <c r="EH12" s="27"/>
      <c r="EI12" s="27"/>
      <c r="EJ12" s="27"/>
      <c r="EK12" s="27"/>
      <c r="EL12" s="27"/>
      <c r="EM12" s="27"/>
      <c r="EN12" s="27"/>
      <c r="EO12" s="27"/>
      <c r="EP12" s="27"/>
      <c r="EQ12" s="27"/>
      <c r="ER12" s="27"/>
      <c r="ES12" s="27"/>
      <c r="ET12" s="27"/>
      <c r="EU12" s="27"/>
      <c r="EV12" s="27"/>
      <c r="EW12" s="27"/>
      <c r="EX12" s="27"/>
      <c r="EY12" s="27"/>
      <c r="EZ12" s="27"/>
      <c r="FA12" s="27"/>
      <c r="FB12" s="27"/>
      <c r="FC12" s="27"/>
      <c r="FD12" s="27"/>
      <c r="FE12" s="27"/>
      <c r="FF12" s="27"/>
      <c r="FG12" s="27"/>
      <c r="FH12" s="27"/>
      <c r="FI12" s="27"/>
      <c r="FJ12" s="27"/>
      <c r="FK12" s="27"/>
      <c r="FL12" s="27"/>
      <c r="FM12" s="27"/>
      <c r="FN12" s="27"/>
      <c r="FO12" s="27"/>
      <c r="FP12" s="27"/>
      <c r="FQ12" s="27"/>
      <c r="FR12" s="27"/>
      <c r="FS12" s="27"/>
      <c r="FT12" s="27"/>
      <c r="FU12" s="27"/>
      <c r="FV12" s="27"/>
      <c r="FW12" s="27"/>
      <c r="FX12" s="27"/>
      <c r="FY12" s="27"/>
      <c r="FZ12" s="27"/>
      <c r="GA12" s="27"/>
      <c r="GB12" s="27"/>
      <c r="GC12" s="27"/>
      <c r="GD12" s="27"/>
      <c r="GE12" s="27"/>
      <c r="GF12" s="27"/>
      <c r="GG12" s="27"/>
      <c r="GH12" s="27"/>
      <c r="GI12" s="27"/>
      <c r="GJ12" s="27"/>
      <c r="GK12" s="27"/>
      <c r="GL12" s="27"/>
      <c r="GM12" s="27"/>
      <c r="GN12" s="27"/>
      <c r="GO12" s="27"/>
      <c r="GP12" s="27"/>
      <c r="GQ12" s="27"/>
      <c r="GR12" s="27"/>
      <c r="GS12" s="27"/>
      <c r="GT12" s="27"/>
      <c r="GU12" s="27"/>
      <c r="GV12" s="27"/>
      <c r="GW12" s="27"/>
      <c r="GX12" s="27"/>
      <c r="GY12" s="27"/>
      <c r="GZ12" s="27"/>
      <c r="HA12" s="27"/>
      <c r="HB12" s="27"/>
      <c r="HC12" s="27"/>
      <c r="HD12" s="27"/>
      <c r="HE12" s="27"/>
      <c r="HF12" s="27"/>
      <c r="HG12" s="27"/>
      <c r="HH12" s="27"/>
      <c r="HI12" s="27"/>
      <c r="HJ12" s="27"/>
      <c r="HK12" s="27"/>
      <c r="HL12" s="27"/>
      <c r="HM12" s="27"/>
      <c r="HN12" s="27"/>
      <c r="HO12" s="27"/>
      <c r="HP12" s="27"/>
      <c r="HQ12" s="27"/>
      <c r="HR12" s="27"/>
      <c r="HS12" s="27"/>
      <c r="HT12" s="27"/>
      <c r="HU12" s="27"/>
      <c r="HV12" s="27"/>
      <c r="HW12" s="27"/>
      <c r="HX12" s="27"/>
      <c r="HY12" s="27"/>
      <c r="HZ12" s="27"/>
      <c r="IA12" s="27"/>
      <c r="IB12" s="27"/>
      <c r="IC12" s="27"/>
      <c r="ID12" s="27"/>
      <c r="IE12" s="27"/>
      <c r="IF12" s="27"/>
      <c r="IG12" s="27"/>
      <c r="IH12" s="27"/>
      <c r="II12" s="27"/>
      <c r="IJ12" s="27"/>
      <c r="IK12" s="27"/>
      <c r="IL12" s="27"/>
      <c r="IM12" s="27"/>
      <c r="IN12" s="27"/>
      <c r="IO12" s="27"/>
      <c r="IP12" s="27"/>
      <c r="IQ12" s="27"/>
      <c r="IR12" s="27"/>
      <c r="IS12" s="27"/>
    </row>
    <row r="13" spans="1:253" ht="13.8" thickBot="1" x14ac:dyDescent="0.3">
      <c r="A13" s="39"/>
      <c r="B13" s="39"/>
      <c r="C13" s="39"/>
      <c r="D13" s="39"/>
      <c r="E13" s="39"/>
      <c r="F13" s="33"/>
      <c r="G13" s="33"/>
      <c r="H13" s="33"/>
      <c r="I13" s="33"/>
      <c r="J13" s="33"/>
      <c r="K13" s="27"/>
      <c r="L13" s="27"/>
      <c r="M13" s="27"/>
      <c r="N13" s="27"/>
      <c r="O13" s="27"/>
      <c r="P13" s="27"/>
      <c r="Q13" s="27"/>
      <c r="R13" s="27"/>
      <c r="S13" s="27"/>
      <c r="T13" s="27"/>
      <c r="U13" s="27"/>
      <c r="V13" s="27"/>
      <c r="W13" s="27"/>
      <c r="X13" s="27"/>
      <c r="Y13" s="27"/>
      <c r="Z13" s="27"/>
      <c r="AA13" s="27"/>
      <c r="AB13" s="27"/>
      <c r="AC13" s="27"/>
      <c r="AD13" s="27"/>
      <c r="AE13" s="27"/>
      <c r="AF13" s="27"/>
      <c r="AG13" s="27"/>
      <c r="AH13" s="27"/>
      <c r="AI13" s="27"/>
      <c r="AJ13" s="27"/>
      <c r="AK13" s="27"/>
      <c r="AL13" s="27"/>
      <c r="AM13" s="27"/>
      <c r="AN13" s="27"/>
      <c r="AO13" s="27"/>
      <c r="AP13" s="27"/>
      <c r="AQ13" s="27"/>
      <c r="AR13" s="27"/>
      <c r="AS13" s="27"/>
      <c r="AT13" s="27"/>
      <c r="AU13" s="27"/>
      <c r="AV13" s="27"/>
      <c r="AW13" s="27"/>
      <c r="AX13" s="27"/>
      <c r="AY13" s="27"/>
      <c r="AZ13" s="27"/>
      <c r="BA13" s="27"/>
      <c r="BB13" s="27"/>
      <c r="BC13" s="27"/>
      <c r="BD13" s="27"/>
      <c r="BE13" s="27"/>
      <c r="BF13" s="27"/>
      <c r="BG13" s="27"/>
      <c r="BH13" s="27"/>
      <c r="BI13" s="27"/>
      <c r="BJ13" s="27"/>
      <c r="BK13" s="27"/>
      <c r="BL13" s="27"/>
      <c r="BM13" s="27"/>
      <c r="BN13" s="27"/>
      <c r="BO13" s="27"/>
      <c r="BP13" s="27"/>
      <c r="BQ13" s="27"/>
      <c r="BR13" s="27"/>
      <c r="BS13" s="27"/>
      <c r="BT13" s="27"/>
      <c r="BU13" s="27"/>
      <c r="BV13" s="27"/>
      <c r="BW13" s="27"/>
      <c r="BX13" s="27"/>
      <c r="BY13" s="27"/>
      <c r="BZ13" s="27"/>
      <c r="CA13" s="27"/>
      <c r="CB13" s="27"/>
      <c r="CC13" s="27"/>
      <c r="CD13" s="27"/>
      <c r="CE13" s="27"/>
      <c r="CF13" s="27"/>
      <c r="CG13" s="27"/>
      <c r="CH13" s="27"/>
      <c r="CI13" s="27"/>
      <c r="CJ13" s="27"/>
      <c r="CK13" s="27"/>
      <c r="CL13" s="27"/>
      <c r="CM13" s="27"/>
      <c r="CN13" s="27"/>
      <c r="CO13" s="27"/>
      <c r="CP13" s="27"/>
      <c r="CQ13" s="27"/>
      <c r="CR13" s="27"/>
      <c r="CS13" s="27"/>
      <c r="CT13" s="27"/>
      <c r="CU13" s="27"/>
      <c r="CV13" s="27"/>
      <c r="CW13" s="27"/>
      <c r="CX13" s="27"/>
      <c r="CY13" s="27"/>
      <c r="CZ13" s="27"/>
      <c r="DA13" s="27"/>
      <c r="DB13" s="27"/>
      <c r="DC13" s="27"/>
      <c r="DD13" s="27"/>
      <c r="DE13" s="27"/>
      <c r="DF13" s="27"/>
      <c r="DG13" s="27"/>
      <c r="DH13" s="27"/>
      <c r="DI13" s="27"/>
      <c r="DJ13" s="27"/>
      <c r="DK13" s="27"/>
      <c r="DL13" s="27"/>
      <c r="DM13" s="27"/>
      <c r="DN13" s="27"/>
      <c r="DO13" s="27"/>
      <c r="DP13" s="27"/>
      <c r="DQ13" s="27"/>
      <c r="DR13" s="27"/>
      <c r="DS13" s="27"/>
      <c r="DT13" s="27"/>
      <c r="DU13" s="27"/>
      <c r="DV13" s="27"/>
      <c r="DW13" s="27"/>
      <c r="DX13" s="27"/>
      <c r="DY13" s="27"/>
      <c r="DZ13" s="27"/>
      <c r="EA13" s="27"/>
      <c r="EB13" s="27"/>
      <c r="EC13" s="27"/>
      <c r="ED13" s="27"/>
      <c r="EE13" s="27"/>
      <c r="EF13" s="27"/>
      <c r="EG13" s="27"/>
      <c r="EH13" s="27"/>
      <c r="EI13" s="27"/>
      <c r="EJ13" s="27"/>
      <c r="EK13" s="27"/>
      <c r="EL13" s="27"/>
      <c r="EM13" s="27"/>
      <c r="EN13" s="27"/>
      <c r="EO13" s="27"/>
      <c r="EP13" s="27"/>
      <c r="EQ13" s="27"/>
      <c r="ER13" s="27"/>
      <c r="ES13" s="27"/>
      <c r="ET13" s="27"/>
      <c r="EU13" s="27"/>
      <c r="EV13" s="27"/>
      <c r="EW13" s="27"/>
      <c r="EX13" s="27"/>
      <c r="EY13" s="27"/>
      <c r="EZ13" s="27"/>
      <c r="FA13" s="27"/>
      <c r="FB13" s="27"/>
      <c r="FC13" s="27"/>
      <c r="FD13" s="27"/>
      <c r="FE13" s="27"/>
      <c r="FF13" s="27"/>
      <c r="FG13" s="27"/>
      <c r="FH13" s="27"/>
      <c r="FI13" s="27"/>
      <c r="FJ13" s="27"/>
      <c r="FK13" s="27"/>
      <c r="FL13" s="27"/>
      <c r="FM13" s="27"/>
      <c r="FN13" s="27"/>
      <c r="FO13" s="27"/>
      <c r="FP13" s="27"/>
      <c r="FQ13" s="27"/>
      <c r="FR13" s="27"/>
      <c r="FS13" s="27"/>
      <c r="FT13" s="27"/>
      <c r="FU13" s="27"/>
      <c r="FV13" s="27"/>
      <c r="FW13" s="27"/>
      <c r="FX13" s="27"/>
      <c r="FY13" s="27"/>
      <c r="FZ13" s="27"/>
      <c r="GA13" s="27"/>
      <c r="GB13" s="27"/>
      <c r="GC13" s="27"/>
      <c r="GD13" s="27"/>
      <c r="GE13" s="27"/>
      <c r="GF13" s="27"/>
      <c r="GG13" s="27"/>
      <c r="GH13" s="27"/>
      <c r="GI13" s="27"/>
      <c r="GJ13" s="27"/>
      <c r="GK13" s="27"/>
      <c r="GL13" s="27"/>
      <c r="GM13" s="27"/>
      <c r="GN13" s="27"/>
      <c r="GO13" s="27"/>
      <c r="GP13" s="27"/>
      <c r="GQ13" s="27"/>
      <c r="GR13" s="27"/>
      <c r="GS13" s="27"/>
      <c r="GT13" s="27"/>
      <c r="GU13" s="27"/>
      <c r="GV13" s="27"/>
      <c r="GW13" s="27"/>
      <c r="GX13" s="27"/>
      <c r="GY13" s="27"/>
      <c r="GZ13" s="27"/>
      <c r="HA13" s="27"/>
      <c r="HB13" s="27"/>
      <c r="HC13" s="27"/>
      <c r="HD13" s="27"/>
      <c r="HE13" s="27"/>
      <c r="HF13" s="27"/>
      <c r="HG13" s="27"/>
      <c r="HH13" s="27"/>
      <c r="HI13" s="27"/>
      <c r="HJ13" s="27"/>
      <c r="HK13" s="27"/>
      <c r="HL13" s="27"/>
      <c r="HM13" s="27"/>
      <c r="HN13" s="27"/>
      <c r="HO13" s="27"/>
      <c r="HP13" s="27"/>
      <c r="HQ13" s="27"/>
      <c r="HR13" s="27"/>
      <c r="HS13" s="27"/>
      <c r="HT13" s="27"/>
      <c r="HU13" s="27"/>
      <c r="HV13" s="27"/>
      <c r="HW13" s="27"/>
      <c r="HX13" s="27"/>
      <c r="HY13" s="27"/>
      <c r="HZ13" s="27"/>
      <c r="IA13" s="27"/>
      <c r="IB13" s="27"/>
      <c r="IC13" s="27"/>
      <c r="ID13" s="27"/>
      <c r="IE13" s="27"/>
      <c r="IF13" s="27"/>
      <c r="IG13" s="27"/>
      <c r="IH13" s="27"/>
      <c r="II13" s="27"/>
      <c r="IJ13" s="27"/>
      <c r="IK13" s="27"/>
      <c r="IL13" s="27"/>
      <c r="IM13" s="27"/>
      <c r="IN13" s="27"/>
      <c r="IO13" s="27"/>
      <c r="IP13" s="27"/>
      <c r="IQ13" s="27"/>
      <c r="IR13" s="27"/>
      <c r="IS13" s="27"/>
    </row>
    <row r="14" spans="1:253" x14ac:dyDescent="0.25">
      <c r="A14" s="329"/>
      <c r="B14" s="330"/>
      <c r="C14" s="330"/>
      <c r="D14" s="330"/>
      <c r="E14" s="331" t="s">
        <v>55</v>
      </c>
      <c r="F14" s="2380" t="s">
        <v>21</v>
      </c>
      <c r="G14" s="2381"/>
      <c r="H14" s="2382"/>
      <c r="I14" s="332" t="s">
        <v>17</v>
      </c>
      <c r="J14" s="333" t="s">
        <v>144</v>
      </c>
      <c r="K14" s="30"/>
      <c r="L14" s="30"/>
      <c r="M14" s="30"/>
      <c r="N14" s="30"/>
      <c r="O14" s="30"/>
      <c r="P14" s="30"/>
      <c r="Q14" s="30"/>
      <c r="R14" s="30"/>
      <c r="S14" s="30"/>
      <c r="T14" s="30"/>
      <c r="U14" s="30"/>
      <c r="V14" s="30"/>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c r="AW14" s="30"/>
      <c r="AX14" s="30"/>
      <c r="AY14" s="30"/>
      <c r="AZ14" s="30"/>
      <c r="BA14" s="30"/>
      <c r="BB14" s="30"/>
      <c r="BC14" s="30"/>
      <c r="BD14" s="30"/>
      <c r="BE14" s="30"/>
      <c r="BF14" s="30"/>
      <c r="BG14" s="30"/>
      <c r="BH14" s="30"/>
      <c r="BI14" s="30"/>
      <c r="BJ14" s="30"/>
      <c r="BK14" s="30"/>
      <c r="BL14" s="30"/>
      <c r="BM14" s="30"/>
      <c r="BN14" s="30"/>
      <c r="BO14" s="30"/>
      <c r="BP14" s="30"/>
      <c r="BQ14" s="30"/>
      <c r="BR14" s="30"/>
      <c r="BS14" s="30"/>
      <c r="BT14" s="30"/>
      <c r="BU14" s="30"/>
      <c r="BV14" s="30"/>
      <c r="BW14" s="30"/>
      <c r="BX14" s="30"/>
      <c r="BY14" s="30"/>
      <c r="BZ14" s="30"/>
      <c r="CA14" s="30"/>
      <c r="CB14" s="30"/>
      <c r="CC14" s="30"/>
      <c r="CD14" s="30"/>
      <c r="CE14" s="30"/>
      <c r="CF14" s="30"/>
      <c r="CG14" s="30"/>
      <c r="CH14" s="30"/>
      <c r="CI14" s="30"/>
      <c r="CJ14" s="30"/>
      <c r="CK14" s="30"/>
      <c r="CL14" s="30"/>
      <c r="CM14" s="30"/>
      <c r="CN14" s="30"/>
      <c r="CO14" s="30"/>
      <c r="CP14" s="30"/>
      <c r="CQ14" s="30"/>
      <c r="CR14" s="30"/>
      <c r="CS14" s="30"/>
      <c r="CT14" s="30"/>
      <c r="CU14" s="30"/>
      <c r="CV14" s="30"/>
      <c r="CW14" s="30"/>
      <c r="CX14" s="30"/>
      <c r="CY14" s="30"/>
      <c r="CZ14" s="30"/>
      <c r="DA14" s="30"/>
      <c r="DB14" s="30"/>
      <c r="DC14" s="30"/>
      <c r="DD14" s="30"/>
      <c r="DE14" s="30"/>
      <c r="DF14" s="30"/>
      <c r="DG14" s="30"/>
      <c r="DH14" s="30"/>
      <c r="DI14" s="30"/>
      <c r="DJ14" s="30"/>
      <c r="DK14" s="30"/>
      <c r="DL14" s="30"/>
      <c r="DM14" s="30"/>
      <c r="DN14" s="30"/>
      <c r="DO14" s="30"/>
      <c r="DP14" s="30"/>
      <c r="DQ14" s="30"/>
      <c r="DR14" s="30"/>
      <c r="DS14" s="30"/>
      <c r="DT14" s="30"/>
      <c r="DU14" s="30"/>
      <c r="DV14" s="30"/>
      <c r="DW14" s="30"/>
      <c r="DX14" s="30"/>
      <c r="DY14" s="30"/>
      <c r="DZ14" s="30"/>
      <c r="EA14" s="30"/>
      <c r="EB14" s="30"/>
      <c r="EC14" s="30"/>
      <c r="ED14" s="30"/>
      <c r="EE14" s="30"/>
      <c r="EF14" s="30"/>
      <c r="EG14" s="30"/>
      <c r="EH14" s="30"/>
      <c r="EI14" s="30"/>
      <c r="EJ14" s="30"/>
      <c r="EK14" s="30"/>
      <c r="EL14" s="30"/>
      <c r="EM14" s="30"/>
      <c r="EN14" s="30"/>
      <c r="EO14" s="30"/>
      <c r="EP14" s="30"/>
      <c r="EQ14" s="30"/>
      <c r="ER14" s="30"/>
      <c r="ES14" s="30"/>
      <c r="ET14" s="30"/>
      <c r="EU14" s="30"/>
      <c r="EV14" s="30"/>
      <c r="EW14" s="30"/>
      <c r="EX14" s="30"/>
      <c r="EY14" s="30"/>
      <c r="EZ14" s="30"/>
      <c r="FA14" s="30"/>
      <c r="FB14" s="30"/>
      <c r="FC14" s="30"/>
      <c r="FD14" s="30"/>
      <c r="FE14" s="30"/>
      <c r="FF14" s="30"/>
      <c r="FG14" s="30"/>
      <c r="FH14" s="30"/>
      <c r="FI14" s="30"/>
      <c r="FJ14" s="30"/>
      <c r="FK14" s="30"/>
      <c r="FL14" s="30"/>
      <c r="FM14" s="30"/>
      <c r="FN14" s="30"/>
      <c r="FO14" s="30"/>
      <c r="FP14" s="30"/>
      <c r="FQ14" s="30"/>
      <c r="FR14" s="30"/>
      <c r="FS14" s="30"/>
      <c r="FT14" s="30"/>
      <c r="FU14" s="30"/>
      <c r="FV14" s="30"/>
      <c r="FW14" s="30"/>
      <c r="FX14" s="30"/>
      <c r="FY14" s="30"/>
      <c r="FZ14" s="30"/>
      <c r="GA14" s="30"/>
      <c r="GB14" s="30"/>
      <c r="GC14" s="30"/>
      <c r="GD14" s="30"/>
      <c r="GE14" s="30"/>
      <c r="GF14" s="30"/>
      <c r="GG14" s="30"/>
      <c r="GH14" s="30"/>
      <c r="GI14" s="30"/>
      <c r="GJ14" s="30"/>
      <c r="GK14" s="30"/>
      <c r="GL14" s="30"/>
      <c r="GM14" s="30"/>
      <c r="GN14" s="30"/>
      <c r="GO14" s="30"/>
      <c r="GP14" s="30"/>
      <c r="GQ14" s="30"/>
      <c r="GR14" s="30"/>
      <c r="GS14" s="30"/>
      <c r="GT14" s="30"/>
      <c r="GU14" s="30"/>
      <c r="GV14" s="30"/>
      <c r="GW14" s="30"/>
      <c r="GX14" s="30"/>
      <c r="GY14" s="30"/>
      <c r="GZ14" s="30"/>
      <c r="HA14" s="30"/>
      <c r="HB14" s="30"/>
      <c r="HC14" s="30"/>
      <c r="HD14" s="30"/>
      <c r="HE14" s="30"/>
      <c r="HF14" s="30"/>
      <c r="HG14" s="30"/>
      <c r="HH14" s="30"/>
      <c r="HI14" s="30"/>
      <c r="HJ14" s="30"/>
      <c r="HK14" s="30"/>
      <c r="HL14" s="30"/>
      <c r="HM14" s="30"/>
      <c r="HN14" s="30"/>
      <c r="HO14" s="30"/>
      <c r="HP14" s="30"/>
      <c r="HQ14" s="30"/>
      <c r="HR14" s="30"/>
      <c r="HS14" s="30"/>
      <c r="HT14" s="30"/>
      <c r="HU14" s="30"/>
      <c r="HV14" s="30"/>
      <c r="HW14" s="30"/>
      <c r="HX14" s="30"/>
      <c r="HY14" s="30"/>
      <c r="HZ14" s="30"/>
      <c r="IA14" s="30"/>
      <c r="IB14" s="30"/>
      <c r="IC14" s="30"/>
      <c r="ID14" s="30"/>
      <c r="IE14" s="30"/>
      <c r="IF14" s="30"/>
      <c r="IG14" s="30"/>
      <c r="IH14" s="30"/>
      <c r="II14" s="30"/>
      <c r="IJ14" s="30"/>
      <c r="IK14" s="30"/>
      <c r="IL14" s="30"/>
      <c r="IM14" s="30"/>
      <c r="IN14" s="30"/>
      <c r="IO14" s="30"/>
      <c r="IP14" s="30"/>
      <c r="IQ14" s="30"/>
      <c r="IR14" s="30"/>
      <c r="IS14" s="30"/>
    </row>
    <row r="15" spans="1:253" x14ac:dyDescent="0.25">
      <c r="A15" s="2386" t="s">
        <v>9</v>
      </c>
      <c r="B15" s="2387"/>
      <c r="C15" s="2387"/>
      <c r="D15" s="2387"/>
      <c r="E15" s="334" t="s">
        <v>41</v>
      </c>
      <c r="F15" s="2383"/>
      <c r="G15" s="2384"/>
      <c r="H15" s="2385"/>
      <c r="I15" s="334" t="s">
        <v>145</v>
      </c>
      <c r="J15" s="335" t="s">
        <v>146</v>
      </c>
      <c r="K15" s="30"/>
      <c r="L15" s="30"/>
      <c r="M15" s="30"/>
      <c r="N15" s="30"/>
      <c r="O15" s="30"/>
      <c r="P15" s="30"/>
      <c r="Q15" s="30"/>
      <c r="R15" s="30"/>
      <c r="S15" s="30"/>
      <c r="T15" s="30"/>
      <c r="U15" s="30"/>
      <c r="V15" s="30"/>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c r="AW15" s="30"/>
      <c r="AX15" s="30"/>
      <c r="AY15" s="30"/>
      <c r="AZ15" s="30"/>
      <c r="BA15" s="30"/>
      <c r="BB15" s="30"/>
      <c r="BC15" s="30"/>
      <c r="BD15" s="30"/>
      <c r="BE15" s="30"/>
      <c r="BF15" s="30"/>
      <c r="BG15" s="30"/>
      <c r="BH15" s="30"/>
      <c r="BI15" s="30"/>
      <c r="BJ15" s="30"/>
      <c r="BK15" s="30"/>
      <c r="BL15" s="30"/>
      <c r="BM15" s="30"/>
      <c r="BN15" s="30"/>
      <c r="BO15" s="30"/>
      <c r="BP15" s="30"/>
      <c r="BQ15" s="30"/>
      <c r="BR15" s="30"/>
      <c r="BS15" s="30"/>
      <c r="BT15" s="30"/>
      <c r="BU15" s="30"/>
      <c r="BV15" s="30"/>
      <c r="BW15" s="30"/>
      <c r="BX15" s="30"/>
      <c r="BY15" s="30"/>
      <c r="BZ15" s="30"/>
      <c r="CA15" s="30"/>
      <c r="CB15" s="30"/>
      <c r="CC15" s="30"/>
      <c r="CD15" s="30"/>
      <c r="CE15" s="30"/>
      <c r="CF15" s="30"/>
      <c r="CG15" s="30"/>
      <c r="CH15" s="30"/>
      <c r="CI15" s="30"/>
      <c r="CJ15" s="30"/>
      <c r="CK15" s="30"/>
      <c r="CL15" s="30"/>
      <c r="CM15" s="30"/>
      <c r="CN15" s="30"/>
      <c r="CO15" s="30"/>
      <c r="CP15" s="30"/>
      <c r="CQ15" s="30"/>
      <c r="CR15" s="30"/>
      <c r="CS15" s="30"/>
      <c r="CT15" s="30"/>
      <c r="CU15" s="30"/>
      <c r="CV15" s="30"/>
      <c r="CW15" s="30"/>
      <c r="CX15" s="30"/>
      <c r="CY15" s="30"/>
      <c r="CZ15" s="30"/>
      <c r="DA15" s="30"/>
      <c r="DB15" s="30"/>
      <c r="DC15" s="30"/>
      <c r="DD15" s="30"/>
      <c r="DE15" s="30"/>
      <c r="DF15" s="30"/>
      <c r="DG15" s="30"/>
      <c r="DH15" s="30"/>
      <c r="DI15" s="30"/>
      <c r="DJ15" s="30"/>
      <c r="DK15" s="30"/>
      <c r="DL15" s="30"/>
      <c r="DM15" s="30"/>
      <c r="DN15" s="30"/>
      <c r="DO15" s="30"/>
      <c r="DP15" s="30"/>
      <c r="DQ15" s="30"/>
      <c r="DR15" s="30"/>
      <c r="DS15" s="30"/>
      <c r="DT15" s="30"/>
      <c r="DU15" s="30"/>
      <c r="DV15" s="30"/>
      <c r="DW15" s="30"/>
      <c r="DX15" s="30"/>
      <c r="DY15" s="30"/>
      <c r="DZ15" s="30"/>
      <c r="EA15" s="30"/>
      <c r="EB15" s="30"/>
      <c r="EC15" s="30"/>
      <c r="ED15" s="30"/>
      <c r="EE15" s="30"/>
      <c r="EF15" s="30"/>
      <c r="EG15" s="30"/>
      <c r="EH15" s="30"/>
      <c r="EI15" s="30"/>
      <c r="EJ15" s="30"/>
      <c r="EK15" s="30"/>
      <c r="EL15" s="30"/>
      <c r="EM15" s="30"/>
      <c r="EN15" s="30"/>
      <c r="EO15" s="30"/>
      <c r="EP15" s="30"/>
      <c r="EQ15" s="30"/>
      <c r="ER15" s="30"/>
      <c r="ES15" s="30"/>
      <c r="ET15" s="30"/>
      <c r="EU15" s="30"/>
      <c r="EV15" s="30"/>
      <c r="EW15" s="30"/>
      <c r="EX15" s="30"/>
      <c r="EY15" s="30"/>
      <c r="EZ15" s="30"/>
      <c r="FA15" s="30"/>
      <c r="FB15" s="30"/>
      <c r="FC15" s="30"/>
      <c r="FD15" s="30"/>
      <c r="FE15" s="30"/>
      <c r="FF15" s="30"/>
      <c r="FG15" s="30"/>
      <c r="FH15" s="30"/>
      <c r="FI15" s="30"/>
      <c r="FJ15" s="30"/>
      <c r="FK15" s="30"/>
      <c r="FL15" s="30"/>
      <c r="FM15" s="30"/>
      <c r="FN15" s="30"/>
      <c r="FO15" s="30"/>
      <c r="FP15" s="30"/>
      <c r="FQ15" s="30"/>
      <c r="FR15" s="30"/>
      <c r="FS15" s="30"/>
      <c r="FT15" s="30"/>
      <c r="FU15" s="30"/>
      <c r="FV15" s="30"/>
      <c r="FW15" s="30"/>
      <c r="FX15" s="30"/>
      <c r="FY15" s="30"/>
      <c r="FZ15" s="30"/>
      <c r="GA15" s="30"/>
      <c r="GB15" s="30"/>
      <c r="GC15" s="30"/>
      <c r="GD15" s="30"/>
      <c r="GE15" s="30"/>
      <c r="GF15" s="30"/>
      <c r="GG15" s="30"/>
      <c r="GH15" s="30"/>
      <c r="GI15" s="30"/>
      <c r="GJ15" s="30"/>
      <c r="GK15" s="30"/>
      <c r="GL15" s="30"/>
      <c r="GM15" s="30"/>
      <c r="GN15" s="30"/>
      <c r="GO15" s="30"/>
      <c r="GP15" s="30"/>
      <c r="GQ15" s="30"/>
      <c r="GR15" s="30"/>
      <c r="GS15" s="30"/>
      <c r="GT15" s="30"/>
      <c r="GU15" s="30"/>
      <c r="GV15" s="30"/>
      <c r="GW15" s="30"/>
      <c r="GX15" s="30"/>
      <c r="GY15" s="30"/>
      <c r="GZ15" s="30"/>
      <c r="HA15" s="30"/>
      <c r="HB15" s="30"/>
      <c r="HC15" s="30"/>
      <c r="HD15" s="30"/>
      <c r="HE15" s="30"/>
      <c r="HF15" s="30"/>
      <c r="HG15" s="30"/>
      <c r="HH15" s="30"/>
      <c r="HI15" s="30"/>
      <c r="HJ15" s="30"/>
      <c r="HK15" s="30"/>
      <c r="HL15" s="30"/>
      <c r="HM15" s="30"/>
      <c r="HN15" s="30"/>
      <c r="HO15" s="30"/>
      <c r="HP15" s="30"/>
      <c r="HQ15" s="30"/>
      <c r="HR15" s="30"/>
      <c r="HS15" s="30"/>
      <c r="HT15" s="30"/>
      <c r="HU15" s="30"/>
      <c r="HV15" s="30"/>
      <c r="HW15" s="30"/>
      <c r="HX15" s="30"/>
      <c r="HY15" s="30"/>
      <c r="HZ15" s="30"/>
      <c r="IA15" s="30"/>
      <c r="IB15" s="30"/>
      <c r="IC15" s="30"/>
      <c r="ID15" s="30"/>
      <c r="IE15" s="30"/>
      <c r="IF15" s="30"/>
      <c r="IG15" s="30"/>
      <c r="IH15" s="30"/>
      <c r="II15" s="30"/>
      <c r="IJ15" s="30"/>
      <c r="IK15" s="30"/>
      <c r="IL15" s="30"/>
      <c r="IM15" s="30"/>
      <c r="IN15" s="30"/>
      <c r="IO15" s="30"/>
      <c r="IP15" s="30"/>
      <c r="IQ15" s="30"/>
      <c r="IR15" s="30"/>
      <c r="IS15" s="30"/>
    </row>
    <row r="16" spans="1:253" ht="13.8" thickBot="1" x14ac:dyDescent="0.3">
      <c r="A16" s="2388"/>
      <c r="B16" s="2389"/>
      <c r="C16" s="2389"/>
      <c r="D16" s="2389"/>
      <c r="E16" s="336" t="s">
        <v>98</v>
      </c>
      <c r="F16" s="336" t="s">
        <v>147</v>
      </c>
      <c r="G16" s="336" t="s">
        <v>10</v>
      </c>
      <c r="H16" s="336" t="s">
        <v>11</v>
      </c>
      <c r="I16" s="336" t="s">
        <v>11</v>
      </c>
      <c r="J16" s="337" t="s">
        <v>148</v>
      </c>
      <c r="K16" s="30"/>
      <c r="L16" s="30"/>
      <c r="M16" s="30"/>
      <c r="N16" s="30"/>
      <c r="O16" s="30"/>
      <c r="P16" s="30"/>
      <c r="Q16" s="30"/>
      <c r="R16" s="30"/>
      <c r="S16" s="30"/>
      <c r="T16" s="30"/>
      <c r="U16" s="30"/>
      <c r="V16" s="30"/>
      <c r="W16" s="30"/>
      <c r="X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c r="AW16" s="30"/>
      <c r="AX16" s="30"/>
      <c r="AY16" s="30"/>
      <c r="AZ16" s="30"/>
      <c r="BA16" s="30"/>
      <c r="BB16" s="30"/>
      <c r="BC16" s="30"/>
      <c r="BD16" s="30"/>
      <c r="BE16" s="30"/>
      <c r="BF16" s="30"/>
      <c r="BG16" s="30"/>
      <c r="BH16" s="30"/>
      <c r="BI16" s="30"/>
      <c r="BJ16" s="30"/>
      <c r="BK16" s="30"/>
      <c r="BL16" s="30"/>
      <c r="BM16" s="30"/>
      <c r="BN16" s="30"/>
      <c r="BO16" s="30"/>
      <c r="BP16" s="30"/>
      <c r="BQ16" s="30"/>
      <c r="BR16" s="30"/>
      <c r="BS16" s="30"/>
      <c r="BT16" s="30"/>
      <c r="BU16" s="30"/>
      <c r="BV16" s="30"/>
      <c r="BW16" s="30"/>
      <c r="BX16" s="30"/>
      <c r="BY16" s="30"/>
      <c r="BZ16" s="30"/>
      <c r="CA16" s="30"/>
      <c r="CB16" s="30"/>
      <c r="CC16" s="30"/>
      <c r="CD16" s="30"/>
      <c r="CE16" s="30"/>
      <c r="CF16" s="30"/>
      <c r="CG16" s="30"/>
      <c r="CH16" s="30"/>
      <c r="CI16" s="30"/>
      <c r="CJ16" s="30"/>
      <c r="CK16" s="30"/>
      <c r="CL16" s="30"/>
      <c r="CM16" s="30"/>
      <c r="CN16" s="30"/>
      <c r="CO16" s="30"/>
      <c r="CP16" s="30"/>
      <c r="CQ16" s="30"/>
      <c r="CR16" s="30"/>
      <c r="CS16" s="30"/>
      <c r="CT16" s="30"/>
      <c r="CU16" s="30"/>
      <c r="CV16" s="30"/>
      <c r="CW16" s="30"/>
      <c r="CX16" s="30"/>
      <c r="CY16" s="30"/>
      <c r="CZ16" s="30"/>
      <c r="DA16" s="30"/>
      <c r="DB16" s="30"/>
      <c r="DC16" s="30"/>
      <c r="DD16" s="30"/>
      <c r="DE16" s="30"/>
      <c r="DF16" s="30"/>
      <c r="DG16" s="30"/>
      <c r="DH16" s="30"/>
      <c r="DI16" s="30"/>
      <c r="DJ16" s="30"/>
      <c r="DK16" s="30"/>
      <c r="DL16" s="30"/>
      <c r="DM16" s="30"/>
      <c r="DN16" s="30"/>
      <c r="DO16" s="30"/>
      <c r="DP16" s="30"/>
      <c r="DQ16" s="30"/>
      <c r="DR16" s="30"/>
      <c r="DS16" s="30"/>
      <c r="DT16" s="30"/>
      <c r="DU16" s="30"/>
      <c r="DV16" s="30"/>
      <c r="DW16" s="30"/>
      <c r="DX16" s="30"/>
      <c r="DY16" s="30"/>
      <c r="DZ16" s="30"/>
      <c r="EA16" s="30"/>
      <c r="EB16" s="30"/>
      <c r="EC16" s="30"/>
      <c r="ED16" s="30"/>
      <c r="EE16" s="30"/>
      <c r="EF16" s="30"/>
      <c r="EG16" s="30"/>
      <c r="EH16" s="30"/>
      <c r="EI16" s="30"/>
      <c r="EJ16" s="30"/>
      <c r="EK16" s="30"/>
      <c r="EL16" s="30"/>
      <c r="EM16" s="30"/>
      <c r="EN16" s="30"/>
      <c r="EO16" s="30"/>
      <c r="EP16" s="30"/>
      <c r="EQ16" s="30"/>
      <c r="ER16" s="30"/>
      <c r="ES16" s="30"/>
      <c r="ET16" s="30"/>
      <c r="EU16" s="30"/>
      <c r="EV16" s="30"/>
      <c r="EW16" s="30"/>
      <c r="EX16" s="30"/>
      <c r="EY16" s="30"/>
      <c r="EZ16" s="30"/>
      <c r="FA16" s="30"/>
      <c r="FB16" s="30"/>
      <c r="FC16" s="30"/>
      <c r="FD16" s="30"/>
      <c r="FE16" s="30"/>
      <c r="FF16" s="30"/>
      <c r="FG16" s="30"/>
      <c r="FH16" s="30"/>
      <c r="FI16" s="30"/>
      <c r="FJ16" s="30"/>
      <c r="FK16" s="30"/>
      <c r="FL16" s="30"/>
      <c r="FM16" s="30"/>
      <c r="FN16" s="30"/>
      <c r="FO16" s="30"/>
      <c r="FP16" s="30"/>
      <c r="FQ16" s="30"/>
      <c r="FR16" s="30"/>
      <c r="FS16" s="30"/>
      <c r="FT16" s="30"/>
      <c r="FU16" s="30"/>
      <c r="FV16" s="30"/>
      <c r="FW16" s="30"/>
      <c r="FX16" s="30"/>
      <c r="FY16" s="30"/>
      <c r="FZ16" s="30"/>
      <c r="GA16" s="30"/>
      <c r="GB16" s="30"/>
      <c r="GC16" s="30"/>
      <c r="GD16" s="30"/>
      <c r="GE16" s="30"/>
      <c r="GF16" s="30"/>
      <c r="GG16" s="30"/>
      <c r="GH16" s="30"/>
      <c r="GI16" s="30"/>
      <c r="GJ16" s="30"/>
      <c r="GK16" s="30"/>
      <c r="GL16" s="30"/>
      <c r="GM16" s="30"/>
      <c r="GN16" s="30"/>
      <c r="GO16" s="30"/>
      <c r="GP16" s="30"/>
      <c r="GQ16" s="30"/>
      <c r="GR16" s="30"/>
      <c r="GS16" s="30"/>
      <c r="GT16" s="30"/>
      <c r="GU16" s="30"/>
      <c r="GV16" s="30"/>
      <c r="GW16" s="30"/>
      <c r="GX16" s="30"/>
      <c r="GY16" s="30"/>
      <c r="GZ16" s="30"/>
      <c r="HA16" s="30"/>
      <c r="HB16" s="30"/>
      <c r="HC16" s="30"/>
      <c r="HD16" s="30"/>
      <c r="HE16" s="30"/>
      <c r="HF16" s="30"/>
      <c r="HG16" s="30"/>
      <c r="HH16" s="30"/>
      <c r="HI16" s="30"/>
      <c r="HJ16" s="30"/>
      <c r="HK16" s="30"/>
      <c r="HL16" s="30"/>
      <c r="HM16" s="30"/>
      <c r="HN16" s="30"/>
      <c r="HO16" s="30"/>
      <c r="HP16" s="30"/>
      <c r="HQ16" s="30"/>
      <c r="HR16" s="30"/>
      <c r="HS16" s="30"/>
      <c r="HT16" s="30"/>
      <c r="HU16" s="30"/>
      <c r="HV16" s="30"/>
      <c r="HW16" s="30"/>
      <c r="HX16" s="30"/>
      <c r="HY16" s="30"/>
      <c r="HZ16" s="30"/>
      <c r="IA16" s="30"/>
      <c r="IB16" s="30"/>
      <c r="IC16" s="30"/>
      <c r="ID16" s="30"/>
      <c r="IE16" s="30"/>
      <c r="IF16" s="30"/>
      <c r="IG16" s="30"/>
      <c r="IH16" s="30"/>
      <c r="II16" s="30"/>
      <c r="IJ16" s="30"/>
      <c r="IK16" s="30"/>
      <c r="IL16" s="30"/>
      <c r="IM16" s="30"/>
      <c r="IN16" s="30"/>
      <c r="IO16" s="30"/>
      <c r="IP16" s="30"/>
      <c r="IQ16" s="30"/>
      <c r="IR16" s="30"/>
      <c r="IS16" s="30"/>
    </row>
    <row r="17" spans="1:253" ht="13.8" thickTop="1" x14ac:dyDescent="0.25">
      <c r="A17" s="1717"/>
      <c r="B17" s="87"/>
      <c r="C17" s="87"/>
      <c r="D17" s="87"/>
      <c r="E17" s="88"/>
      <c r="F17" s="89"/>
      <c r="G17" s="89"/>
      <c r="H17" s="90"/>
      <c r="I17" s="88"/>
      <c r="J17" s="1718"/>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c r="AT17" s="27"/>
      <c r="AU17" s="27"/>
      <c r="AV17" s="27"/>
      <c r="AW17" s="27"/>
      <c r="AX17" s="27"/>
      <c r="AY17" s="27"/>
      <c r="AZ17" s="27"/>
      <c r="BA17" s="27"/>
      <c r="BB17" s="27"/>
      <c r="BC17" s="27"/>
      <c r="BD17" s="27"/>
      <c r="BE17" s="27"/>
      <c r="BF17" s="27"/>
      <c r="BG17" s="27"/>
      <c r="BH17" s="27"/>
      <c r="BI17" s="27"/>
      <c r="BJ17" s="27"/>
      <c r="BK17" s="27"/>
      <c r="BL17" s="27"/>
      <c r="BM17" s="27"/>
      <c r="BN17" s="27"/>
      <c r="BO17" s="27"/>
      <c r="BP17" s="27"/>
      <c r="BQ17" s="27"/>
      <c r="BR17" s="27"/>
      <c r="BS17" s="27"/>
      <c r="BT17" s="27"/>
      <c r="BU17" s="27"/>
      <c r="BV17" s="27"/>
      <c r="BW17" s="27"/>
      <c r="BX17" s="27"/>
      <c r="BY17" s="27"/>
      <c r="BZ17" s="27"/>
      <c r="CA17" s="27"/>
      <c r="CB17" s="27"/>
      <c r="CC17" s="27"/>
      <c r="CD17" s="27"/>
      <c r="CE17" s="27"/>
      <c r="CF17" s="27"/>
      <c r="CG17" s="27"/>
      <c r="CH17" s="27"/>
      <c r="CI17" s="27"/>
      <c r="CJ17" s="27"/>
      <c r="CK17" s="27"/>
      <c r="CL17" s="27"/>
      <c r="CM17" s="27"/>
      <c r="CN17" s="27"/>
      <c r="CO17" s="27"/>
      <c r="CP17" s="27"/>
      <c r="CQ17" s="27"/>
      <c r="CR17" s="27"/>
      <c r="CS17" s="27"/>
      <c r="CT17" s="27"/>
      <c r="CU17" s="27"/>
      <c r="CV17" s="27"/>
      <c r="CW17" s="27"/>
      <c r="CX17" s="27"/>
      <c r="CY17" s="27"/>
      <c r="CZ17" s="27"/>
      <c r="DA17" s="27"/>
      <c r="DB17" s="27"/>
      <c r="DC17" s="27"/>
      <c r="DD17" s="27"/>
      <c r="DE17" s="27"/>
      <c r="DF17" s="27"/>
      <c r="DG17" s="27"/>
      <c r="DH17" s="27"/>
      <c r="DI17" s="27"/>
      <c r="DJ17" s="27"/>
      <c r="DK17" s="27"/>
      <c r="DL17" s="27"/>
      <c r="DM17" s="27"/>
      <c r="DN17" s="27"/>
      <c r="DO17" s="27"/>
      <c r="DP17" s="27"/>
      <c r="DQ17" s="27"/>
      <c r="DR17" s="27"/>
      <c r="DS17" s="27"/>
      <c r="DT17" s="27"/>
      <c r="DU17" s="27"/>
      <c r="DV17" s="27"/>
      <c r="DW17" s="27"/>
      <c r="DX17" s="27"/>
      <c r="DY17" s="27"/>
      <c r="DZ17" s="27"/>
      <c r="EA17" s="27"/>
      <c r="EB17" s="27"/>
      <c r="EC17" s="27"/>
      <c r="ED17" s="27"/>
      <c r="EE17" s="27"/>
      <c r="EF17" s="27"/>
      <c r="EG17" s="27"/>
      <c r="EH17" s="27"/>
      <c r="EI17" s="27"/>
      <c r="EJ17" s="27"/>
      <c r="EK17" s="27"/>
      <c r="EL17" s="27"/>
      <c r="EM17" s="27"/>
      <c r="EN17" s="27"/>
      <c r="EO17" s="27"/>
      <c r="EP17" s="27"/>
      <c r="EQ17" s="27"/>
      <c r="ER17" s="27"/>
      <c r="ES17" s="27"/>
      <c r="ET17" s="27"/>
      <c r="EU17" s="27"/>
      <c r="EV17" s="27"/>
      <c r="EW17" s="27"/>
      <c r="EX17" s="27"/>
      <c r="EY17" s="27"/>
      <c r="EZ17" s="27"/>
      <c r="FA17" s="27"/>
      <c r="FB17" s="27"/>
      <c r="FC17" s="27"/>
      <c r="FD17" s="27"/>
      <c r="FE17" s="27"/>
      <c r="FF17" s="27"/>
      <c r="FG17" s="27"/>
      <c r="FH17" s="27"/>
      <c r="FI17" s="27"/>
      <c r="FJ17" s="27"/>
      <c r="FK17" s="27"/>
      <c r="FL17" s="27"/>
      <c r="FM17" s="27"/>
      <c r="FN17" s="27"/>
      <c r="FO17" s="27"/>
      <c r="FP17" s="27"/>
      <c r="FQ17" s="27"/>
      <c r="FR17" s="27"/>
      <c r="FS17" s="27"/>
      <c r="FT17" s="27"/>
      <c r="FU17" s="27"/>
      <c r="FV17" s="27"/>
      <c r="FW17" s="27"/>
      <c r="FX17" s="27"/>
      <c r="FY17" s="27"/>
      <c r="FZ17" s="27"/>
      <c r="GA17" s="27"/>
      <c r="GB17" s="27"/>
      <c r="GC17" s="27"/>
      <c r="GD17" s="27"/>
      <c r="GE17" s="27"/>
      <c r="GF17" s="27"/>
      <c r="GG17" s="27"/>
      <c r="GH17" s="27"/>
      <c r="GI17" s="27"/>
      <c r="GJ17" s="27"/>
      <c r="GK17" s="27"/>
      <c r="GL17" s="27"/>
      <c r="GM17" s="27"/>
      <c r="GN17" s="27"/>
      <c r="GO17" s="27"/>
      <c r="GP17" s="27"/>
      <c r="GQ17" s="27"/>
      <c r="GR17" s="27"/>
      <c r="GS17" s="27"/>
      <c r="GT17" s="27"/>
      <c r="GU17" s="27"/>
      <c r="GV17" s="27"/>
      <c r="GW17" s="27"/>
      <c r="GX17" s="27"/>
      <c r="GY17" s="27"/>
      <c r="GZ17" s="27"/>
      <c r="HA17" s="27"/>
      <c r="HB17" s="27"/>
      <c r="HC17" s="27"/>
      <c r="HD17" s="27"/>
      <c r="HE17" s="27"/>
      <c r="HF17" s="27"/>
      <c r="HG17" s="27"/>
      <c r="HH17" s="27"/>
      <c r="HI17" s="27"/>
      <c r="HJ17" s="27"/>
      <c r="HK17" s="27"/>
      <c r="HL17" s="27"/>
      <c r="HM17" s="27"/>
      <c r="HN17" s="27"/>
      <c r="HO17" s="27"/>
      <c r="HP17" s="27"/>
      <c r="HQ17" s="27"/>
      <c r="HR17" s="27"/>
      <c r="HS17" s="27"/>
      <c r="HT17" s="27"/>
      <c r="HU17" s="27"/>
      <c r="HV17" s="27"/>
      <c r="HW17" s="27"/>
      <c r="HX17" s="27"/>
      <c r="HY17" s="27"/>
      <c r="HZ17" s="27"/>
      <c r="IA17" s="27"/>
      <c r="IB17" s="27"/>
      <c r="IC17" s="27"/>
      <c r="ID17" s="27"/>
      <c r="IE17" s="27"/>
      <c r="IF17" s="27"/>
      <c r="IG17" s="27"/>
      <c r="IH17" s="27"/>
      <c r="II17" s="27"/>
      <c r="IJ17" s="27"/>
      <c r="IK17" s="27"/>
      <c r="IL17" s="27"/>
      <c r="IM17" s="27"/>
      <c r="IN17" s="27"/>
      <c r="IO17" s="27"/>
      <c r="IP17" s="27"/>
      <c r="IQ17" s="27"/>
      <c r="IR17" s="27"/>
      <c r="IS17" s="27"/>
    </row>
    <row r="18" spans="1:253" x14ac:dyDescent="0.25">
      <c r="A18" s="49" t="s">
        <v>149</v>
      </c>
      <c r="B18" s="39" t="s">
        <v>82</v>
      </c>
      <c r="C18" s="33"/>
      <c r="D18" s="33"/>
      <c r="E18" s="1719"/>
      <c r="F18" s="1720"/>
      <c r="G18" s="1720"/>
      <c r="H18" s="70"/>
      <c r="I18" s="1719"/>
      <c r="J18" s="1721"/>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c r="AT18" s="27"/>
      <c r="AU18" s="27"/>
      <c r="AV18" s="27"/>
      <c r="AW18" s="27"/>
      <c r="AX18" s="27"/>
      <c r="AY18" s="27"/>
      <c r="AZ18" s="27"/>
      <c r="BA18" s="27"/>
      <c r="BB18" s="27"/>
      <c r="BC18" s="27"/>
      <c r="BD18" s="27"/>
      <c r="BE18" s="27"/>
      <c r="BF18" s="27"/>
      <c r="BG18" s="27"/>
      <c r="BH18" s="27"/>
      <c r="BI18" s="27"/>
      <c r="BJ18" s="27"/>
      <c r="BK18" s="27"/>
      <c r="BL18" s="27"/>
      <c r="BM18" s="27"/>
      <c r="BN18" s="27"/>
      <c r="BO18" s="27"/>
      <c r="BP18" s="27"/>
      <c r="BQ18" s="27"/>
      <c r="BR18" s="27"/>
      <c r="BS18" s="27"/>
      <c r="BT18" s="27"/>
      <c r="BU18" s="27"/>
      <c r="BV18" s="27"/>
      <c r="BW18" s="27"/>
      <c r="BX18" s="27"/>
      <c r="BY18" s="27"/>
      <c r="BZ18" s="27"/>
      <c r="CA18" s="27"/>
      <c r="CB18" s="27"/>
      <c r="CC18" s="27"/>
      <c r="CD18" s="27"/>
      <c r="CE18" s="27"/>
      <c r="CF18" s="27"/>
      <c r="CG18" s="27"/>
      <c r="CH18" s="27"/>
      <c r="CI18" s="27"/>
      <c r="CJ18" s="27"/>
      <c r="CK18" s="27"/>
      <c r="CL18" s="27"/>
      <c r="CM18" s="27"/>
      <c r="CN18" s="27"/>
      <c r="CO18" s="27"/>
      <c r="CP18" s="27"/>
      <c r="CQ18" s="27"/>
      <c r="CR18" s="27"/>
      <c r="CS18" s="27"/>
      <c r="CT18" s="27"/>
      <c r="CU18" s="27"/>
      <c r="CV18" s="27"/>
      <c r="CW18" s="27"/>
      <c r="CX18" s="27"/>
      <c r="CY18" s="27"/>
      <c r="CZ18" s="27"/>
      <c r="DA18" s="27"/>
      <c r="DB18" s="27"/>
      <c r="DC18" s="27"/>
      <c r="DD18" s="27"/>
      <c r="DE18" s="27"/>
      <c r="DF18" s="27"/>
      <c r="DG18" s="27"/>
      <c r="DH18" s="27"/>
      <c r="DI18" s="27"/>
      <c r="DJ18" s="27"/>
      <c r="DK18" s="27"/>
      <c r="DL18" s="27"/>
      <c r="DM18" s="27"/>
      <c r="DN18" s="27"/>
      <c r="DO18" s="27"/>
      <c r="DP18" s="27"/>
      <c r="DQ18" s="27"/>
      <c r="DR18" s="27"/>
      <c r="DS18" s="27"/>
      <c r="DT18" s="27"/>
      <c r="DU18" s="27"/>
      <c r="DV18" s="27"/>
      <c r="DW18" s="27"/>
      <c r="DX18" s="27"/>
      <c r="DY18" s="27"/>
      <c r="DZ18" s="27"/>
      <c r="EA18" s="27"/>
      <c r="EB18" s="27"/>
      <c r="EC18" s="27"/>
      <c r="ED18" s="27"/>
      <c r="EE18" s="27"/>
      <c r="EF18" s="27"/>
      <c r="EG18" s="27"/>
      <c r="EH18" s="27"/>
      <c r="EI18" s="27"/>
      <c r="EJ18" s="27"/>
      <c r="EK18" s="27"/>
      <c r="EL18" s="27"/>
      <c r="EM18" s="27"/>
      <c r="EN18" s="27"/>
      <c r="EO18" s="27"/>
      <c r="EP18" s="27"/>
      <c r="EQ18" s="27"/>
      <c r="ER18" s="27"/>
      <c r="ES18" s="27"/>
      <c r="ET18" s="27"/>
      <c r="EU18" s="27"/>
      <c r="EV18" s="27"/>
      <c r="EW18" s="27"/>
      <c r="EX18" s="27"/>
      <c r="EY18" s="27"/>
      <c r="EZ18" s="27"/>
      <c r="FA18" s="27"/>
      <c r="FB18" s="27"/>
      <c r="FC18" s="27"/>
      <c r="FD18" s="27"/>
      <c r="FE18" s="27"/>
      <c r="FF18" s="27"/>
      <c r="FG18" s="27"/>
      <c r="FH18" s="27"/>
      <c r="FI18" s="27"/>
      <c r="FJ18" s="27"/>
      <c r="FK18" s="27"/>
      <c r="FL18" s="27"/>
      <c r="FM18" s="27"/>
      <c r="FN18" s="27"/>
      <c r="FO18" s="27"/>
      <c r="FP18" s="27"/>
      <c r="FQ18" s="27"/>
      <c r="FR18" s="27"/>
      <c r="FS18" s="27"/>
      <c r="FT18" s="27"/>
      <c r="FU18" s="27"/>
      <c r="FV18" s="27"/>
      <c r="FW18" s="27"/>
      <c r="FX18" s="27"/>
      <c r="FY18" s="27"/>
      <c r="FZ18" s="27"/>
      <c r="GA18" s="27"/>
      <c r="GB18" s="27"/>
      <c r="GC18" s="27"/>
      <c r="GD18" s="27"/>
      <c r="GE18" s="27"/>
      <c r="GF18" s="27"/>
      <c r="GG18" s="27"/>
      <c r="GH18" s="27"/>
      <c r="GI18" s="27"/>
      <c r="GJ18" s="27"/>
      <c r="GK18" s="27"/>
      <c r="GL18" s="27"/>
      <c r="GM18" s="27"/>
      <c r="GN18" s="27"/>
      <c r="GO18" s="27"/>
      <c r="GP18" s="27"/>
      <c r="GQ18" s="27"/>
      <c r="GR18" s="27"/>
      <c r="GS18" s="27"/>
      <c r="GT18" s="27"/>
      <c r="GU18" s="27"/>
      <c r="GV18" s="27"/>
      <c r="GW18" s="27"/>
      <c r="GX18" s="27"/>
      <c r="GY18" s="27"/>
      <c r="GZ18" s="27"/>
      <c r="HA18" s="27"/>
      <c r="HB18" s="27"/>
      <c r="HC18" s="27"/>
      <c r="HD18" s="27"/>
      <c r="HE18" s="27"/>
      <c r="HF18" s="27"/>
      <c r="HG18" s="27"/>
      <c r="HH18" s="27"/>
      <c r="HI18" s="27"/>
      <c r="HJ18" s="27"/>
      <c r="HK18" s="27"/>
      <c r="HL18" s="27"/>
      <c r="HM18" s="27"/>
      <c r="HN18" s="27"/>
      <c r="HO18" s="27"/>
      <c r="HP18" s="27"/>
      <c r="HQ18" s="27"/>
      <c r="HR18" s="27"/>
      <c r="HS18" s="27"/>
      <c r="HT18" s="27"/>
      <c r="HU18" s="27"/>
      <c r="HV18" s="27"/>
      <c r="HW18" s="27"/>
      <c r="HX18" s="27"/>
      <c r="HY18" s="27"/>
      <c r="HZ18" s="27"/>
      <c r="IA18" s="27"/>
      <c r="IB18" s="27"/>
      <c r="IC18" s="27"/>
      <c r="ID18" s="27"/>
      <c r="IE18" s="27"/>
      <c r="IF18" s="27"/>
      <c r="IG18" s="27"/>
      <c r="IH18" s="27"/>
      <c r="II18" s="27"/>
      <c r="IJ18" s="27"/>
      <c r="IK18" s="27"/>
      <c r="IL18" s="27"/>
      <c r="IM18" s="27"/>
      <c r="IN18" s="27"/>
      <c r="IO18" s="27"/>
      <c r="IP18" s="27"/>
      <c r="IQ18" s="27"/>
      <c r="IR18" s="27"/>
      <c r="IS18" s="27"/>
    </row>
    <row r="19" spans="1:253" x14ac:dyDescent="0.25">
      <c r="A19" s="49"/>
      <c r="B19" s="33" t="str">
        <f>+CALEND_!C33</f>
        <v>PUENTE VEHICULAR CCANCHI</v>
      </c>
      <c r="C19" s="33"/>
      <c r="D19" s="33"/>
      <c r="E19" s="1722">
        <f>+CALEND_!G19</f>
        <v>15151078.059999999</v>
      </c>
      <c r="F19" s="1723">
        <f>'PUENTE CCANCHI'!H127</f>
        <v>5776646.21</v>
      </c>
      <c r="G19" s="1723">
        <f>'PUENTE CCANCHI'!J127</f>
        <v>213592.8</v>
      </c>
      <c r="H19" s="683">
        <f>'PUENTE CCANCHI'!L127</f>
        <v>5990239.0099999998</v>
      </c>
      <c r="I19" s="1724">
        <f>H19/E19</f>
        <v>0.39536718022822992</v>
      </c>
      <c r="J19" s="78">
        <f>E19-H19</f>
        <v>9160839.0499999989</v>
      </c>
      <c r="K19" s="27">
        <f>E19*1.18</f>
        <v>17878272.110799998</v>
      </c>
      <c r="L19" s="27"/>
      <c r="M19" s="27"/>
      <c r="N19" s="27"/>
      <c r="O19" s="27"/>
      <c r="P19" s="27"/>
      <c r="Q19" s="27"/>
      <c r="R19" s="27"/>
      <c r="S19" s="27"/>
      <c r="T19" s="27"/>
      <c r="U19" s="27"/>
      <c r="V19" s="27"/>
      <c r="W19" s="27"/>
      <c r="X19" s="27"/>
      <c r="Y19" s="27"/>
      <c r="Z19" s="27"/>
      <c r="AA19" s="27"/>
      <c r="AB19" s="27"/>
      <c r="AC19" s="27"/>
      <c r="AD19" s="27"/>
      <c r="AE19" s="27"/>
      <c r="AF19" s="27"/>
      <c r="AG19" s="27"/>
      <c r="AH19" s="27"/>
      <c r="AI19" s="27"/>
      <c r="AJ19" s="27"/>
      <c r="AK19" s="27"/>
      <c r="AL19" s="27"/>
      <c r="AM19" s="27"/>
      <c r="AN19" s="27"/>
      <c r="AO19" s="27"/>
      <c r="AP19" s="27"/>
      <c r="AQ19" s="27"/>
      <c r="AR19" s="27"/>
      <c r="AS19" s="27"/>
      <c r="AT19" s="27"/>
      <c r="AU19" s="27"/>
      <c r="AV19" s="27"/>
      <c r="AW19" s="27"/>
      <c r="AX19" s="27"/>
      <c r="AY19" s="27"/>
      <c r="AZ19" s="27"/>
      <c r="BA19" s="27"/>
      <c r="BB19" s="27"/>
      <c r="BC19" s="27"/>
      <c r="BD19" s="27"/>
      <c r="BE19" s="27"/>
      <c r="BF19" s="27"/>
      <c r="BG19" s="27"/>
      <c r="BH19" s="27"/>
      <c r="BI19" s="27"/>
      <c r="BJ19" s="27"/>
      <c r="BK19" s="27"/>
      <c r="BL19" s="27"/>
      <c r="BM19" s="27"/>
      <c r="BN19" s="27"/>
      <c r="BO19" s="27"/>
      <c r="BP19" s="27"/>
      <c r="BQ19" s="27"/>
      <c r="BR19" s="27"/>
      <c r="BS19" s="27"/>
      <c r="BT19" s="27"/>
      <c r="BU19" s="27"/>
      <c r="BV19" s="27"/>
      <c r="BW19" s="27"/>
      <c r="BX19" s="27"/>
      <c r="BY19" s="27"/>
      <c r="BZ19" s="27"/>
      <c r="CA19" s="27"/>
      <c r="CB19" s="27"/>
      <c r="CC19" s="27"/>
      <c r="CD19" s="27"/>
      <c r="CE19" s="27"/>
      <c r="CF19" s="27"/>
      <c r="CG19" s="27"/>
      <c r="CH19" s="27"/>
      <c r="CI19" s="27"/>
      <c r="CJ19" s="27"/>
      <c r="CK19" s="27"/>
      <c r="CL19" s="27"/>
      <c r="CM19" s="27"/>
      <c r="CN19" s="27"/>
      <c r="CO19" s="27"/>
      <c r="CP19" s="27"/>
      <c r="CQ19" s="27"/>
      <c r="CR19" s="27"/>
      <c r="CS19" s="27"/>
      <c r="CT19" s="27"/>
      <c r="CU19" s="27"/>
      <c r="CV19" s="27"/>
      <c r="CW19" s="27"/>
      <c r="CX19" s="27"/>
      <c r="CY19" s="27"/>
      <c r="CZ19" s="27"/>
      <c r="DA19" s="27"/>
      <c r="DB19" s="27"/>
      <c r="DC19" s="27"/>
      <c r="DD19" s="27"/>
      <c r="DE19" s="27"/>
      <c r="DF19" s="27"/>
      <c r="DG19" s="27"/>
      <c r="DH19" s="27"/>
      <c r="DI19" s="27"/>
      <c r="DJ19" s="27"/>
      <c r="DK19" s="27"/>
      <c r="DL19" s="27"/>
      <c r="DM19" s="27"/>
      <c r="DN19" s="27"/>
      <c r="DO19" s="27"/>
      <c r="DP19" s="27"/>
      <c r="DQ19" s="27"/>
      <c r="DR19" s="27"/>
      <c r="DS19" s="27"/>
      <c r="DT19" s="27"/>
      <c r="DU19" s="27"/>
      <c r="DV19" s="27"/>
      <c r="DW19" s="27"/>
      <c r="DX19" s="27"/>
      <c r="DY19" s="27"/>
      <c r="DZ19" s="27"/>
      <c r="EA19" s="27"/>
      <c r="EB19" s="27"/>
      <c r="EC19" s="27"/>
      <c r="ED19" s="27"/>
      <c r="EE19" s="27"/>
      <c r="EF19" s="27"/>
      <c r="EG19" s="27"/>
      <c r="EH19" s="27"/>
      <c r="EI19" s="27"/>
      <c r="EJ19" s="27"/>
      <c r="EK19" s="27"/>
      <c r="EL19" s="27"/>
      <c r="EM19" s="27"/>
      <c r="EN19" s="27"/>
      <c r="EO19" s="27"/>
      <c r="EP19" s="27"/>
      <c r="EQ19" s="27"/>
      <c r="ER19" s="27"/>
      <c r="ES19" s="27"/>
      <c r="ET19" s="27"/>
      <c r="EU19" s="27"/>
      <c r="EV19" s="27"/>
      <c r="EW19" s="27"/>
      <c r="EX19" s="27"/>
      <c r="EY19" s="27"/>
      <c r="EZ19" s="27"/>
      <c r="FA19" s="27"/>
      <c r="FB19" s="27"/>
      <c r="FC19" s="27"/>
      <c r="FD19" s="27"/>
      <c r="FE19" s="27"/>
      <c r="FF19" s="27"/>
      <c r="FG19" s="27"/>
      <c r="FH19" s="27"/>
      <c r="FI19" s="27"/>
      <c r="FJ19" s="27"/>
      <c r="FK19" s="27"/>
      <c r="FL19" s="27"/>
      <c r="FM19" s="27"/>
      <c r="FN19" s="27"/>
      <c r="FO19" s="27"/>
      <c r="FP19" s="27"/>
      <c r="FQ19" s="27"/>
      <c r="FR19" s="27"/>
      <c r="FS19" s="27"/>
      <c r="FT19" s="27"/>
      <c r="FU19" s="27"/>
      <c r="FV19" s="27"/>
      <c r="FW19" s="27"/>
      <c r="FX19" s="27"/>
      <c r="FY19" s="27"/>
      <c r="FZ19" s="27"/>
      <c r="GA19" s="27"/>
      <c r="GB19" s="27"/>
      <c r="GC19" s="27"/>
      <c r="GD19" s="27"/>
      <c r="GE19" s="27"/>
      <c r="GF19" s="27"/>
      <c r="GG19" s="27"/>
      <c r="GH19" s="27"/>
      <c r="GI19" s="27"/>
      <c r="GJ19" s="27"/>
      <c r="GK19" s="27"/>
      <c r="GL19" s="27"/>
      <c r="GM19" s="27"/>
      <c r="GN19" s="27"/>
      <c r="GO19" s="27"/>
      <c r="GP19" s="27"/>
      <c r="GQ19" s="27"/>
      <c r="GR19" s="27"/>
      <c r="GS19" s="27"/>
      <c r="GT19" s="27"/>
      <c r="GU19" s="27"/>
      <c r="GV19" s="27"/>
      <c r="GW19" s="27"/>
      <c r="GX19" s="27"/>
      <c r="GY19" s="27"/>
      <c r="GZ19" s="27"/>
      <c r="HA19" s="27"/>
      <c r="HB19" s="27"/>
      <c r="HC19" s="27"/>
      <c r="HD19" s="27"/>
      <c r="HE19" s="27"/>
      <c r="HF19" s="27"/>
      <c r="HG19" s="27"/>
      <c r="HH19" s="27"/>
      <c r="HI19" s="27"/>
      <c r="HJ19" s="27"/>
      <c r="HK19" s="27"/>
      <c r="HL19" s="27"/>
      <c r="HM19" s="27"/>
      <c r="HN19" s="27"/>
      <c r="HO19" s="27"/>
      <c r="HP19" s="27"/>
      <c r="HQ19" s="27"/>
      <c r="HR19" s="27"/>
      <c r="HS19" s="27"/>
      <c r="HT19" s="27"/>
      <c r="HU19" s="27"/>
      <c r="HV19" s="27"/>
      <c r="HW19" s="27"/>
      <c r="HX19" s="27"/>
      <c r="HY19" s="27"/>
      <c r="HZ19" s="27"/>
      <c r="IA19" s="27"/>
      <c r="IB19" s="27"/>
      <c r="IC19" s="27"/>
      <c r="ID19" s="27"/>
      <c r="IE19" s="27"/>
      <c r="IF19" s="27"/>
      <c r="IG19" s="27"/>
      <c r="IH19" s="27"/>
      <c r="II19" s="27"/>
      <c r="IJ19" s="27"/>
      <c r="IK19" s="27"/>
      <c r="IL19" s="27"/>
      <c r="IM19" s="27"/>
      <c r="IN19" s="27"/>
      <c r="IO19" s="27"/>
      <c r="IP19" s="27"/>
      <c r="IQ19" s="27"/>
      <c r="IR19" s="27"/>
      <c r="IS19" s="27"/>
    </row>
    <row r="20" spans="1:253" x14ac:dyDescent="0.25">
      <c r="A20" s="41"/>
      <c r="B20" s="33"/>
      <c r="C20" s="33"/>
      <c r="D20" s="33"/>
      <c r="E20" s="763"/>
      <c r="F20" s="763"/>
      <c r="G20" s="763"/>
      <c r="H20" s="763"/>
      <c r="I20" s="763"/>
      <c r="J20" s="1725"/>
      <c r="K20" s="140"/>
      <c r="L20" s="27"/>
      <c r="M20" s="27"/>
      <c r="N20" s="27"/>
      <c r="O20" s="27"/>
      <c r="P20" s="27"/>
      <c r="Q20" s="27"/>
      <c r="R20" s="27"/>
      <c r="S20" s="27"/>
      <c r="T20" s="27"/>
      <c r="U20" s="27"/>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c r="AZ20" s="27"/>
      <c r="BA20" s="27"/>
      <c r="BB20" s="27"/>
      <c r="BC20" s="27"/>
      <c r="BD20" s="27"/>
      <c r="BE20" s="27"/>
      <c r="BF20" s="27"/>
      <c r="BG20" s="27"/>
      <c r="BH20" s="27"/>
      <c r="BI20" s="27"/>
      <c r="BJ20" s="27"/>
      <c r="BK20" s="27"/>
      <c r="BL20" s="27"/>
      <c r="BM20" s="27"/>
      <c r="BN20" s="27"/>
      <c r="BO20" s="27"/>
      <c r="BP20" s="27"/>
      <c r="BQ20" s="27"/>
      <c r="BR20" s="27"/>
      <c r="BS20" s="27"/>
      <c r="BT20" s="27"/>
      <c r="BU20" s="27"/>
      <c r="BV20" s="27"/>
      <c r="BW20" s="27"/>
      <c r="BX20" s="27"/>
      <c r="BY20" s="27"/>
      <c r="BZ20" s="27"/>
      <c r="CA20" s="27"/>
      <c r="CB20" s="27"/>
      <c r="CC20" s="27"/>
      <c r="CD20" s="27"/>
      <c r="CE20" s="27"/>
      <c r="CF20" s="27"/>
      <c r="CG20" s="27"/>
      <c r="CH20" s="27"/>
      <c r="CI20" s="27"/>
      <c r="CJ20" s="27"/>
      <c r="CK20" s="27"/>
      <c r="CL20" s="27"/>
      <c r="CM20" s="27"/>
      <c r="CN20" s="27"/>
      <c r="CO20" s="27"/>
      <c r="CP20" s="27"/>
      <c r="CQ20" s="27"/>
      <c r="CR20" s="27"/>
      <c r="CS20" s="27"/>
      <c r="CT20" s="27"/>
      <c r="CU20" s="27"/>
      <c r="CV20" s="27"/>
      <c r="CW20" s="27"/>
      <c r="CX20" s="27"/>
      <c r="CY20" s="27"/>
      <c r="CZ20" s="27"/>
      <c r="DA20" s="27"/>
      <c r="DB20" s="27"/>
      <c r="DC20" s="27"/>
      <c r="DD20" s="27"/>
      <c r="DE20" s="27"/>
      <c r="DF20" s="27"/>
      <c r="DG20" s="27"/>
      <c r="DH20" s="27"/>
      <c r="DI20" s="27"/>
      <c r="DJ20" s="27"/>
      <c r="DK20" s="27"/>
      <c r="DL20" s="27"/>
      <c r="DM20" s="27"/>
      <c r="DN20" s="27"/>
      <c r="DO20" s="27"/>
      <c r="DP20" s="27"/>
      <c r="DQ20" s="27"/>
      <c r="DR20" s="27"/>
      <c r="DS20" s="27"/>
      <c r="DT20" s="27"/>
      <c r="DU20" s="27"/>
      <c r="DV20" s="27"/>
      <c r="DW20" s="27"/>
      <c r="DX20" s="27"/>
      <c r="DY20" s="27"/>
      <c r="DZ20" s="27"/>
      <c r="EA20" s="27"/>
      <c r="EB20" s="27"/>
      <c r="EC20" s="27"/>
      <c r="ED20" s="27"/>
      <c r="EE20" s="27"/>
      <c r="EF20" s="27"/>
      <c r="EG20" s="27"/>
      <c r="EH20" s="27"/>
      <c r="EI20" s="27"/>
      <c r="EJ20" s="27"/>
      <c r="EK20" s="27"/>
      <c r="EL20" s="27"/>
      <c r="EM20" s="27"/>
      <c r="EN20" s="27"/>
      <c r="EO20" s="27"/>
      <c r="EP20" s="27"/>
      <c r="EQ20" s="27"/>
      <c r="ER20" s="27"/>
      <c r="ES20" s="27"/>
      <c r="ET20" s="27"/>
      <c r="EU20" s="27"/>
      <c r="EV20" s="27"/>
      <c r="EW20" s="27"/>
      <c r="EX20" s="27"/>
      <c r="EY20" s="27"/>
      <c r="EZ20" s="27"/>
      <c r="FA20" s="27"/>
      <c r="FB20" s="27"/>
      <c r="FC20" s="27"/>
      <c r="FD20" s="27"/>
      <c r="FE20" s="27"/>
      <c r="FF20" s="27"/>
      <c r="FG20" s="27"/>
      <c r="FH20" s="27"/>
      <c r="FI20" s="27"/>
      <c r="FJ20" s="27"/>
      <c r="FK20" s="27"/>
      <c r="FL20" s="27"/>
      <c r="FM20" s="27"/>
      <c r="FN20" s="27"/>
      <c r="FO20" s="27"/>
      <c r="FP20" s="27"/>
      <c r="FQ20" s="27"/>
      <c r="FR20" s="27"/>
      <c r="FS20" s="27"/>
      <c r="FT20" s="27"/>
      <c r="FU20" s="27"/>
      <c r="FV20" s="27"/>
      <c r="FW20" s="27"/>
      <c r="FX20" s="27"/>
      <c r="FY20" s="27"/>
      <c r="FZ20" s="27"/>
      <c r="GA20" s="27"/>
      <c r="GB20" s="27"/>
      <c r="GC20" s="27"/>
      <c r="GD20" s="27"/>
      <c r="GE20" s="27"/>
      <c r="GF20" s="27"/>
      <c r="GG20" s="27"/>
      <c r="GH20" s="27"/>
      <c r="GI20" s="27"/>
      <c r="GJ20" s="27"/>
      <c r="GK20" s="27"/>
      <c r="GL20" s="27"/>
      <c r="GM20" s="27"/>
      <c r="GN20" s="27"/>
      <c r="GO20" s="27"/>
      <c r="GP20" s="27"/>
      <c r="GQ20" s="27"/>
      <c r="GR20" s="27"/>
      <c r="GS20" s="27"/>
      <c r="GT20" s="27"/>
      <c r="GU20" s="27"/>
      <c r="GV20" s="27"/>
      <c r="GW20" s="27"/>
      <c r="GX20" s="27"/>
      <c r="GY20" s="27"/>
      <c r="GZ20" s="27"/>
      <c r="HA20" s="27"/>
      <c r="HB20" s="27"/>
      <c r="HC20" s="27"/>
      <c r="HD20" s="27"/>
      <c r="HE20" s="27"/>
      <c r="HF20" s="27"/>
      <c r="HG20" s="27"/>
      <c r="HH20" s="27"/>
      <c r="HI20" s="27"/>
      <c r="HJ20" s="27"/>
      <c r="HK20" s="27"/>
      <c r="HL20" s="27"/>
      <c r="HM20" s="27"/>
      <c r="HN20" s="27"/>
      <c r="HO20" s="27"/>
      <c r="HP20" s="27"/>
      <c r="HQ20" s="27"/>
      <c r="HR20" s="27"/>
      <c r="HS20" s="27"/>
      <c r="HT20" s="27"/>
      <c r="HU20" s="27"/>
      <c r="HV20" s="27"/>
      <c r="HW20" s="27"/>
      <c r="HX20" s="27"/>
      <c r="HY20" s="27"/>
      <c r="HZ20" s="27"/>
      <c r="IA20" s="27"/>
      <c r="IB20" s="27"/>
      <c r="IC20" s="27"/>
      <c r="ID20" s="27"/>
      <c r="IE20" s="27"/>
      <c r="IF20" s="27"/>
      <c r="IG20" s="27"/>
      <c r="IH20" s="27"/>
      <c r="II20" s="27"/>
      <c r="IJ20" s="27"/>
      <c r="IK20" s="27"/>
      <c r="IL20" s="27"/>
      <c r="IM20" s="27"/>
      <c r="IN20" s="27"/>
      <c r="IO20" s="27"/>
      <c r="IP20" s="27"/>
      <c r="IQ20" s="27"/>
      <c r="IR20" s="27"/>
      <c r="IS20" s="27"/>
    </row>
    <row r="21" spans="1:253" x14ac:dyDescent="0.25">
      <c r="A21" s="41"/>
      <c r="B21" s="75"/>
      <c r="C21" s="33"/>
      <c r="D21" s="76"/>
      <c r="E21" s="1723">
        <f>SUM(E19:E19)</f>
        <v>15151078.059999999</v>
      </c>
      <c r="F21" s="1726">
        <f>SUM(F19:F19)</f>
        <v>5776646.21</v>
      </c>
      <c r="G21" s="1726">
        <f>SUM(G19:G19)</f>
        <v>213592.8</v>
      </c>
      <c r="H21" s="683">
        <f>SUM(H19:H19)</f>
        <v>5990239.0099999998</v>
      </c>
      <c r="I21" s="1724">
        <f>H21/E21</f>
        <v>0.39536718022822992</v>
      </c>
      <c r="J21" s="78">
        <f>+E21-H21</f>
        <v>9160839.0499999989</v>
      </c>
      <c r="K21" s="140"/>
      <c r="L21" s="84"/>
      <c r="M21" s="27"/>
      <c r="N21" s="27"/>
      <c r="O21" s="27"/>
      <c r="P21" s="27"/>
      <c r="Q21" s="27"/>
      <c r="R21" s="27"/>
      <c r="S21" s="27"/>
      <c r="T21" s="27"/>
      <c r="U21" s="27"/>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c r="AZ21" s="27"/>
      <c r="BA21" s="27"/>
      <c r="BB21" s="27"/>
      <c r="BC21" s="27"/>
      <c r="BD21" s="27"/>
      <c r="BE21" s="27"/>
      <c r="BF21" s="27"/>
      <c r="BG21" s="27"/>
      <c r="BH21" s="27"/>
      <c r="BI21" s="27"/>
      <c r="BJ21" s="27"/>
      <c r="BK21" s="27"/>
      <c r="BL21" s="27"/>
      <c r="BM21" s="27"/>
      <c r="BN21" s="27"/>
      <c r="BO21" s="27"/>
      <c r="BP21" s="27"/>
      <c r="BQ21" s="27"/>
      <c r="BR21" s="27"/>
      <c r="BS21" s="27"/>
      <c r="BT21" s="27"/>
      <c r="BU21" s="27"/>
      <c r="BV21" s="27"/>
      <c r="BW21" s="27"/>
      <c r="BX21" s="27"/>
      <c r="BY21" s="27"/>
      <c r="BZ21" s="27"/>
      <c r="CA21" s="27"/>
      <c r="CB21" s="27"/>
      <c r="CC21" s="27"/>
      <c r="CD21" s="27"/>
      <c r="CE21" s="27"/>
      <c r="CF21" s="27"/>
      <c r="CG21" s="27"/>
      <c r="CH21" s="27"/>
      <c r="CI21" s="27"/>
      <c r="CJ21" s="27"/>
      <c r="CK21" s="27"/>
      <c r="CL21" s="27"/>
      <c r="CM21" s="27"/>
      <c r="CN21" s="27"/>
      <c r="CO21" s="27"/>
      <c r="CP21" s="27"/>
      <c r="CQ21" s="27"/>
      <c r="CR21" s="27"/>
      <c r="CS21" s="27"/>
      <c r="CT21" s="27"/>
      <c r="CU21" s="27"/>
      <c r="CV21" s="27"/>
      <c r="CW21" s="27"/>
      <c r="CX21" s="27"/>
      <c r="CY21" s="27"/>
      <c r="CZ21" s="27"/>
      <c r="DA21" s="27"/>
      <c r="DB21" s="27"/>
      <c r="DC21" s="27"/>
      <c r="DD21" s="27"/>
      <c r="DE21" s="27"/>
      <c r="DF21" s="27"/>
      <c r="DG21" s="27"/>
      <c r="DH21" s="27"/>
      <c r="DI21" s="27"/>
      <c r="DJ21" s="27"/>
      <c r="DK21" s="27"/>
      <c r="DL21" s="27"/>
      <c r="DM21" s="27"/>
      <c r="DN21" s="27"/>
      <c r="DO21" s="27"/>
      <c r="DP21" s="27"/>
      <c r="DQ21" s="27"/>
      <c r="DR21" s="27"/>
      <c r="DS21" s="27"/>
      <c r="DT21" s="27"/>
      <c r="DU21" s="27"/>
      <c r="DV21" s="27"/>
      <c r="DW21" s="27"/>
      <c r="DX21" s="27"/>
      <c r="DY21" s="27"/>
      <c r="DZ21" s="27"/>
      <c r="EA21" s="27"/>
      <c r="EB21" s="27"/>
      <c r="EC21" s="27"/>
      <c r="ED21" s="27"/>
      <c r="EE21" s="27"/>
      <c r="EF21" s="27"/>
      <c r="EG21" s="27"/>
      <c r="EH21" s="27"/>
      <c r="EI21" s="27"/>
      <c r="EJ21" s="27"/>
      <c r="EK21" s="27"/>
      <c r="EL21" s="27"/>
      <c r="EM21" s="27"/>
      <c r="EN21" s="27"/>
      <c r="EO21" s="27"/>
      <c r="EP21" s="27"/>
      <c r="EQ21" s="27"/>
      <c r="ER21" s="27"/>
      <c r="ES21" s="27"/>
      <c r="ET21" s="27"/>
      <c r="EU21" s="27"/>
      <c r="EV21" s="27"/>
      <c r="EW21" s="27"/>
      <c r="EX21" s="27"/>
      <c r="EY21" s="27"/>
      <c r="EZ21" s="27"/>
      <c r="FA21" s="27"/>
      <c r="FB21" s="27"/>
      <c r="FC21" s="27"/>
      <c r="FD21" s="27"/>
      <c r="FE21" s="27"/>
      <c r="FF21" s="27"/>
      <c r="FG21" s="27"/>
      <c r="FH21" s="27"/>
      <c r="FI21" s="27"/>
      <c r="FJ21" s="27"/>
      <c r="FK21" s="27"/>
      <c r="FL21" s="27"/>
      <c r="FM21" s="27"/>
      <c r="FN21" s="27"/>
      <c r="FO21" s="27"/>
      <c r="FP21" s="27"/>
      <c r="FQ21" s="27"/>
      <c r="FR21" s="27"/>
      <c r="FS21" s="27"/>
      <c r="FT21" s="27"/>
      <c r="FU21" s="27"/>
      <c r="FV21" s="27"/>
      <c r="FW21" s="27"/>
      <c r="FX21" s="27"/>
      <c r="FY21" s="27"/>
      <c r="FZ21" s="27"/>
      <c r="GA21" s="27"/>
      <c r="GB21" s="27"/>
      <c r="GC21" s="27"/>
      <c r="GD21" s="27"/>
      <c r="GE21" s="27"/>
      <c r="GF21" s="27"/>
      <c r="GG21" s="27"/>
      <c r="GH21" s="27"/>
      <c r="GI21" s="27"/>
      <c r="GJ21" s="27"/>
      <c r="GK21" s="27"/>
      <c r="GL21" s="27"/>
      <c r="GM21" s="27"/>
      <c r="GN21" s="27"/>
      <c r="GO21" s="27"/>
      <c r="GP21" s="27"/>
      <c r="GQ21" s="27"/>
      <c r="GR21" s="27"/>
      <c r="GS21" s="27"/>
      <c r="GT21" s="27"/>
      <c r="GU21" s="27"/>
      <c r="GV21" s="27"/>
      <c r="GW21" s="27"/>
      <c r="GX21" s="27"/>
      <c r="GY21" s="27"/>
      <c r="GZ21" s="27"/>
      <c r="HA21" s="27"/>
      <c r="HB21" s="27"/>
      <c r="HC21" s="27"/>
      <c r="HD21" s="27"/>
      <c r="HE21" s="27"/>
      <c r="HF21" s="27"/>
      <c r="HG21" s="27"/>
      <c r="HH21" s="27"/>
      <c r="HI21" s="27"/>
      <c r="HJ21" s="27"/>
      <c r="HK21" s="27"/>
      <c r="HL21" s="27"/>
      <c r="HM21" s="27"/>
      <c r="HN21" s="27"/>
      <c r="HO21" s="27"/>
      <c r="HP21" s="27"/>
      <c r="HQ21" s="27"/>
      <c r="HR21" s="27"/>
      <c r="HS21" s="27"/>
      <c r="HT21" s="27"/>
      <c r="HU21" s="27"/>
      <c r="HV21" s="27"/>
      <c r="HW21" s="27"/>
      <c r="HX21" s="27"/>
      <c r="HY21" s="27"/>
      <c r="HZ21" s="27"/>
      <c r="IA21" s="27"/>
      <c r="IB21" s="27"/>
      <c r="IC21" s="27"/>
      <c r="ID21" s="27"/>
      <c r="IE21" s="27"/>
      <c r="IF21" s="27"/>
      <c r="IG21" s="27"/>
      <c r="IH21" s="27"/>
      <c r="II21" s="27"/>
      <c r="IJ21" s="27"/>
      <c r="IK21" s="27"/>
      <c r="IL21" s="27"/>
      <c r="IM21" s="27"/>
      <c r="IN21" s="27"/>
      <c r="IO21" s="27"/>
      <c r="IP21" s="27"/>
      <c r="IQ21" s="27"/>
      <c r="IR21" s="27"/>
      <c r="IS21" s="27"/>
    </row>
    <row r="22" spans="1:253" x14ac:dyDescent="0.25">
      <c r="A22" s="41"/>
      <c r="B22" s="33"/>
      <c r="C22" s="33"/>
      <c r="D22" s="33"/>
      <c r="E22" s="1723"/>
      <c r="F22" s="1723"/>
      <c r="G22" s="1723"/>
      <c r="H22" s="77"/>
      <c r="I22" s="1723"/>
      <c r="J22" s="78"/>
      <c r="K22" s="82"/>
      <c r="L22" s="27"/>
      <c r="M22" s="27"/>
      <c r="N22" s="27"/>
      <c r="O22" s="27"/>
      <c r="P22" s="27"/>
      <c r="Q22" s="27"/>
      <c r="R22" s="27"/>
      <c r="S22" s="27"/>
      <c r="T22" s="27"/>
      <c r="U22" s="27"/>
      <c r="V22" s="27"/>
      <c r="W22" s="27"/>
      <c r="X22" s="27"/>
      <c r="Y22" s="27"/>
      <c r="Z22" s="27"/>
      <c r="AA22" s="27"/>
      <c r="AB22" s="27"/>
      <c r="AC22" s="27"/>
      <c r="AD22" s="27"/>
      <c r="AE22" s="27"/>
      <c r="AF22" s="27"/>
      <c r="AG22" s="27"/>
      <c r="AH22" s="27"/>
      <c r="AI22" s="27"/>
      <c r="AJ22" s="27"/>
      <c r="AK22" s="27"/>
      <c r="AL22" s="27"/>
      <c r="AM22" s="27"/>
      <c r="AN22" s="27"/>
      <c r="AO22" s="27"/>
      <c r="AP22" s="27"/>
      <c r="AQ22" s="27"/>
      <c r="AR22" s="27"/>
      <c r="AS22" s="27"/>
      <c r="AT22" s="27"/>
      <c r="AU22" s="27"/>
      <c r="AV22" s="27"/>
      <c r="AW22" s="27"/>
      <c r="AX22" s="27"/>
      <c r="AY22" s="27"/>
      <c r="AZ22" s="27"/>
      <c r="BA22" s="27"/>
      <c r="BB22" s="27"/>
      <c r="BC22" s="27"/>
      <c r="BD22" s="27"/>
      <c r="BE22" s="27"/>
      <c r="BF22" s="27"/>
      <c r="BG22" s="27"/>
      <c r="BH22" s="27"/>
      <c r="BI22" s="27"/>
      <c r="BJ22" s="27"/>
      <c r="BK22" s="27"/>
      <c r="BL22" s="27"/>
      <c r="BM22" s="27"/>
      <c r="BN22" s="27"/>
      <c r="BO22" s="27"/>
      <c r="BP22" s="27"/>
      <c r="BQ22" s="27"/>
      <c r="BR22" s="27"/>
      <c r="BS22" s="27"/>
      <c r="BT22" s="27"/>
      <c r="BU22" s="27"/>
      <c r="BV22" s="27"/>
      <c r="BW22" s="27"/>
      <c r="BX22" s="27"/>
      <c r="BY22" s="27"/>
      <c r="BZ22" s="27"/>
      <c r="CA22" s="27"/>
      <c r="CB22" s="27"/>
      <c r="CC22" s="27"/>
      <c r="CD22" s="27"/>
      <c r="CE22" s="27"/>
      <c r="CF22" s="27"/>
      <c r="CG22" s="27"/>
      <c r="CH22" s="27"/>
      <c r="CI22" s="27"/>
      <c r="CJ22" s="27"/>
      <c r="CK22" s="27"/>
      <c r="CL22" s="27"/>
      <c r="CM22" s="27"/>
      <c r="CN22" s="27"/>
      <c r="CO22" s="27"/>
      <c r="CP22" s="27"/>
      <c r="CQ22" s="27"/>
      <c r="CR22" s="27"/>
      <c r="CS22" s="27"/>
      <c r="CT22" s="27"/>
      <c r="CU22" s="27"/>
      <c r="CV22" s="27"/>
      <c r="CW22" s="27"/>
      <c r="CX22" s="27"/>
      <c r="CY22" s="27"/>
      <c r="CZ22" s="27"/>
      <c r="DA22" s="27"/>
      <c r="DB22" s="27"/>
      <c r="DC22" s="27"/>
      <c r="DD22" s="27"/>
      <c r="DE22" s="27"/>
      <c r="DF22" s="27"/>
      <c r="DG22" s="27"/>
      <c r="DH22" s="27"/>
      <c r="DI22" s="27"/>
      <c r="DJ22" s="27"/>
      <c r="DK22" s="27"/>
      <c r="DL22" s="27"/>
      <c r="DM22" s="27"/>
      <c r="DN22" s="27"/>
      <c r="DO22" s="27"/>
      <c r="DP22" s="27"/>
      <c r="DQ22" s="27"/>
      <c r="DR22" s="27"/>
      <c r="DS22" s="27"/>
      <c r="DT22" s="27"/>
      <c r="DU22" s="27"/>
      <c r="DV22" s="27"/>
      <c r="DW22" s="27"/>
      <c r="DX22" s="27"/>
      <c r="DY22" s="27"/>
      <c r="DZ22" s="27"/>
      <c r="EA22" s="27"/>
      <c r="EB22" s="27"/>
      <c r="EC22" s="27"/>
      <c r="ED22" s="27"/>
      <c r="EE22" s="27"/>
      <c r="EF22" s="27"/>
      <c r="EG22" s="27"/>
      <c r="EH22" s="27"/>
      <c r="EI22" s="27"/>
      <c r="EJ22" s="27"/>
      <c r="EK22" s="27"/>
      <c r="EL22" s="27"/>
      <c r="EM22" s="27"/>
      <c r="EN22" s="27"/>
      <c r="EO22" s="27"/>
      <c r="EP22" s="27"/>
      <c r="EQ22" s="27"/>
      <c r="ER22" s="27"/>
      <c r="ES22" s="27"/>
      <c r="ET22" s="27"/>
      <c r="EU22" s="27"/>
      <c r="EV22" s="27"/>
      <c r="EW22" s="27"/>
      <c r="EX22" s="27"/>
      <c r="EY22" s="27"/>
      <c r="EZ22" s="27"/>
      <c r="FA22" s="27"/>
      <c r="FB22" s="27"/>
      <c r="FC22" s="27"/>
      <c r="FD22" s="27"/>
      <c r="FE22" s="27"/>
      <c r="FF22" s="27"/>
      <c r="FG22" s="27"/>
      <c r="FH22" s="27"/>
      <c r="FI22" s="27"/>
      <c r="FJ22" s="27"/>
      <c r="FK22" s="27"/>
      <c r="FL22" s="27"/>
      <c r="FM22" s="27"/>
      <c r="FN22" s="27"/>
      <c r="FO22" s="27"/>
      <c r="FP22" s="27"/>
      <c r="FQ22" s="27"/>
      <c r="FR22" s="27"/>
      <c r="FS22" s="27"/>
      <c r="FT22" s="27"/>
      <c r="FU22" s="27"/>
      <c r="FV22" s="27"/>
      <c r="FW22" s="27"/>
      <c r="FX22" s="27"/>
      <c r="FY22" s="27"/>
      <c r="FZ22" s="27"/>
      <c r="GA22" s="27"/>
      <c r="GB22" s="27"/>
      <c r="GC22" s="27"/>
      <c r="GD22" s="27"/>
      <c r="GE22" s="27"/>
      <c r="GF22" s="27"/>
      <c r="GG22" s="27"/>
      <c r="GH22" s="27"/>
      <c r="GI22" s="27"/>
      <c r="GJ22" s="27"/>
      <c r="GK22" s="27"/>
      <c r="GL22" s="27"/>
      <c r="GM22" s="27"/>
      <c r="GN22" s="27"/>
      <c r="GO22" s="27"/>
      <c r="GP22" s="27"/>
      <c r="GQ22" s="27"/>
      <c r="GR22" s="27"/>
      <c r="GS22" s="27"/>
      <c r="GT22" s="27"/>
      <c r="GU22" s="27"/>
      <c r="GV22" s="27"/>
      <c r="GW22" s="27"/>
      <c r="GX22" s="27"/>
      <c r="GY22" s="27"/>
      <c r="GZ22" s="27"/>
      <c r="HA22" s="27"/>
      <c r="HB22" s="27"/>
      <c r="HC22" s="27"/>
      <c r="HD22" s="27"/>
      <c r="HE22" s="27"/>
      <c r="HF22" s="27"/>
      <c r="HG22" s="27"/>
      <c r="HH22" s="27"/>
      <c r="HI22" s="27"/>
      <c r="HJ22" s="27"/>
      <c r="HK22" s="27"/>
      <c r="HL22" s="27"/>
      <c r="HM22" s="27"/>
      <c r="HN22" s="27"/>
      <c r="HO22" s="27"/>
      <c r="HP22" s="27"/>
      <c r="HQ22" s="27"/>
      <c r="HR22" s="27"/>
      <c r="HS22" s="27"/>
      <c r="HT22" s="27"/>
      <c r="HU22" s="27"/>
      <c r="HV22" s="27"/>
      <c r="HW22" s="27"/>
      <c r="HX22" s="27"/>
      <c r="HY22" s="27"/>
      <c r="HZ22" s="27"/>
      <c r="IA22" s="27"/>
      <c r="IB22" s="27"/>
      <c r="IC22" s="27"/>
      <c r="ID22" s="27"/>
      <c r="IE22" s="27"/>
      <c r="IF22" s="27"/>
      <c r="IG22" s="27"/>
      <c r="IH22" s="27"/>
      <c r="II22" s="27"/>
      <c r="IJ22" s="27"/>
      <c r="IK22" s="27"/>
      <c r="IL22" s="27"/>
      <c r="IM22" s="27"/>
      <c r="IN22" s="27"/>
      <c r="IO22" s="27"/>
      <c r="IP22" s="27"/>
      <c r="IQ22" s="27"/>
      <c r="IR22" s="27"/>
      <c r="IS22" s="27"/>
    </row>
    <row r="23" spans="1:253" x14ac:dyDescent="0.25">
      <c r="A23" s="1727"/>
      <c r="B23" s="93" t="s">
        <v>150</v>
      </c>
      <c r="C23" s="93"/>
      <c r="D23" s="93"/>
      <c r="E23" s="94"/>
      <c r="F23" s="94">
        <f>ROUND(F21/$E$21,4)</f>
        <v>0.38129999999999997</v>
      </c>
      <c r="G23" s="94">
        <f>G21/E21</f>
        <v>1.4097531486152214E-2</v>
      </c>
      <c r="H23" s="95">
        <f>I21</f>
        <v>0.39536718022822992</v>
      </c>
      <c r="I23" s="96"/>
      <c r="J23" s="1728">
        <f>100%-H23</f>
        <v>0.60463281977177008</v>
      </c>
      <c r="K23" s="166"/>
      <c r="L23" s="27"/>
      <c r="M23" s="27"/>
      <c r="N23" s="27"/>
      <c r="O23" s="27"/>
      <c r="P23" s="27"/>
      <c r="Q23" s="27"/>
      <c r="R23" s="27"/>
      <c r="S23" s="27"/>
      <c r="T23" s="27"/>
      <c r="U23" s="27"/>
      <c r="V23" s="27"/>
      <c r="W23" s="27"/>
      <c r="X23" s="27"/>
      <c r="Y23" s="27"/>
      <c r="Z23" s="27"/>
      <c r="AA23" s="27"/>
      <c r="AB23" s="27"/>
      <c r="AC23" s="27"/>
      <c r="AD23" s="27"/>
      <c r="AE23" s="27"/>
      <c r="AF23" s="27"/>
      <c r="AG23" s="27"/>
      <c r="AH23" s="27"/>
      <c r="AI23" s="27"/>
      <c r="AJ23" s="27"/>
      <c r="AK23" s="27"/>
      <c r="AL23" s="27"/>
      <c r="AM23" s="27"/>
      <c r="AN23" s="27"/>
      <c r="AO23" s="27"/>
      <c r="AP23" s="27"/>
      <c r="AQ23" s="27"/>
      <c r="AR23" s="27"/>
      <c r="AS23" s="27"/>
      <c r="AT23" s="27"/>
      <c r="AU23" s="27"/>
      <c r="AV23" s="27"/>
      <c r="AW23" s="27"/>
      <c r="AX23" s="27"/>
      <c r="AY23" s="27"/>
      <c r="AZ23" s="27"/>
      <c r="BA23" s="27"/>
      <c r="BB23" s="27"/>
      <c r="BC23" s="27"/>
      <c r="BD23" s="27"/>
      <c r="BE23" s="27"/>
      <c r="BF23" s="27"/>
      <c r="BG23" s="27"/>
      <c r="BH23" s="27"/>
      <c r="BI23" s="27"/>
      <c r="BJ23" s="27"/>
      <c r="BK23" s="27"/>
      <c r="BL23" s="27"/>
      <c r="BM23" s="27"/>
      <c r="BN23" s="27"/>
      <c r="BO23" s="27"/>
      <c r="BP23" s="27"/>
      <c r="BQ23" s="27"/>
      <c r="BR23" s="27"/>
      <c r="BS23" s="27"/>
      <c r="BT23" s="27"/>
      <c r="BU23" s="27"/>
      <c r="BV23" s="27"/>
      <c r="BW23" s="27"/>
      <c r="BX23" s="27"/>
      <c r="BY23" s="27"/>
      <c r="BZ23" s="27"/>
      <c r="CA23" s="27"/>
      <c r="CB23" s="27"/>
      <c r="CC23" s="27"/>
      <c r="CD23" s="27"/>
      <c r="CE23" s="27"/>
      <c r="CF23" s="27"/>
      <c r="CG23" s="27"/>
      <c r="CH23" s="27"/>
      <c r="CI23" s="27"/>
      <c r="CJ23" s="27"/>
      <c r="CK23" s="27"/>
      <c r="CL23" s="27"/>
      <c r="CM23" s="27"/>
      <c r="CN23" s="27"/>
      <c r="CO23" s="27"/>
      <c r="CP23" s="27"/>
      <c r="CQ23" s="27"/>
      <c r="CR23" s="27"/>
      <c r="CS23" s="27"/>
      <c r="CT23" s="27"/>
      <c r="CU23" s="27"/>
      <c r="CV23" s="27"/>
      <c r="CW23" s="27"/>
      <c r="CX23" s="27"/>
      <c r="CY23" s="27"/>
      <c r="CZ23" s="27"/>
      <c r="DA23" s="27"/>
      <c r="DB23" s="27"/>
      <c r="DC23" s="27"/>
      <c r="DD23" s="27"/>
      <c r="DE23" s="27"/>
      <c r="DF23" s="27"/>
      <c r="DG23" s="27"/>
      <c r="DH23" s="27"/>
      <c r="DI23" s="27"/>
      <c r="DJ23" s="27"/>
      <c r="DK23" s="27"/>
      <c r="DL23" s="27"/>
      <c r="DM23" s="27"/>
      <c r="DN23" s="27"/>
      <c r="DO23" s="27"/>
      <c r="DP23" s="27"/>
      <c r="DQ23" s="27"/>
      <c r="DR23" s="27"/>
      <c r="DS23" s="27"/>
      <c r="DT23" s="27"/>
      <c r="DU23" s="27"/>
      <c r="DV23" s="27"/>
      <c r="DW23" s="27"/>
      <c r="DX23" s="27"/>
      <c r="DY23" s="27"/>
      <c r="DZ23" s="27"/>
      <c r="EA23" s="27"/>
      <c r="EB23" s="27"/>
      <c r="EC23" s="27"/>
      <c r="ED23" s="27"/>
      <c r="EE23" s="27"/>
      <c r="EF23" s="27"/>
      <c r="EG23" s="27"/>
      <c r="EH23" s="27"/>
      <c r="EI23" s="27"/>
      <c r="EJ23" s="27"/>
      <c r="EK23" s="27"/>
      <c r="EL23" s="27"/>
      <c r="EM23" s="27"/>
      <c r="EN23" s="27"/>
      <c r="EO23" s="27"/>
      <c r="EP23" s="27"/>
      <c r="EQ23" s="27"/>
      <c r="ER23" s="27"/>
      <c r="ES23" s="27"/>
      <c r="ET23" s="27"/>
      <c r="EU23" s="27"/>
      <c r="EV23" s="27"/>
      <c r="EW23" s="27"/>
      <c r="EX23" s="27"/>
      <c r="EY23" s="27"/>
      <c r="EZ23" s="27"/>
      <c r="FA23" s="27"/>
      <c r="FB23" s="27"/>
      <c r="FC23" s="27"/>
      <c r="FD23" s="27"/>
      <c r="FE23" s="27"/>
      <c r="FF23" s="27"/>
      <c r="FG23" s="27"/>
      <c r="FH23" s="27"/>
      <c r="FI23" s="27"/>
      <c r="FJ23" s="27"/>
      <c r="FK23" s="27"/>
      <c r="FL23" s="27"/>
      <c r="FM23" s="27"/>
      <c r="FN23" s="27"/>
      <c r="FO23" s="27"/>
      <c r="FP23" s="27"/>
      <c r="FQ23" s="27"/>
      <c r="FR23" s="27"/>
      <c r="FS23" s="27"/>
      <c r="FT23" s="27"/>
      <c r="FU23" s="27"/>
      <c r="FV23" s="27"/>
      <c r="FW23" s="27"/>
      <c r="FX23" s="27"/>
      <c r="FY23" s="27"/>
      <c r="FZ23" s="27"/>
      <c r="GA23" s="27"/>
      <c r="GB23" s="27"/>
      <c r="GC23" s="27"/>
      <c r="GD23" s="27"/>
      <c r="GE23" s="27"/>
      <c r="GF23" s="27"/>
      <c r="GG23" s="27"/>
      <c r="GH23" s="27"/>
      <c r="GI23" s="27"/>
      <c r="GJ23" s="27"/>
      <c r="GK23" s="27"/>
      <c r="GL23" s="27"/>
      <c r="GM23" s="27"/>
      <c r="GN23" s="27"/>
      <c r="GO23" s="27"/>
      <c r="GP23" s="27"/>
      <c r="GQ23" s="27"/>
      <c r="GR23" s="27"/>
      <c r="GS23" s="27"/>
      <c r="GT23" s="27"/>
      <c r="GU23" s="27"/>
      <c r="GV23" s="27"/>
      <c r="GW23" s="27"/>
      <c r="GX23" s="27"/>
      <c r="GY23" s="27"/>
      <c r="GZ23" s="27"/>
      <c r="HA23" s="27"/>
      <c r="HB23" s="27"/>
      <c r="HC23" s="27"/>
      <c r="HD23" s="27"/>
      <c r="HE23" s="27"/>
      <c r="HF23" s="27"/>
      <c r="HG23" s="27"/>
      <c r="HH23" s="27"/>
      <c r="HI23" s="27"/>
      <c r="HJ23" s="27"/>
      <c r="HK23" s="27"/>
      <c r="HL23" s="27"/>
      <c r="HM23" s="27"/>
      <c r="HN23" s="27"/>
      <c r="HO23" s="27"/>
      <c r="HP23" s="27"/>
      <c r="HQ23" s="27"/>
      <c r="HR23" s="27"/>
      <c r="HS23" s="27"/>
      <c r="HT23" s="27"/>
      <c r="HU23" s="27"/>
      <c r="HV23" s="27"/>
      <c r="HW23" s="27"/>
      <c r="HX23" s="27"/>
      <c r="HY23" s="27"/>
      <c r="HZ23" s="27"/>
      <c r="IA23" s="27"/>
      <c r="IB23" s="27"/>
      <c r="IC23" s="27"/>
      <c r="ID23" s="27"/>
      <c r="IE23" s="27"/>
      <c r="IF23" s="27"/>
      <c r="IG23" s="27"/>
      <c r="IH23" s="27"/>
      <c r="II23" s="27"/>
      <c r="IJ23" s="27"/>
      <c r="IK23" s="27"/>
      <c r="IL23" s="27"/>
      <c r="IM23" s="27"/>
      <c r="IN23" s="27"/>
      <c r="IO23" s="27"/>
      <c r="IP23" s="27"/>
      <c r="IQ23" s="27"/>
      <c r="IR23" s="27"/>
      <c r="IS23" s="27"/>
    </row>
    <row r="24" spans="1:253" x14ac:dyDescent="0.25">
      <c r="A24" s="41"/>
      <c r="B24" s="33"/>
      <c r="C24" s="33"/>
      <c r="D24" s="33"/>
      <c r="E24" s="1723"/>
      <c r="F24" s="1723"/>
      <c r="G24" s="1723"/>
      <c r="H24" s="77"/>
      <c r="I24" s="1723"/>
      <c r="J24" s="78"/>
      <c r="K24" s="183" t="s">
        <v>257</v>
      </c>
      <c r="L24" s="183" t="s">
        <v>258</v>
      </c>
      <c r="M24" s="183" t="s">
        <v>259</v>
      </c>
      <c r="N24" s="183" t="s">
        <v>260</v>
      </c>
      <c r="O24" s="27"/>
      <c r="P24" s="27"/>
      <c r="Q24" s="27"/>
      <c r="R24" s="27"/>
      <c r="S24" s="27"/>
      <c r="T24" s="27"/>
      <c r="U24" s="27"/>
      <c r="V24" s="27"/>
      <c r="W24" s="27"/>
      <c r="X24" s="27"/>
      <c r="Y24" s="27"/>
      <c r="Z24" s="27"/>
      <c r="AA24" s="27"/>
      <c r="AB24" s="27"/>
      <c r="AC24" s="27"/>
      <c r="AD24" s="27"/>
      <c r="AE24" s="27"/>
      <c r="AF24" s="27"/>
      <c r="AG24" s="27"/>
      <c r="AH24" s="27"/>
      <c r="AI24" s="27"/>
      <c r="AJ24" s="27"/>
      <c r="AK24" s="27"/>
      <c r="AL24" s="27"/>
      <c r="AM24" s="27"/>
      <c r="AN24" s="27"/>
      <c r="AO24" s="27"/>
      <c r="AP24" s="27"/>
      <c r="AQ24" s="27"/>
      <c r="AR24" s="27"/>
      <c r="AS24" s="27"/>
      <c r="AT24" s="27"/>
      <c r="AU24" s="27"/>
      <c r="AV24" s="27"/>
      <c r="AW24" s="27"/>
      <c r="AX24" s="27"/>
      <c r="AY24" s="27"/>
      <c r="AZ24" s="27"/>
      <c r="BA24" s="27"/>
      <c r="BB24" s="27"/>
      <c r="BC24" s="27"/>
      <c r="BD24" s="27"/>
      <c r="BE24" s="27"/>
      <c r="BF24" s="27"/>
      <c r="BG24" s="27"/>
      <c r="BH24" s="27"/>
      <c r="BI24" s="27"/>
      <c r="BJ24" s="27"/>
      <c r="BK24" s="27"/>
      <c r="BL24" s="27"/>
      <c r="BM24" s="27"/>
      <c r="BN24" s="27"/>
      <c r="BO24" s="27"/>
      <c r="BP24" s="27"/>
      <c r="BQ24" s="27"/>
      <c r="BR24" s="27"/>
      <c r="BS24" s="27"/>
      <c r="BT24" s="27"/>
      <c r="BU24" s="27"/>
      <c r="BV24" s="27"/>
      <c r="BW24" s="27"/>
      <c r="BX24" s="27"/>
      <c r="BY24" s="27"/>
      <c r="BZ24" s="27"/>
      <c r="CA24" s="27"/>
      <c r="CB24" s="27"/>
      <c r="CC24" s="27"/>
      <c r="CD24" s="27"/>
      <c r="CE24" s="27"/>
      <c r="CF24" s="27"/>
      <c r="CG24" s="27"/>
      <c r="CH24" s="27"/>
      <c r="CI24" s="27"/>
      <c r="CJ24" s="27"/>
      <c r="CK24" s="27"/>
      <c r="CL24" s="27"/>
      <c r="CM24" s="27"/>
      <c r="CN24" s="27"/>
      <c r="CO24" s="27"/>
      <c r="CP24" s="27"/>
      <c r="CQ24" s="27"/>
      <c r="CR24" s="27"/>
      <c r="CS24" s="27"/>
      <c r="CT24" s="27"/>
      <c r="CU24" s="27"/>
      <c r="CV24" s="27"/>
      <c r="CW24" s="27"/>
      <c r="CX24" s="27"/>
      <c r="CY24" s="27"/>
      <c r="CZ24" s="27"/>
      <c r="DA24" s="27"/>
      <c r="DB24" s="27"/>
      <c r="DC24" s="27"/>
      <c r="DD24" s="27"/>
      <c r="DE24" s="27"/>
      <c r="DF24" s="27"/>
      <c r="DG24" s="27"/>
      <c r="DH24" s="27"/>
      <c r="DI24" s="27"/>
      <c r="DJ24" s="27"/>
      <c r="DK24" s="27"/>
      <c r="DL24" s="27"/>
      <c r="DM24" s="27"/>
      <c r="DN24" s="27"/>
      <c r="DO24" s="27"/>
      <c r="DP24" s="27"/>
      <c r="DQ24" s="27"/>
      <c r="DR24" s="27"/>
      <c r="DS24" s="27"/>
      <c r="DT24" s="27"/>
      <c r="DU24" s="27"/>
      <c r="DV24" s="27"/>
      <c r="DW24" s="27"/>
      <c r="DX24" s="27"/>
      <c r="DY24" s="27"/>
      <c r="DZ24" s="27"/>
      <c r="EA24" s="27"/>
      <c r="EB24" s="27"/>
      <c r="EC24" s="27"/>
      <c r="ED24" s="27"/>
      <c r="EE24" s="27"/>
      <c r="EF24" s="27"/>
      <c r="EG24" s="27"/>
      <c r="EH24" s="27"/>
      <c r="EI24" s="27"/>
      <c r="EJ24" s="27"/>
      <c r="EK24" s="27"/>
      <c r="EL24" s="27"/>
      <c r="EM24" s="27"/>
      <c r="EN24" s="27"/>
      <c r="EO24" s="27"/>
      <c r="EP24" s="27"/>
      <c r="EQ24" s="27"/>
      <c r="ER24" s="27"/>
      <c r="ES24" s="27"/>
      <c r="ET24" s="27"/>
      <c r="EU24" s="27"/>
      <c r="EV24" s="27"/>
      <c r="EW24" s="27"/>
      <c r="EX24" s="27"/>
      <c r="EY24" s="27"/>
      <c r="EZ24" s="27"/>
      <c r="FA24" s="27"/>
      <c r="FB24" s="27"/>
      <c r="FC24" s="27"/>
      <c r="FD24" s="27"/>
      <c r="FE24" s="27"/>
      <c r="FF24" s="27"/>
      <c r="FG24" s="27"/>
      <c r="FH24" s="27"/>
      <c r="FI24" s="27"/>
      <c r="FJ24" s="27"/>
      <c r="FK24" s="27"/>
      <c r="FL24" s="27"/>
      <c r="FM24" s="27"/>
      <c r="FN24" s="27"/>
      <c r="FO24" s="27"/>
      <c r="FP24" s="27"/>
      <c r="FQ24" s="27"/>
      <c r="FR24" s="27"/>
      <c r="FS24" s="27"/>
      <c r="FT24" s="27"/>
      <c r="FU24" s="27"/>
      <c r="FV24" s="27"/>
      <c r="FW24" s="27"/>
      <c r="FX24" s="27"/>
      <c r="FY24" s="27"/>
      <c r="FZ24" s="27"/>
      <c r="GA24" s="27"/>
      <c r="GB24" s="27"/>
      <c r="GC24" s="27"/>
      <c r="GD24" s="27"/>
      <c r="GE24" s="27"/>
      <c r="GF24" s="27"/>
      <c r="GG24" s="27"/>
      <c r="GH24" s="27"/>
      <c r="GI24" s="27"/>
      <c r="GJ24" s="27"/>
      <c r="GK24" s="27"/>
      <c r="GL24" s="27"/>
      <c r="GM24" s="27"/>
      <c r="GN24" s="27"/>
      <c r="GO24" s="27"/>
      <c r="GP24" s="27"/>
      <c r="GQ24" s="27"/>
      <c r="GR24" s="27"/>
      <c r="GS24" s="27"/>
      <c r="GT24" s="27"/>
      <c r="GU24" s="27"/>
      <c r="GV24" s="27"/>
      <c r="GW24" s="27"/>
      <c r="GX24" s="27"/>
      <c r="GY24" s="27"/>
      <c r="GZ24" s="27"/>
      <c r="HA24" s="27"/>
      <c r="HB24" s="27"/>
      <c r="HC24" s="27"/>
      <c r="HD24" s="27"/>
      <c r="HE24" s="27"/>
      <c r="HF24" s="27"/>
      <c r="HG24" s="27"/>
      <c r="HH24" s="27"/>
      <c r="HI24" s="27"/>
      <c r="HJ24" s="27"/>
      <c r="HK24" s="27"/>
      <c r="HL24" s="27"/>
      <c r="HM24" s="27"/>
      <c r="HN24" s="27"/>
      <c r="HO24" s="27"/>
      <c r="HP24" s="27"/>
      <c r="HQ24" s="27"/>
      <c r="HR24" s="27"/>
      <c r="HS24" s="27"/>
      <c r="HT24" s="27"/>
      <c r="HU24" s="27"/>
      <c r="HV24" s="27"/>
      <c r="HW24" s="27"/>
      <c r="HX24" s="27"/>
      <c r="HY24" s="27"/>
      <c r="HZ24" s="27"/>
      <c r="IA24" s="27"/>
      <c r="IB24" s="27"/>
      <c r="IC24" s="27"/>
      <c r="ID24" s="27"/>
      <c r="IE24" s="27"/>
      <c r="IF24" s="27"/>
      <c r="IG24" s="27"/>
      <c r="IH24" s="27"/>
      <c r="II24" s="27"/>
      <c r="IJ24" s="27"/>
      <c r="IK24" s="27"/>
      <c r="IL24" s="27"/>
      <c r="IM24" s="27"/>
      <c r="IN24" s="27"/>
      <c r="IO24" s="27"/>
      <c r="IP24" s="27"/>
      <c r="IQ24" s="27"/>
      <c r="IR24" s="27"/>
      <c r="IS24" s="27"/>
    </row>
    <row r="25" spans="1:253" x14ac:dyDescent="0.25">
      <c r="A25" s="49" t="s">
        <v>151</v>
      </c>
      <c r="B25" s="39" t="s">
        <v>102</v>
      </c>
      <c r="C25" s="33"/>
      <c r="D25" s="33"/>
      <c r="E25" s="1723"/>
      <c r="F25" s="1723"/>
      <c r="G25" s="1723"/>
      <c r="H25" s="77"/>
      <c r="I25" s="1723"/>
      <c r="J25" s="78"/>
      <c r="K25" s="27"/>
      <c r="L25" s="27"/>
      <c r="M25" s="27"/>
      <c r="N25" s="27"/>
      <c r="O25" s="140"/>
      <c r="P25" s="27"/>
      <c r="Q25" s="27"/>
      <c r="R25" s="27"/>
      <c r="S25" s="27"/>
      <c r="T25" s="27"/>
      <c r="U25" s="27"/>
      <c r="V25" s="27"/>
      <c r="W25" s="27"/>
      <c r="X25" s="27"/>
      <c r="Y25" s="27"/>
      <c r="Z25" s="27"/>
      <c r="AA25" s="27"/>
      <c r="AB25" s="27"/>
      <c r="AC25" s="27"/>
      <c r="AD25" s="27"/>
      <c r="AE25" s="27"/>
      <c r="AF25" s="27"/>
      <c r="AG25" s="27"/>
      <c r="AH25" s="27"/>
      <c r="AI25" s="27"/>
      <c r="AJ25" s="27"/>
      <c r="AK25" s="27"/>
      <c r="AL25" s="27"/>
      <c r="AM25" s="27"/>
      <c r="AN25" s="27"/>
      <c r="AO25" s="27"/>
      <c r="AP25" s="27"/>
      <c r="AQ25" s="27"/>
      <c r="AR25" s="27"/>
      <c r="AS25" s="27"/>
      <c r="AT25" s="27"/>
      <c r="AU25" s="27"/>
      <c r="AV25" s="27"/>
      <c r="AW25" s="27"/>
      <c r="AX25" s="27"/>
      <c r="AY25" s="27"/>
      <c r="AZ25" s="27"/>
      <c r="BA25" s="27"/>
      <c r="BB25" s="27"/>
      <c r="BC25" s="27"/>
      <c r="BD25" s="27"/>
      <c r="BE25" s="27"/>
      <c r="BF25" s="27"/>
      <c r="BG25" s="27"/>
      <c r="BH25" s="27"/>
      <c r="BI25" s="27"/>
      <c r="BJ25" s="27"/>
      <c r="BK25" s="27"/>
      <c r="BL25" s="27"/>
      <c r="BM25" s="27"/>
      <c r="BN25" s="27"/>
      <c r="BO25" s="27"/>
      <c r="BP25" s="27"/>
      <c r="BQ25" s="27"/>
      <c r="BR25" s="27"/>
      <c r="BS25" s="27"/>
      <c r="BT25" s="27"/>
      <c r="BU25" s="27"/>
      <c r="BV25" s="27"/>
      <c r="BW25" s="27"/>
      <c r="BX25" s="27"/>
      <c r="BY25" s="27"/>
      <c r="BZ25" s="27"/>
      <c r="CA25" s="27"/>
      <c r="CB25" s="27"/>
      <c r="CC25" s="27"/>
      <c r="CD25" s="27"/>
      <c r="CE25" s="27"/>
      <c r="CF25" s="27"/>
      <c r="CG25" s="27"/>
      <c r="CH25" s="27"/>
      <c r="CI25" s="27"/>
      <c r="CJ25" s="27"/>
      <c r="CK25" s="27"/>
      <c r="CL25" s="27"/>
      <c r="CM25" s="27"/>
      <c r="CN25" s="27"/>
      <c r="CO25" s="27"/>
      <c r="CP25" s="27"/>
      <c r="CQ25" s="27"/>
      <c r="CR25" s="27"/>
      <c r="CS25" s="27"/>
      <c r="CT25" s="27"/>
      <c r="CU25" s="27"/>
      <c r="CV25" s="27"/>
      <c r="CW25" s="27"/>
      <c r="CX25" s="27"/>
      <c r="CY25" s="27"/>
      <c r="CZ25" s="27"/>
      <c r="DA25" s="27"/>
      <c r="DB25" s="27"/>
      <c r="DC25" s="27"/>
      <c r="DD25" s="27"/>
      <c r="DE25" s="27"/>
      <c r="DF25" s="27"/>
      <c r="DG25" s="27"/>
      <c r="DH25" s="27"/>
      <c r="DI25" s="27"/>
      <c r="DJ25" s="27"/>
      <c r="DK25" s="27"/>
      <c r="DL25" s="27"/>
      <c r="DM25" s="27"/>
      <c r="DN25" s="27"/>
      <c r="DO25" s="27"/>
      <c r="DP25" s="27"/>
      <c r="DQ25" s="27"/>
      <c r="DR25" s="27"/>
      <c r="DS25" s="27"/>
      <c r="DT25" s="27"/>
      <c r="DU25" s="27"/>
      <c r="DV25" s="27"/>
      <c r="DW25" s="27"/>
      <c r="DX25" s="27"/>
      <c r="DY25" s="27"/>
      <c r="DZ25" s="27"/>
      <c r="EA25" s="27"/>
      <c r="EB25" s="27"/>
      <c r="EC25" s="27"/>
      <c r="ED25" s="27"/>
      <c r="EE25" s="27"/>
      <c r="EF25" s="27"/>
      <c r="EG25" s="27"/>
      <c r="EH25" s="27"/>
      <c r="EI25" s="27"/>
      <c r="EJ25" s="27"/>
      <c r="EK25" s="27"/>
      <c r="EL25" s="27"/>
      <c r="EM25" s="27"/>
      <c r="EN25" s="27"/>
      <c r="EO25" s="27"/>
      <c r="EP25" s="27"/>
      <c r="EQ25" s="27"/>
      <c r="ER25" s="27"/>
      <c r="ES25" s="27"/>
      <c r="ET25" s="27"/>
      <c r="EU25" s="27"/>
      <c r="EV25" s="27"/>
      <c r="EW25" s="27"/>
      <c r="EX25" s="27"/>
      <c r="EY25" s="27"/>
      <c r="EZ25" s="27"/>
      <c r="FA25" s="27"/>
      <c r="FB25" s="27"/>
      <c r="FC25" s="27"/>
      <c r="FD25" s="27"/>
      <c r="FE25" s="27"/>
      <c r="FF25" s="27"/>
      <c r="FG25" s="27"/>
      <c r="FH25" s="27"/>
      <c r="FI25" s="27"/>
      <c r="FJ25" s="27"/>
      <c r="FK25" s="27"/>
      <c r="FL25" s="27"/>
      <c r="FM25" s="27"/>
      <c r="FN25" s="27"/>
      <c r="FO25" s="27"/>
      <c r="FP25" s="27"/>
      <c r="FQ25" s="27"/>
      <c r="FR25" s="27"/>
      <c r="FS25" s="27"/>
      <c r="FT25" s="27"/>
      <c r="FU25" s="27"/>
      <c r="FV25" s="27"/>
      <c r="FW25" s="27"/>
      <c r="FX25" s="27"/>
      <c r="FY25" s="27"/>
      <c r="FZ25" s="27"/>
      <c r="GA25" s="27"/>
      <c r="GB25" s="27"/>
      <c r="GC25" s="27"/>
      <c r="GD25" s="27"/>
      <c r="GE25" s="27"/>
      <c r="GF25" s="27"/>
      <c r="GG25" s="27"/>
      <c r="GH25" s="27"/>
      <c r="GI25" s="27"/>
      <c r="GJ25" s="27"/>
      <c r="GK25" s="27"/>
      <c r="GL25" s="27"/>
      <c r="GM25" s="27"/>
      <c r="GN25" s="27"/>
      <c r="GO25" s="27"/>
      <c r="GP25" s="27"/>
      <c r="GQ25" s="27"/>
      <c r="GR25" s="27"/>
      <c r="GS25" s="27"/>
      <c r="GT25" s="27"/>
      <c r="GU25" s="27"/>
      <c r="GV25" s="27"/>
      <c r="GW25" s="27"/>
      <c r="GX25" s="27"/>
      <c r="GY25" s="27"/>
      <c r="GZ25" s="27"/>
      <c r="HA25" s="27"/>
      <c r="HB25" s="27"/>
      <c r="HC25" s="27"/>
      <c r="HD25" s="27"/>
      <c r="HE25" s="27"/>
      <c r="HF25" s="27"/>
      <c r="HG25" s="27"/>
      <c r="HH25" s="27"/>
      <c r="HI25" s="27"/>
      <c r="HJ25" s="27"/>
      <c r="HK25" s="27"/>
      <c r="HL25" s="27"/>
      <c r="HM25" s="27"/>
      <c r="HN25" s="27"/>
      <c r="HO25" s="27"/>
      <c r="HP25" s="27"/>
      <c r="HQ25" s="27"/>
      <c r="HR25" s="27"/>
      <c r="HS25" s="27"/>
      <c r="HT25" s="27"/>
      <c r="HU25" s="27"/>
      <c r="HV25" s="27"/>
      <c r="HW25" s="27"/>
      <c r="HX25" s="27"/>
      <c r="HY25" s="27"/>
      <c r="HZ25" s="27"/>
      <c r="IA25" s="27"/>
      <c r="IB25" s="27"/>
      <c r="IC25" s="27"/>
      <c r="ID25" s="27"/>
      <c r="IE25" s="27"/>
      <c r="IF25" s="27"/>
      <c r="IG25" s="27"/>
      <c r="IH25" s="27"/>
      <c r="II25" s="27"/>
      <c r="IJ25" s="27"/>
      <c r="IK25" s="27"/>
      <c r="IL25" s="27"/>
      <c r="IM25" s="27"/>
      <c r="IN25" s="27"/>
      <c r="IO25" s="27"/>
      <c r="IP25" s="27"/>
      <c r="IQ25" s="27"/>
      <c r="IR25" s="27"/>
      <c r="IS25" s="27"/>
    </row>
    <row r="26" spans="1:253" x14ac:dyDescent="0.25">
      <c r="A26" s="49"/>
      <c r="B26" s="33" t="str">
        <f>+B19</f>
        <v>PUENTE VEHICULAR CCANCHI</v>
      </c>
      <c r="C26" s="33"/>
      <c r="D26" s="33"/>
      <c r="E26" s="1723"/>
      <c r="F26" s="1723">
        <f>'REINT_REAJ_ (2)'!M37</f>
        <v>513244.09</v>
      </c>
      <c r="G26" s="1723">
        <f>'REINT_REAJ_ (2)'!M38</f>
        <v>-7469.3600000000442</v>
      </c>
      <c r="H26" s="683">
        <f>+F26+G26</f>
        <v>505774.73</v>
      </c>
      <c r="I26" s="1723"/>
      <c r="J26" s="78"/>
      <c r="K26" s="358" t="e">
        <f>REINT_REAJ_!H18+REINT_REAJ_!H19+REINT_REAJ_!H20+REINT_REAJ_!H21+REINT_REAJ_!#REF!+REINT_REAJ_!H22+REINT_REAJ_!H23+REINT_REAJ_!H24+REINT_REAJ_!H25+REINT_REAJ_!H26+REINT_REAJ_!H27</f>
        <v>#REF!</v>
      </c>
      <c r="L26" s="358">
        <f>+REINT_REAJ_!H26</f>
        <v>0</v>
      </c>
      <c r="M26" s="359">
        <f>+REINT_REAJ_!H28</f>
        <v>0</v>
      </c>
      <c r="N26" s="358">
        <f>+H26-M26</f>
        <v>505774.73</v>
      </c>
      <c r="O26" s="27">
        <v>54286.76</v>
      </c>
      <c r="P26" s="360"/>
      <c r="Q26" s="27"/>
      <c r="R26" s="27"/>
      <c r="S26" s="27"/>
      <c r="T26" s="27"/>
      <c r="U26" s="27"/>
      <c r="V26" s="27"/>
      <c r="W26" s="27"/>
      <c r="X26" s="27"/>
      <c r="Y26" s="27"/>
      <c r="Z26" s="27"/>
      <c r="AA26" s="27"/>
      <c r="AB26" s="27"/>
      <c r="AC26" s="27"/>
      <c r="AD26" s="27"/>
      <c r="AE26" s="27"/>
      <c r="AF26" s="27"/>
      <c r="AG26" s="27"/>
      <c r="AH26" s="27"/>
      <c r="AI26" s="27"/>
      <c r="AJ26" s="27"/>
      <c r="AK26" s="27"/>
      <c r="AL26" s="27"/>
      <c r="AM26" s="27"/>
      <c r="AN26" s="27"/>
      <c r="AO26" s="27"/>
      <c r="AP26" s="27"/>
      <c r="AQ26" s="27"/>
      <c r="AR26" s="27"/>
      <c r="AS26" s="27"/>
      <c r="AT26" s="27"/>
      <c r="AU26" s="27"/>
      <c r="AV26" s="27"/>
      <c r="AW26" s="27"/>
      <c r="AX26" s="27"/>
      <c r="AY26" s="27"/>
      <c r="AZ26" s="27"/>
      <c r="BA26" s="27"/>
      <c r="BB26" s="27"/>
      <c r="BC26" s="27"/>
      <c r="BD26" s="27"/>
      <c r="BE26" s="27"/>
      <c r="BF26" s="27"/>
      <c r="BG26" s="27"/>
      <c r="BH26" s="27"/>
      <c r="BI26" s="27"/>
      <c r="BJ26" s="27"/>
      <c r="BK26" s="27"/>
      <c r="BL26" s="27"/>
      <c r="BM26" s="27"/>
      <c r="BN26" s="27"/>
      <c r="BO26" s="27"/>
      <c r="BP26" s="27"/>
      <c r="BQ26" s="27"/>
      <c r="BR26" s="27"/>
      <c r="BS26" s="27"/>
      <c r="BT26" s="27"/>
      <c r="BU26" s="27"/>
      <c r="BV26" s="27"/>
      <c r="BW26" s="27"/>
      <c r="BX26" s="27"/>
      <c r="BY26" s="27"/>
      <c r="BZ26" s="27"/>
      <c r="CA26" s="27"/>
      <c r="CB26" s="27"/>
      <c r="CC26" s="27"/>
      <c r="CD26" s="27"/>
      <c r="CE26" s="27"/>
      <c r="CF26" s="27"/>
      <c r="CG26" s="27"/>
      <c r="CH26" s="27"/>
      <c r="CI26" s="27"/>
      <c r="CJ26" s="27"/>
      <c r="CK26" s="27"/>
      <c r="CL26" s="27"/>
      <c r="CM26" s="27"/>
      <c r="CN26" s="27"/>
      <c r="CO26" s="27"/>
      <c r="CP26" s="27"/>
      <c r="CQ26" s="27"/>
      <c r="CR26" s="27"/>
      <c r="CS26" s="27"/>
      <c r="CT26" s="27"/>
      <c r="CU26" s="27"/>
      <c r="CV26" s="27"/>
      <c r="CW26" s="27"/>
      <c r="CX26" s="27"/>
      <c r="CY26" s="27"/>
      <c r="CZ26" s="27"/>
      <c r="DA26" s="27"/>
      <c r="DB26" s="27"/>
      <c r="DC26" s="27"/>
      <c r="DD26" s="27"/>
      <c r="DE26" s="27"/>
      <c r="DF26" s="27"/>
      <c r="DG26" s="27"/>
      <c r="DH26" s="27"/>
      <c r="DI26" s="27"/>
      <c r="DJ26" s="27"/>
      <c r="DK26" s="27"/>
      <c r="DL26" s="27"/>
      <c r="DM26" s="27"/>
      <c r="DN26" s="27"/>
      <c r="DO26" s="27"/>
      <c r="DP26" s="27"/>
      <c r="DQ26" s="27"/>
      <c r="DR26" s="27"/>
      <c r="DS26" s="27"/>
      <c r="DT26" s="27"/>
      <c r="DU26" s="27"/>
      <c r="DV26" s="27"/>
      <c r="DW26" s="27"/>
      <c r="DX26" s="27"/>
      <c r="DY26" s="27"/>
      <c r="DZ26" s="27"/>
      <c r="EA26" s="27"/>
      <c r="EB26" s="27"/>
      <c r="EC26" s="27"/>
      <c r="ED26" s="27"/>
      <c r="EE26" s="27"/>
      <c r="EF26" s="27"/>
      <c r="EG26" s="27"/>
      <c r="EH26" s="27"/>
      <c r="EI26" s="27"/>
      <c r="EJ26" s="27"/>
      <c r="EK26" s="27"/>
      <c r="EL26" s="27"/>
      <c r="EM26" s="27"/>
      <c r="EN26" s="27"/>
      <c r="EO26" s="27"/>
      <c r="EP26" s="27"/>
      <c r="EQ26" s="27"/>
      <c r="ER26" s="27"/>
      <c r="ES26" s="27"/>
      <c r="ET26" s="27"/>
      <c r="EU26" s="27"/>
      <c r="EV26" s="27"/>
      <c r="EW26" s="27"/>
      <c r="EX26" s="27"/>
      <c r="EY26" s="27"/>
      <c r="EZ26" s="27"/>
      <c r="FA26" s="27"/>
      <c r="FB26" s="27"/>
      <c r="FC26" s="27"/>
      <c r="FD26" s="27"/>
      <c r="FE26" s="27"/>
      <c r="FF26" s="27"/>
      <c r="FG26" s="27"/>
      <c r="FH26" s="27"/>
      <c r="FI26" s="27"/>
      <c r="FJ26" s="27"/>
      <c r="FK26" s="27"/>
      <c r="FL26" s="27"/>
      <c r="FM26" s="27"/>
      <c r="FN26" s="27"/>
      <c r="FO26" s="27"/>
      <c r="FP26" s="27"/>
      <c r="FQ26" s="27"/>
      <c r="FR26" s="27"/>
      <c r="FS26" s="27"/>
      <c r="FT26" s="27"/>
      <c r="FU26" s="27"/>
      <c r="FV26" s="27"/>
      <c r="FW26" s="27"/>
      <c r="FX26" s="27"/>
      <c r="FY26" s="27"/>
      <c r="FZ26" s="27"/>
      <c r="GA26" s="27"/>
      <c r="GB26" s="27"/>
      <c r="GC26" s="27"/>
      <c r="GD26" s="27"/>
      <c r="GE26" s="27"/>
      <c r="GF26" s="27"/>
      <c r="GG26" s="27"/>
      <c r="GH26" s="27"/>
      <c r="GI26" s="27"/>
      <c r="GJ26" s="27"/>
      <c r="GK26" s="27"/>
      <c r="GL26" s="27"/>
      <c r="GM26" s="27"/>
      <c r="GN26" s="27"/>
      <c r="GO26" s="27"/>
      <c r="GP26" s="27"/>
      <c r="GQ26" s="27"/>
      <c r="GR26" s="27"/>
      <c r="GS26" s="27"/>
      <c r="GT26" s="27"/>
      <c r="GU26" s="27"/>
      <c r="GV26" s="27"/>
      <c r="GW26" s="27"/>
      <c r="GX26" s="27"/>
      <c r="GY26" s="27"/>
      <c r="GZ26" s="27"/>
      <c r="HA26" s="27"/>
      <c r="HB26" s="27"/>
      <c r="HC26" s="27"/>
      <c r="HD26" s="27"/>
      <c r="HE26" s="27"/>
      <c r="HF26" s="27"/>
      <c r="HG26" s="27"/>
      <c r="HH26" s="27"/>
      <c r="HI26" s="27"/>
      <c r="HJ26" s="27"/>
      <c r="HK26" s="27"/>
      <c r="HL26" s="27"/>
      <c r="HM26" s="27"/>
      <c r="HN26" s="27"/>
      <c r="HO26" s="27"/>
      <c r="HP26" s="27"/>
      <c r="HQ26" s="27"/>
      <c r="HR26" s="27"/>
      <c r="HS26" s="27"/>
      <c r="HT26" s="27"/>
      <c r="HU26" s="27"/>
      <c r="HV26" s="27"/>
      <c r="HW26" s="27"/>
      <c r="HX26" s="27"/>
      <c r="HY26" s="27"/>
      <c r="HZ26" s="27"/>
      <c r="IA26" s="27"/>
      <c r="IB26" s="27"/>
      <c r="IC26" s="27"/>
      <c r="ID26" s="27"/>
      <c r="IE26" s="27"/>
      <c r="IF26" s="27"/>
      <c r="IG26" s="27"/>
      <c r="IH26" s="27"/>
      <c r="II26" s="27"/>
      <c r="IJ26" s="27"/>
      <c r="IK26" s="27"/>
      <c r="IL26" s="27"/>
      <c r="IM26" s="27"/>
      <c r="IN26" s="27"/>
      <c r="IO26" s="27"/>
      <c r="IP26" s="27"/>
      <c r="IQ26" s="27"/>
      <c r="IR26" s="27"/>
      <c r="IS26" s="27"/>
    </row>
    <row r="27" spans="1:253" x14ac:dyDescent="0.25">
      <c r="A27" s="41"/>
      <c r="B27" s="1729"/>
      <c r="C27" s="33"/>
      <c r="D27" s="33"/>
      <c r="E27" s="1723"/>
      <c r="F27" s="45"/>
      <c r="G27" s="45"/>
      <c r="H27" s="46"/>
      <c r="I27" s="1726"/>
      <c r="J27" s="44"/>
      <c r="O27" s="27"/>
      <c r="P27" s="140"/>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7"/>
      <c r="BK27" s="27"/>
      <c r="BL27" s="27"/>
      <c r="BM27" s="27"/>
      <c r="BN27" s="27"/>
      <c r="BO27" s="27"/>
      <c r="BP27" s="27"/>
      <c r="BQ27" s="27"/>
      <c r="BR27" s="27"/>
      <c r="BS27" s="27"/>
      <c r="BT27" s="27"/>
      <c r="BU27" s="27"/>
      <c r="BV27" s="27"/>
      <c r="BW27" s="27"/>
      <c r="BX27" s="27"/>
      <c r="BY27" s="27"/>
      <c r="BZ27" s="27"/>
      <c r="CA27" s="27"/>
      <c r="CB27" s="27"/>
      <c r="CC27" s="27"/>
      <c r="CD27" s="27"/>
      <c r="CE27" s="27"/>
      <c r="CF27" s="27"/>
      <c r="CG27" s="27"/>
      <c r="CH27" s="27"/>
      <c r="CI27" s="27"/>
      <c r="CJ27" s="27"/>
      <c r="CK27" s="27"/>
      <c r="CL27" s="27"/>
      <c r="CM27" s="27"/>
      <c r="CN27" s="27"/>
      <c r="CO27" s="27"/>
      <c r="CP27" s="27"/>
      <c r="CQ27" s="27"/>
      <c r="CR27" s="27"/>
      <c r="CS27" s="27"/>
      <c r="CT27" s="27"/>
      <c r="CU27" s="27"/>
      <c r="CV27" s="27"/>
      <c r="CW27" s="27"/>
      <c r="CX27" s="27"/>
      <c r="CY27" s="27"/>
      <c r="CZ27" s="27"/>
      <c r="DA27" s="27"/>
      <c r="DB27" s="27"/>
      <c r="DC27" s="27"/>
      <c r="DD27" s="27"/>
      <c r="DE27" s="27"/>
      <c r="DF27" s="27"/>
      <c r="DG27" s="27"/>
      <c r="DH27" s="27"/>
      <c r="DI27" s="27"/>
      <c r="DJ27" s="27"/>
      <c r="DK27" s="27"/>
      <c r="DL27" s="27"/>
      <c r="DM27" s="27"/>
      <c r="DN27" s="27"/>
      <c r="DO27" s="27"/>
      <c r="DP27" s="27"/>
      <c r="DQ27" s="27"/>
      <c r="DR27" s="27"/>
      <c r="DS27" s="27"/>
      <c r="DT27" s="27"/>
      <c r="DU27" s="27"/>
      <c r="DV27" s="27"/>
      <c r="DW27" s="27"/>
      <c r="DX27" s="27"/>
      <c r="DY27" s="27"/>
      <c r="DZ27" s="27"/>
      <c r="EA27" s="27"/>
      <c r="EB27" s="27"/>
      <c r="EC27" s="27"/>
      <c r="ED27" s="27"/>
      <c r="EE27" s="27"/>
      <c r="EF27" s="27"/>
      <c r="EG27" s="27"/>
      <c r="EH27" s="27"/>
      <c r="EI27" s="27"/>
      <c r="EJ27" s="27"/>
      <c r="EK27" s="27"/>
      <c r="EL27" s="27"/>
      <c r="EM27" s="27"/>
      <c r="EN27" s="27"/>
      <c r="EO27" s="27"/>
      <c r="EP27" s="27"/>
      <c r="EQ27" s="27"/>
      <c r="ER27" s="27"/>
      <c r="ES27" s="27"/>
      <c r="ET27" s="27"/>
      <c r="EU27" s="27"/>
      <c r="EV27" s="27"/>
      <c r="EW27" s="27"/>
      <c r="EX27" s="27"/>
      <c r="EY27" s="27"/>
      <c r="EZ27" s="27"/>
      <c r="FA27" s="27"/>
      <c r="FB27" s="27"/>
      <c r="FC27" s="27"/>
      <c r="FD27" s="27"/>
      <c r="FE27" s="27"/>
      <c r="FF27" s="27"/>
      <c r="FG27" s="27"/>
      <c r="FH27" s="27"/>
      <c r="FI27" s="27"/>
      <c r="FJ27" s="27"/>
      <c r="FK27" s="27"/>
      <c r="FL27" s="27"/>
      <c r="FM27" s="27"/>
      <c r="FN27" s="27"/>
      <c r="FO27" s="27"/>
      <c r="FP27" s="27"/>
      <c r="FQ27" s="27"/>
      <c r="FR27" s="27"/>
      <c r="FS27" s="27"/>
      <c r="FT27" s="27"/>
      <c r="FU27" s="27"/>
      <c r="FV27" s="27"/>
      <c r="FW27" s="27"/>
      <c r="FX27" s="27"/>
      <c r="FY27" s="27"/>
      <c r="FZ27" s="27"/>
      <c r="GA27" s="27"/>
      <c r="GB27" s="27"/>
      <c r="GC27" s="27"/>
      <c r="GD27" s="27"/>
      <c r="GE27" s="27"/>
      <c r="GF27" s="27"/>
      <c r="GG27" s="27"/>
      <c r="GH27" s="27"/>
      <c r="GI27" s="27"/>
      <c r="GJ27" s="27"/>
      <c r="GK27" s="27"/>
      <c r="GL27" s="27"/>
      <c r="GM27" s="27"/>
      <c r="GN27" s="27"/>
      <c r="GO27" s="27"/>
      <c r="GP27" s="27"/>
      <c r="GQ27" s="27"/>
      <c r="GR27" s="27"/>
      <c r="GS27" s="27"/>
      <c r="GT27" s="27"/>
      <c r="GU27" s="27"/>
      <c r="GV27" s="27"/>
      <c r="GW27" s="27"/>
      <c r="GX27" s="27"/>
      <c r="GY27" s="27"/>
      <c r="GZ27" s="27"/>
      <c r="HA27" s="27"/>
      <c r="HB27" s="27"/>
      <c r="HC27" s="27"/>
      <c r="HD27" s="27"/>
      <c r="HE27" s="27"/>
      <c r="HF27" s="27"/>
      <c r="HG27" s="27"/>
      <c r="HH27" s="27"/>
      <c r="HI27" s="27"/>
      <c r="HJ27" s="27"/>
      <c r="HK27" s="27"/>
      <c r="HL27" s="27"/>
      <c r="HM27" s="27"/>
      <c r="HN27" s="27"/>
      <c r="HO27" s="27"/>
      <c r="HP27" s="27"/>
      <c r="HQ27" s="27"/>
      <c r="HR27" s="27"/>
      <c r="HS27" s="27"/>
      <c r="HT27" s="27"/>
      <c r="HU27" s="27"/>
      <c r="HV27" s="27"/>
      <c r="HW27" s="27"/>
      <c r="HX27" s="27"/>
      <c r="HY27" s="27"/>
      <c r="HZ27" s="27"/>
      <c r="IA27" s="27"/>
      <c r="IB27" s="27"/>
      <c r="IC27" s="27"/>
      <c r="ID27" s="27"/>
      <c r="IE27" s="27"/>
      <c r="IF27" s="27"/>
      <c r="IG27" s="27"/>
      <c r="IH27" s="27"/>
      <c r="II27" s="27"/>
      <c r="IJ27" s="27"/>
      <c r="IK27" s="27"/>
      <c r="IL27" s="27"/>
      <c r="IM27" s="27"/>
      <c r="IN27" s="27"/>
      <c r="IO27" s="27"/>
      <c r="IP27" s="27"/>
      <c r="IQ27" s="27"/>
      <c r="IR27" s="27"/>
      <c r="IS27" s="27"/>
    </row>
    <row r="28" spans="1:253" x14ac:dyDescent="0.25">
      <c r="A28" s="41"/>
      <c r="B28" s="75" t="s">
        <v>152</v>
      </c>
      <c r="C28" s="33"/>
      <c r="D28" s="33"/>
      <c r="E28" s="1723"/>
      <c r="F28" s="1726">
        <f>SUM(F26:F27)</f>
        <v>513244.09</v>
      </c>
      <c r="G28" s="1726">
        <f>SUM(G26:G27)</f>
        <v>-7469.3600000000442</v>
      </c>
      <c r="H28" s="683">
        <f>SUM(F28:G28)</f>
        <v>505774.73</v>
      </c>
      <c r="I28" s="1726"/>
      <c r="J28" s="44"/>
      <c r="K28" s="358" t="e">
        <f>SUM(K26:K26)</f>
        <v>#REF!</v>
      </c>
      <c r="L28" s="358">
        <f>SUM(L26:L26)</f>
        <v>0</v>
      </c>
      <c r="N28" s="358" t="e">
        <f>+K28+L28</f>
        <v>#REF!</v>
      </c>
      <c r="O28" s="27"/>
      <c r="P28" s="27"/>
      <c r="Q28" s="27"/>
      <c r="R28" s="27"/>
      <c r="S28" s="27"/>
      <c r="T28" s="27"/>
      <c r="U28" s="27"/>
      <c r="V28" s="27"/>
      <c r="W28" s="27"/>
      <c r="X28" s="27"/>
      <c r="Y28" s="27"/>
      <c r="Z28" s="27"/>
      <c r="AA28" s="27"/>
      <c r="AB28" s="27"/>
      <c r="AC28" s="27"/>
      <c r="AD28" s="27"/>
      <c r="AE28" s="27"/>
      <c r="AF28" s="27"/>
      <c r="AG28" s="27"/>
      <c r="AH28" s="27"/>
      <c r="AI28" s="27"/>
      <c r="AJ28" s="27"/>
      <c r="AK28" s="27"/>
      <c r="AL28" s="27"/>
      <c r="AM28" s="27"/>
      <c r="AN28" s="27"/>
      <c r="AO28" s="27"/>
      <c r="AP28" s="27"/>
      <c r="AQ28" s="27"/>
      <c r="AR28" s="27"/>
      <c r="AS28" s="27"/>
      <c r="AT28" s="27"/>
      <c r="AU28" s="27"/>
      <c r="AV28" s="27"/>
      <c r="AW28" s="27"/>
      <c r="AX28" s="27"/>
      <c r="AY28" s="27"/>
      <c r="AZ28" s="27"/>
      <c r="BA28" s="27"/>
      <c r="BB28" s="27"/>
      <c r="BC28" s="27"/>
      <c r="BD28" s="27"/>
      <c r="BE28" s="27"/>
      <c r="BF28" s="27"/>
      <c r="BG28" s="27"/>
      <c r="BH28" s="27"/>
      <c r="BI28" s="27"/>
      <c r="BJ28" s="27"/>
      <c r="BK28" s="27"/>
      <c r="BL28" s="27"/>
      <c r="BM28" s="27"/>
      <c r="BN28" s="27"/>
      <c r="BO28" s="27"/>
      <c r="BP28" s="27"/>
      <c r="BQ28" s="27"/>
      <c r="BR28" s="27"/>
      <c r="BS28" s="27"/>
      <c r="BT28" s="27"/>
      <c r="BU28" s="27"/>
      <c r="BV28" s="27"/>
      <c r="BW28" s="27"/>
      <c r="BX28" s="27"/>
      <c r="BY28" s="27"/>
      <c r="BZ28" s="27"/>
      <c r="CA28" s="27"/>
      <c r="CB28" s="27"/>
      <c r="CC28" s="27"/>
      <c r="CD28" s="27"/>
      <c r="CE28" s="27"/>
      <c r="CF28" s="27"/>
      <c r="CG28" s="27"/>
      <c r="CH28" s="27"/>
      <c r="CI28" s="27"/>
      <c r="CJ28" s="27"/>
      <c r="CK28" s="27"/>
      <c r="CL28" s="27"/>
      <c r="CM28" s="27"/>
      <c r="CN28" s="27"/>
      <c r="CO28" s="27"/>
      <c r="CP28" s="27"/>
      <c r="CQ28" s="27"/>
      <c r="CR28" s="27"/>
      <c r="CS28" s="27"/>
      <c r="CT28" s="27"/>
      <c r="CU28" s="27"/>
      <c r="CV28" s="27"/>
      <c r="CW28" s="27"/>
      <c r="CX28" s="27"/>
      <c r="CY28" s="27"/>
      <c r="CZ28" s="27"/>
      <c r="DA28" s="27"/>
      <c r="DB28" s="27"/>
      <c r="DC28" s="27"/>
      <c r="DD28" s="27"/>
      <c r="DE28" s="27"/>
      <c r="DF28" s="27"/>
      <c r="DG28" s="27"/>
      <c r="DH28" s="27"/>
      <c r="DI28" s="27"/>
      <c r="DJ28" s="27"/>
      <c r="DK28" s="27"/>
      <c r="DL28" s="27"/>
      <c r="DM28" s="27"/>
      <c r="DN28" s="27"/>
      <c r="DO28" s="27"/>
      <c r="DP28" s="27"/>
      <c r="DQ28" s="27"/>
      <c r="DR28" s="27"/>
      <c r="DS28" s="27"/>
      <c r="DT28" s="27"/>
      <c r="DU28" s="27"/>
      <c r="DV28" s="27"/>
      <c r="DW28" s="27"/>
      <c r="DX28" s="27"/>
      <c r="DY28" s="27"/>
      <c r="DZ28" s="27"/>
      <c r="EA28" s="27"/>
      <c r="EB28" s="27"/>
      <c r="EC28" s="27"/>
      <c r="ED28" s="27"/>
      <c r="EE28" s="27"/>
      <c r="EF28" s="27"/>
      <c r="EG28" s="27"/>
      <c r="EH28" s="27"/>
      <c r="EI28" s="27"/>
      <c r="EJ28" s="27"/>
      <c r="EK28" s="27"/>
      <c r="EL28" s="27"/>
      <c r="EM28" s="27"/>
      <c r="EN28" s="27"/>
      <c r="EO28" s="27"/>
      <c r="EP28" s="27"/>
      <c r="EQ28" s="27"/>
      <c r="ER28" s="27"/>
      <c r="ES28" s="27"/>
      <c r="ET28" s="27"/>
      <c r="EU28" s="27"/>
      <c r="EV28" s="27"/>
      <c r="EW28" s="27"/>
      <c r="EX28" s="27"/>
      <c r="EY28" s="27"/>
      <c r="EZ28" s="27"/>
      <c r="FA28" s="27"/>
      <c r="FB28" s="27"/>
      <c r="FC28" s="27"/>
      <c r="FD28" s="27"/>
      <c r="FE28" s="27"/>
      <c r="FF28" s="27"/>
      <c r="FG28" s="27"/>
      <c r="FH28" s="27"/>
      <c r="FI28" s="27"/>
      <c r="FJ28" s="27"/>
      <c r="FK28" s="27"/>
      <c r="FL28" s="27"/>
      <c r="FM28" s="27"/>
      <c r="FN28" s="27"/>
      <c r="FO28" s="27"/>
      <c r="FP28" s="27"/>
      <c r="FQ28" s="27"/>
      <c r="FR28" s="27"/>
      <c r="FS28" s="27"/>
      <c r="FT28" s="27"/>
      <c r="FU28" s="27"/>
      <c r="FV28" s="27"/>
      <c r="FW28" s="27"/>
      <c r="FX28" s="27"/>
      <c r="FY28" s="27"/>
      <c r="FZ28" s="27"/>
      <c r="GA28" s="27"/>
      <c r="GB28" s="27"/>
      <c r="GC28" s="27"/>
      <c r="GD28" s="27"/>
      <c r="GE28" s="27"/>
      <c r="GF28" s="27"/>
      <c r="GG28" s="27"/>
      <c r="GH28" s="27"/>
      <c r="GI28" s="27"/>
      <c r="GJ28" s="27"/>
      <c r="GK28" s="27"/>
      <c r="GL28" s="27"/>
      <c r="GM28" s="27"/>
      <c r="GN28" s="27"/>
      <c r="GO28" s="27"/>
      <c r="GP28" s="27"/>
      <c r="GQ28" s="27"/>
      <c r="GR28" s="27"/>
      <c r="GS28" s="27"/>
      <c r="GT28" s="27"/>
      <c r="GU28" s="27"/>
      <c r="GV28" s="27"/>
      <c r="GW28" s="27"/>
      <c r="GX28" s="27"/>
      <c r="GY28" s="27"/>
      <c r="GZ28" s="27"/>
      <c r="HA28" s="27"/>
      <c r="HB28" s="27"/>
      <c r="HC28" s="27"/>
      <c r="HD28" s="27"/>
      <c r="HE28" s="27"/>
      <c r="HF28" s="27"/>
      <c r="HG28" s="27"/>
      <c r="HH28" s="27"/>
      <c r="HI28" s="27"/>
      <c r="HJ28" s="27"/>
      <c r="HK28" s="27"/>
      <c r="HL28" s="27"/>
      <c r="HM28" s="27"/>
      <c r="HN28" s="27"/>
      <c r="HO28" s="27"/>
      <c r="HP28" s="27"/>
      <c r="HQ28" s="27"/>
      <c r="HR28" s="27"/>
      <c r="HS28" s="27"/>
      <c r="HT28" s="27"/>
      <c r="HU28" s="27"/>
      <c r="HV28" s="27"/>
      <c r="HW28" s="27"/>
      <c r="HX28" s="27"/>
      <c r="HY28" s="27"/>
      <c r="HZ28" s="27"/>
      <c r="IA28" s="27"/>
      <c r="IB28" s="27"/>
      <c r="IC28" s="27"/>
      <c r="ID28" s="27"/>
      <c r="IE28" s="27"/>
      <c r="IF28" s="27"/>
      <c r="IG28" s="27"/>
      <c r="IH28" s="27"/>
      <c r="II28" s="27"/>
      <c r="IJ28" s="27"/>
      <c r="IK28" s="27"/>
      <c r="IL28" s="27"/>
      <c r="IM28" s="27"/>
      <c r="IN28" s="27"/>
      <c r="IO28" s="27"/>
      <c r="IP28" s="27"/>
      <c r="IQ28" s="27"/>
      <c r="IR28" s="27"/>
      <c r="IS28" s="27"/>
    </row>
    <row r="29" spans="1:253" x14ac:dyDescent="0.25">
      <c r="A29" s="41"/>
      <c r="B29" s="33"/>
      <c r="C29" s="33"/>
      <c r="D29" s="33"/>
      <c r="E29" s="1723"/>
      <c r="F29" s="1726"/>
      <c r="G29" s="1726"/>
      <c r="H29" s="683"/>
      <c r="I29" s="1726"/>
      <c r="J29" s="44"/>
      <c r="K29" s="27"/>
      <c r="L29" s="27"/>
      <c r="M29" s="27"/>
      <c r="N29" s="27"/>
      <c r="O29" s="27"/>
      <c r="P29" s="27"/>
      <c r="Q29" s="27"/>
      <c r="R29" s="27"/>
      <c r="S29" s="27"/>
      <c r="T29" s="27"/>
      <c r="U29" s="27"/>
      <c r="V29" s="27"/>
      <c r="W29" s="27"/>
      <c r="X29" s="27"/>
      <c r="Y29" s="27"/>
      <c r="Z29" s="27"/>
      <c r="AA29" s="27"/>
      <c r="AB29" s="27"/>
      <c r="AC29" s="27"/>
      <c r="AD29" s="27"/>
      <c r="AE29" s="27"/>
      <c r="AF29" s="27"/>
      <c r="AG29" s="27"/>
      <c r="AH29" s="27"/>
      <c r="AI29" s="27"/>
      <c r="AJ29" s="27"/>
      <c r="AK29" s="27"/>
      <c r="AL29" s="27"/>
      <c r="AM29" s="27"/>
      <c r="AN29" s="27"/>
      <c r="AO29" s="27"/>
      <c r="AP29" s="27"/>
      <c r="AQ29" s="27"/>
      <c r="AR29" s="27"/>
      <c r="AS29" s="27"/>
      <c r="AT29" s="27"/>
      <c r="AU29" s="27"/>
      <c r="AV29" s="27"/>
      <c r="AW29" s="27"/>
      <c r="AX29" s="27"/>
      <c r="AY29" s="27"/>
      <c r="AZ29" s="27"/>
      <c r="BA29" s="27"/>
      <c r="BB29" s="27"/>
      <c r="BC29" s="27"/>
      <c r="BD29" s="27"/>
      <c r="BE29" s="27"/>
      <c r="BF29" s="27"/>
      <c r="BG29" s="27"/>
      <c r="BH29" s="27"/>
      <c r="BI29" s="27"/>
      <c r="BJ29" s="27"/>
      <c r="BK29" s="27"/>
      <c r="BL29" s="27"/>
      <c r="BM29" s="27"/>
      <c r="BN29" s="27"/>
      <c r="BO29" s="27"/>
      <c r="BP29" s="27"/>
      <c r="BQ29" s="27"/>
      <c r="BR29" s="27"/>
      <c r="BS29" s="27"/>
      <c r="BT29" s="27"/>
      <c r="BU29" s="27"/>
      <c r="BV29" s="27"/>
      <c r="BW29" s="27"/>
      <c r="BX29" s="27"/>
      <c r="BY29" s="27"/>
      <c r="BZ29" s="27"/>
      <c r="CA29" s="27"/>
      <c r="CB29" s="27"/>
      <c r="CC29" s="27"/>
      <c r="CD29" s="27"/>
      <c r="CE29" s="27"/>
      <c r="CF29" s="27"/>
      <c r="CG29" s="27"/>
      <c r="CH29" s="27"/>
      <c r="CI29" s="27"/>
      <c r="CJ29" s="27"/>
      <c r="CK29" s="27"/>
      <c r="CL29" s="27"/>
      <c r="CM29" s="27"/>
      <c r="CN29" s="27"/>
      <c r="CO29" s="27"/>
      <c r="CP29" s="27"/>
      <c r="CQ29" s="27"/>
      <c r="CR29" s="27"/>
      <c r="CS29" s="27"/>
      <c r="CT29" s="27"/>
      <c r="CU29" s="27"/>
      <c r="CV29" s="27"/>
      <c r="CW29" s="27"/>
      <c r="CX29" s="27"/>
      <c r="CY29" s="27"/>
      <c r="CZ29" s="27"/>
      <c r="DA29" s="27"/>
      <c r="DB29" s="27"/>
      <c r="DC29" s="27"/>
      <c r="DD29" s="27"/>
      <c r="DE29" s="27"/>
      <c r="DF29" s="27"/>
      <c r="DG29" s="27"/>
      <c r="DH29" s="27"/>
      <c r="DI29" s="27"/>
      <c r="DJ29" s="27"/>
      <c r="DK29" s="27"/>
      <c r="DL29" s="27"/>
      <c r="DM29" s="27"/>
      <c r="DN29" s="27"/>
      <c r="DO29" s="27"/>
      <c r="DP29" s="27"/>
      <c r="DQ29" s="27"/>
      <c r="DR29" s="27"/>
      <c r="DS29" s="27"/>
      <c r="DT29" s="27"/>
      <c r="DU29" s="27"/>
      <c r="DV29" s="27"/>
      <c r="DW29" s="27"/>
      <c r="DX29" s="27"/>
      <c r="DY29" s="27"/>
      <c r="DZ29" s="27"/>
      <c r="EA29" s="27"/>
      <c r="EB29" s="27"/>
      <c r="EC29" s="27"/>
      <c r="ED29" s="27"/>
      <c r="EE29" s="27"/>
      <c r="EF29" s="27"/>
      <c r="EG29" s="27"/>
      <c r="EH29" s="27"/>
      <c r="EI29" s="27"/>
      <c r="EJ29" s="27"/>
      <c r="EK29" s="27"/>
      <c r="EL29" s="27"/>
      <c r="EM29" s="27"/>
      <c r="EN29" s="27"/>
      <c r="EO29" s="27"/>
      <c r="EP29" s="27"/>
      <c r="EQ29" s="27"/>
      <c r="ER29" s="27"/>
      <c r="ES29" s="27"/>
      <c r="ET29" s="27"/>
      <c r="EU29" s="27"/>
      <c r="EV29" s="27"/>
      <c r="EW29" s="27"/>
      <c r="EX29" s="27"/>
      <c r="EY29" s="27"/>
      <c r="EZ29" s="27"/>
      <c r="FA29" s="27"/>
      <c r="FB29" s="27"/>
      <c r="FC29" s="27"/>
      <c r="FD29" s="27"/>
      <c r="FE29" s="27"/>
      <c r="FF29" s="27"/>
      <c r="FG29" s="27"/>
      <c r="FH29" s="27"/>
      <c r="FI29" s="27"/>
      <c r="FJ29" s="27"/>
      <c r="FK29" s="27"/>
      <c r="FL29" s="27"/>
      <c r="FM29" s="27"/>
      <c r="FN29" s="27"/>
      <c r="FO29" s="27"/>
      <c r="FP29" s="27"/>
      <c r="FQ29" s="27"/>
      <c r="FR29" s="27"/>
      <c r="FS29" s="27"/>
      <c r="FT29" s="27"/>
      <c r="FU29" s="27"/>
      <c r="FV29" s="27"/>
      <c r="FW29" s="27"/>
      <c r="FX29" s="27"/>
      <c r="FY29" s="27"/>
      <c r="FZ29" s="27"/>
      <c r="GA29" s="27"/>
      <c r="GB29" s="27"/>
      <c r="GC29" s="27"/>
      <c r="GD29" s="27"/>
      <c r="GE29" s="27"/>
      <c r="GF29" s="27"/>
      <c r="GG29" s="27"/>
      <c r="GH29" s="27"/>
      <c r="GI29" s="27"/>
      <c r="GJ29" s="27"/>
      <c r="GK29" s="27"/>
      <c r="GL29" s="27"/>
      <c r="GM29" s="27"/>
      <c r="GN29" s="27"/>
      <c r="GO29" s="27"/>
      <c r="GP29" s="27"/>
      <c r="GQ29" s="27"/>
      <c r="GR29" s="27"/>
      <c r="GS29" s="27"/>
      <c r="GT29" s="27"/>
      <c r="GU29" s="27"/>
      <c r="GV29" s="27"/>
      <c r="GW29" s="27"/>
      <c r="GX29" s="27"/>
      <c r="GY29" s="27"/>
      <c r="GZ29" s="27"/>
      <c r="HA29" s="27"/>
      <c r="HB29" s="27"/>
      <c r="HC29" s="27"/>
      <c r="HD29" s="27"/>
      <c r="HE29" s="27"/>
      <c r="HF29" s="27"/>
      <c r="HG29" s="27"/>
      <c r="HH29" s="27"/>
      <c r="HI29" s="27"/>
      <c r="HJ29" s="27"/>
      <c r="HK29" s="27"/>
      <c r="HL29" s="27"/>
      <c r="HM29" s="27"/>
      <c r="HN29" s="27"/>
      <c r="HO29" s="27"/>
      <c r="HP29" s="27"/>
      <c r="HQ29" s="27"/>
      <c r="HR29" s="27"/>
      <c r="HS29" s="27"/>
      <c r="HT29" s="27"/>
      <c r="HU29" s="27"/>
      <c r="HV29" s="27"/>
      <c r="HW29" s="27"/>
      <c r="HX29" s="27"/>
      <c r="HY29" s="27"/>
      <c r="HZ29" s="27"/>
      <c r="IA29" s="27"/>
      <c r="IB29" s="27"/>
      <c r="IC29" s="27"/>
      <c r="ID29" s="27"/>
      <c r="IE29" s="27"/>
      <c r="IF29" s="27"/>
      <c r="IG29" s="27"/>
      <c r="IH29" s="27"/>
      <c r="II29" s="27"/>
      <c r="IJ29" s="27"/>
      <c r="IK29" s="27"/>
      <c r="IL29" s="27"/>
      <c r="IM29" s="27"/>
      <c r="IN29" s="27"/>
      <c r="IO29" s="27"/>
      <c r="IP29" s="27"/>
      <c r="IQ29" s="27"/>
      <c r="IR29" s="27"/>
      <c r="IS29" s="27"/>
    </row>
    <row r="30" spans="1:253" x14ac:dyDescent="0.25">
      <c r="A30" s="41"/>
      <c r="B30" s="40"/>
      <c r="C30" s="33"/>
      <c r="D30" s="39"/>
      <c r="E30" s="1730"/>
      <c r="F30" s="1731"/>
      <c r="G30" s="1731"/>
      <c r="H30" s="47"/>
      <c r="I30" s="1731"/>
      <c r="J30" s="48"/>
      <c r="K30" s="27"/>
      <c r="L30" s="27"/>
      <c r="M30" s="27"/>
      <c r="N30" s="27"/>
      <c r="O30" s="27"/>
      <c r="P30" s="27"/>
      <c r="Q30" s="27"/>
      <c r="R30" s="27"/>
      <c r="S30" s="27"/>
      <c r="T30" s="27"/>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27"/>
      <c r="AS30" s="27"/>
      <c r="AT30" s="27"/>
      <c r="AU30" s="27"/>
      <c r="AV30" s="27"/>
      <c r="AW30" s="27"/>
      <c r="AX30" s="27"/>
      <c r="AY30" s="27"/>
      <c r="AZ30" s="27"/>
      <c r="BA30" s="27"/>
      <c r="BB30" s="27"/>
      <c r="BC30" s="27"/>
      <c r="BD30" s="27"/>
      <c r="BE30" s="27"/>
      <c r="BF30" s="27"/>
      <c r="BG30" s="27"/>
      <c r="BH30" s="27"/>
      <c r="BI30" s="27"/>
      <c r="BJ30" s="27"/>
      <c r="BK30" s="27"/>
      <c r="BL30" s="27"/>
      <c r="BM30" s="27"/>
      <c r="BN30" s="27"/>
      <c r="BO30" s="27"/>
      <c r="BP30" s="27"/>
      <c r="BQ30" s="27"/>
      <c r="BR30" s="27"/>
      <c r="BS30" s="27"/>
      <c r="BT30" s="27"/>
      <c r="BU30" s="27"/>
      <c r="BV30" s="27"/>
      <c r="BW30" s="27"/>
      <c r="BX30" s="27"/>
      <c r="BY30" s="27"/>
      <c r="BZ30" s="27"/>
      <c r="CA30" s="27"/>
      <c r="CB30" s="27"/>
      <c r="CC30" s="27"/>
      <c r="CD30" s="27"/>
      <c r="CE30" s="27"/>
      <c r="CF30" s="27"/>
      <c r="CG30" s="27"/>
      <c r="CH30" s="27"/>
      <c r="CI30" s="27"/>
      <c r="CJ30" s="27"/>
      <c r="CK30" s="27"/>
      <c r="CL30" s="27"/>
      <c r="CM30" s="27"/>
      <c r="CN30" s="27"/>
      <c r="CO30" s="27"/>
      <c r="CP30" s="27"/>
      <c r="CQ30" s="27"/>
      <c r="CR30" s="27"/>
      <c r="CS30" s="27"/>
      <c r="CT30" s="27"/>
      <c r="CU30" s="27"/>
      <c r="CV30" s="27"/>
      <c r="CW30" s="27"/>
      <c r="CX30" s="27"/>
      <c r="CY30" s="27"/>
      <c r="CZ30" s="27"/>
      <c r="DA30" s="27"/>
      <c r="DB30" s="27"/>
      <c r="DC30" s="27"/>
      <c r="DD30" s="27"/>
      <c r="DE30" s="27"/>
      <c r="DF30" s="27"/>
      <c r="DG30" s="27"/>
      <c r="DH30" s="27"/>
      <c r="DI30" s="27"/>
      <c r="DJ30" s="27"/>
      <c r="DK30" s="27"/>
      <c r="DL30" s="27"/>
      <c r="DM30" s="27"/>
      <c r="DN30" s="27"/>
      <c r="DO30" s="27"/>
      <c r="DP30" s="27"/>
      <c r="DQ30" s="27"/>
      <c r="DR30" s="27"/>
      <c r="DS30" s="27"/>
      <c r="DT30" s="27"/>
      <c r="DU30" s="27"/>
      <c r="DV30" s="27"/>
      <c r="DW30" s="27"/>
      <c r="DX30" s="27"/>
      <c r="DY30" s="27"/>
      <c r="DZ30" s="27"/>
      <c r="EA30" s="27"/>
      <c r="EB30" s="27"/>
      <c r="EC30" s="27"/>
      <c r="ED30" s="27"/>
      <c r="EE30" s="27"/>
      <c r="EF30" s="27"/>
      <c r="EG30" s="27"/>
      <c r="EH30" s="27"/>
      <c r="EI30" s="27"/>
      <c r="EJ30" s="27"/>
      <c r="EK30" s="27"/>
      <c r="EL30" s="27"/>
      <c r="EM30" s="27"/>
      <c r="EN30" s="27"/>
      <c r="EO30" s="27"/>
      <c r="EP30" s="27"/>
      <c r="EQ30" s="27"/>
      <c r="ER30" s="27"/>
      <c r="ES30" s="27"/>
      <c r="ET30" s="27"/>
      <c r="EU30" s="27"/>
      <c r="EV30" s="27"/>
      <c r="EW30" s="27"/>
      <c r="EX30" s="27"/>
      <c r="EY30" s="27"/>
      <c r="EZ30" s="27"/>
      <c r="FA30" s="27"/>
      <c r="FB30" s="27"/>
      <c r="FC30" s="27"/>
      <c r="FD30" s="27"/>
      <c r="FE30" s="27"/>
      <c r="FF30" s="27"/>
      <c r="FG30" s="27"/>
      <c r="FH30" s="27"/>
      <c r="FI30" s="27"/>
      <c r="FJ30" s="27"/>
      <c r="FK30" s="27"/>
      <c r="FL30" s="27"/>
      <c r="FM30" s="27"/>
      <c r="FN30" s="27"/>
      <c r="FO30" s="27"/>
      <c r="FP30" s="27"/>
      <c r="FQ30" s="27"/>
      <c r="FR30" s="27"/>
      <c r="FS30" s="27"/>
      <c r="FT30" s="27"/>
      <c r="FU30" s="27"/>
      <c r="FV30" s="27"/>
      <c r="FW30" s="27"/>
      <c r="FX30" s="27"/>
      <c r="FY30" s="27"/>
      <c r="FZ30" s="27"/>
      <c r="GA30" s="27"/>
      <c r="GB30" s="27"/>
      <c r="GC30" s="27"/>
      <c r="GD30" s="27"/>
      <c r="GE30" s="27"/>
      <c r="GF30" s="27"/>
      <c r="GG30" s="27"/>
      <c r="GH30" s="27"/>
      <c r="GI30" s="27"/>
      <c r="GJ30" s="27"/>
      <c r="GK30" s="27"/>
      <c r="GL30" s="27"/>
      <c r="GM30" s="27"/>
      <c r="GN30" s="27"/>
      <c r="GO30" s="27"/>
      <c r="GP30" s="27"/>
      <c r="GQ30" s="27"/>
      <c r="GR30" s="27"/>
      <c r="GS30" s="27"/>
      <c r="GT30" s="27"/>
      <c r="GU30" s="27"/>
      <c r="GV30" s="27"/>
      <c r="GW30" s="27"/>
      <c r="GX30" s="27"/>
      <c r="GY30" s="27"/>
      <c r="GZ30" s="27"/>
      <c r="HA30" s="27"/>
      <c r="HB30" s="27"/>
      <c r="HC30" s="27"/>
      <c r="HD30" s="27"/>
      <c r="HE30" s="27"/>
      <c r="HF30" s="27"/>
      <c r="HG30" s="27"/>
      <c r="HH30" s="27"/>
      <c r="HI30" s="27"/>
      <c r="HJ30" s="27"/>
      <c r="HK30" s="27"/>
      <c r="HL30" s="27"/>
      <c r="HM30" s="27"/>
      <c r="HN30" s="27"/>
      <c r="HO30" s="27"/>
      <c r="HP30" s="27"/>
      <c r="HQ30" s="27"/>
      <c r="HR30" s="27"/>
      <c r="HS30" s="27"/>
      <c r="HT30" s="27"/>
      <c r="HU30" s="27"/>
      <c r="HV30" s="27"/>
      <c r="HW30" s="27"/>
      <c r="HX30" s="27"/>
      <c r="HY30" s="27"/>
      <c r="HZ30" s="27"/>
      <c r="IA30" s="27"/>
      <c r="IB30" s="27"/>
      <c r="IC30" s="27"/>
      <c r="ID30" s="27"/>
      <c r="IE30" s="27"/>
      <c r="IF30" s="27"/>
      <c r="IG30" s="27"/>
      <c r="IH30" s="27"/>
      <c r="II30" s="27"/>
      <c r="IJ30" s="27"/>
      <c r="IK30" s="27"/>
      <c r="IL30" s="27"/>
      <c r="IM30" s="27"/>
      <c r="IN30" s="27"/>
      <c r="IO30" s="27"/>
      <c r="IP30" s="27"/>
      <c r="IQ30" s="27"/>
      <c r="IR30" s="27"/>
      <c r="IS30" s="27"/>
    </row>
    <row r="31" spans="1:253" x14ac:dyDescent="0.25">
      <c r="A31" s="49" t="s">
        <v>153</v>
      </c>
      <c r="B31" s="39" t="s">
        <v>103</v>
      </c>
      <c r="C31" s="33"/>
      <c r="D31" s="33"/>
      <c r="E31" s="1723"/>
      <c r="F31" s="1726"/>
      <c r="G31" s="1726"/>
      <c r="H31" s="683"/>
      <c r="I31" s="1726"/>
      <c r="J31" s="44"/>
      <c r="K31" s="27"/>
      <c r="L31" s="27"/>
      <c r="M31" s="27"/>
      <c r="N31" s="27"/>
      <c r="O31" s="27"/>
      <c r="P31" s="27"/>
      <c r="Q31" s="27"/>
      <c r="R31" s="27"/>
      <c r="S31" s="27"/>
      <c r="T31" s="27"/>
      <c r="U31" s="27"/>
      <c r="V31" s="27"/>
      <c r="W31" s="27"/>
      <c r="X31" s="27"/>
      <c r="Y31" s="27"/>
      <c r="Z31" s="27"/>
      <c r="AA31" s="27"/>
      <c r="AB31" s="27"/>
      <c r="AC31" s="27"/>
      <c r="AD31" s="27"/>
      <c r="AE31" s="27"/>
      <c r="AF31" s="27"/>
      <c r="AG31" s="27"/>
      <c r="AH31" s="27"/>
      <c r="AI31" s="27"/>
      <c r="AJ31" s="27"/>
      <c r="AK31" s="27"/>
      <c r="AL31" s="27"/>
      <c r="AM31" s="27"/>
      <c r="AN31" s="27"/>
      <c r="AO31" s="27"/>
      <c r="AP31" s="27"/>
      <c r="AQ31" s="27"/>
      <c r="AR31" s="27"/>
      <c r="AS31" s="27"/>
      <c r="AT31" s="27"/>
      <c r="AU31" s="27"/>
      <c r="AV31" s="27"/>
      <c r="AW31" s="27"/>
      <c r="AX31" s="27"/>
      <c r="AY31" s="27"/>
      <c r="AZ31" s="27"/>
      <c r="BA31" s="27"/>
      <c r="BB31" s="27"/>
      <c r="BC31" s="27"/>
      <c r="BD31" s="27"/>
      <c r="BE31" s="27"/>
      <c r="BF31" s="27"/>
      <c r="BG31" s="27"/>
      <c r="BH31" s="27"/>
      <c r="BI31" s="27"/>
      <c r="BJ31" s="27"/>
      <c r="BK31" s="27"/>
      <c r="BL31" s="27"/>
      <c r="BM31" s="27"/>
      <c r="BN31" s="27"/>
      <c r="BO31" s="27"/>
      <c r="BP31" s="27"/>
      <c r="BQ31" s="27"/>
      <c r="BR31" s="27"/>
      <c r="BS31" s="27"/>
      <c r="BT31" s="27"/>
      <c r="BU31" s="27"/>
      <c r="BV31" s="27"/>
      <c r="BW31" s="27"/>
      <c r="BX31" s="27"/>
      <c r="BY31" s="27"/>
      <c r="BZ31" s="27"/>
      <c r="CA31" s="27"/>
      <c r="CB31" s="27"/>
      <c r="CC31" s="27"/>
      <c r="CD31" s="27"/>
      <c r="CE31" s="27"/>
      <c r="CF31" s="27"/>
      <c r="CG31" s="27"/>
      <c r="CH31" s="27"/>
      <c r="CI31" s="27"/>
      <c r="CJ31" s="27"/>
      <c r="CK31" s="27"/>
      <c r="CL31" s="27"/>
      <c r="CM31" s="27"/>
      <c r="CN31" s="27"/>
      <c r="CO31" s="27"/>
      <c r="CP31" s="27"/>
      <c r="CQ31" s="27"/>
      <c r="CR31" s="27"/>
      <c r="CS31" s="27"/>
      <c r="CT31" s="27"/>
      <c r="CU31" s="27"/>
      <c r="CV31" s="27"/>
      <c r="CW31" s="27"/>
      <c r="CX31" s="27"/>
      <c r="CY31" s="27"/>
      <c r="CZ31" s="27"/>
      <c r="DA31" s="27"/>
      <c r="DB31" s="27"/>
      <c r="DC31" s="27"/>
      <c r="DD31" s="27"/>
      <c r="DE31" s="27"/>
      <c r="DF31" s="27"/>
      <c r="DG31" s="27"/>
      <c r="DH31" s="27"/>
      <c r="DI31" s="27"/>
      <c r="DJ31" s="27"/>
      <c r="DK31" s="27"/>
      <c r="DL31" s="27"/>
      <c r="DM31" s="27"/>
      <c r="DN31" s="27"/>
      <c r="DO31" s="27"/>
      <c r="DP31" s="27"/>
      <c r="DQ31" s="27"/>
      <c r="DR31" s="27"/>
      <c r="DS31" s="27"/>
      <c r="DT31" s="27"/>
      <c r="DU31" s="27"/>
      <c r="DV31" s="27"/>
      <c r="DW31" s="27"/>
      <c r="DX31" s="27"/>
      <c r="DY31" s="27"/>
      <c r="DZ31" s="27"/>
      <c r="EA31" s="27"/>
      <c r="EB31" s="27"/>
      <c r="EC31" s="27"/>
      <c r="ED31" s="27"/>
      <c r="EE31" s="27"/>
      <c r="EF31" s="27"/>
      <c r="EG31" s="27"/>
      <c r="EH31" s="27"/>
      <c r="EI31" s="27"/>
      <c r="EJ31" s="27"/>
      <c r="EK31" s="27"/>
      <c r="EL31" s="27"/>
      <c r="EM31" s="27"/>
      <c r="EN31" s="27"/>
      <c r="EO31" s="27"/>
      <c r="EP31" s="27"/>
      <c r="EQ31" s="27"/>
      <c r="ER31" s="27"/>
      <c r="ES31" s="27"/>
      <c r="ET31" s="27"/>
      <c r="EU31" s="27"/>
      <c r="EV31" s="27"/>
      <c r="EW31" s="27"/>
      <c r="EX31" s="27"/>
      <c r="EY31" s="27"/>
      <c r="EZ31" s="27"/>
      <c r="FA31" s="27"/>
      <c r="FB31" s="27"/>
      <c r="FC31" s="27"/>
      <c r="FD31" s="27"/>
      <c r="FE31" s="27"/>
      <c r="FF31" s="27"/>
      <c r="FG31" s="27"/>
      <c r="FH31" s="27"/>
      <c r="FI31" s="27"/>
      <c r="FJ31" s="27"/>
      <c r="FK31" s="27"/>
      <c r="FL31" s="27"/>
      <c r="FM31" s="27"/>
      <c r="FN31" s="27"/>
      <c r="FO31" s="27"/>
      <c r="FP31" s="27"/>
      <c r="FQ31" s="27"/>
      <c r="FR31" s="27"/>
      <c r="FS31" s="27"/>
      <c r="FT31" s="27"/>
      <c r="FU31" s="27"/>
      <c r="FV31" s="27"/>
      <c r="FW31" s="27"/>
      <c r="FX31" s="27"/>
      <c r="FY31" s="27"/>
      <c r="FZ31" s="27"/>
      <c r="GA31" s="27"/>
      <c r="GB31" s="27"/>
      <c r="GC31" s="27"/>
      <c r="GD31" s="27"/>
      <c r="GE31" s="27"/>
      <c r="GF31" s="27"/>
      <c r="GG31" s="27"/>
      <c r="GH31" s="27"/>
      <c r="GI31" s="27"/>
      <c r="GJ31" s="27"/>
      <c r="GK31" s="27"/>
      <c r="GL31" s="27"/>
      <c r="GM31" s="27"/>
      <c r="GN31" s="27"/>
      <c r="GO31" s="27"/>
      <c r="GP31" s="27"/>
      <c r="GQ31" s="27"/>
      <c r="GR31" s="27"/>
      <c r="GS31" s="27"/>
      <c r="GT31" s="27"/>
      <c r="GU31" s="27"/>
      <c r="GV31" s="27"/>
      <c r="GW31" s="27"/>
      <c r="GX31" s="27"/>
      <c r="GY31" s="27"/>
      <c r="GZ31" s="27"/>
      <c r="HA31" s="27"/>
      <c r="HB31" s="27"/>
      <c r="HC31" s="27"/>
      <c r="HD31" s="27"/>
      <c r="HE31" s="27"/>
      <c r="HF31" s="27"/>
      <c r="HG31" s="27"/>
      <c r="HH31" s="27"/>
      <c r="HI31" s="27"/>
      <c r="HJ31" s="27"/>
      <c r="HK31" s="27"/>
      <c r="HL31" s="27"/>
      <c r="HM31" s="27"/>
      <c r="HN31" s="27"/>
      <c r="HO31" s="27"/>
      <c r="HP31" s="27"/>
      <c r="HQ31" s="27"/>
      <c r="HR31" s="27"/>
      <c r="HS31" s="27"/>
      <c r="HT31" s="27"/>
      <c r="HU31" s="27"/>
      <c r="HV31" s="27"/>
      <c r="HW31" s="27"/>
      <c r="HX31" s="27"/>
      <c r="HY31" s="27"/>
      <c r="HZ31" s="27"/>
      <c r="IA31" s="27"/>
      <c r="IB31" s="27"/>
      <c r="IC31" s="27"/>
      <c r="ID31" s="27"/>
      <c r="IE31" s="27"/>
      <c r="IF31" s="27"/>
      <c r="IG31" s="27"/>
      <c r="IH31" s="27"/>
      <c r="II31" s="27"/>
      <c r="IJ31" s="27"/>
      <c r="IK31" s="27"/>
      <c r="IL31" s="27"/>
      <c r="IM31" s="27"/>
      <c r="IN31" s="27"/>
      <c r="IO31" s="27"/>
      <c r="IP31" s="27"/>
      <c r="IQ31" s="27"/>
      <c r="IR31" s="27"/>
      <c r="IS31" s="27"/>
    </row>
    <row r="32" spans="1:253" x14ac:dyDescent="0.25">
      <c r="A32" s="41"/>
      <c r="B32" s="33" t="s">
        <v>1402</v>
      </c>
      <c r="C32" s="33"/>
      <c r="D32" s="33"/>
      <c r="E32" s="1723"/>
      <c r="F32" s="1726">
        <f>+D_DIRECTO!I36</f>
        <v>54485.16</v>
      </c>
      <c r="G32" s="1723">
        <f>+D_DIRECTO!I37</f>
        <v>-643.35934428565088</v>
      </c>
      <c r="H32" s="683">
        <f t="shared" ref="H32:H33" si="0">SUM(F32:G32)</f>
        <v>53841.800655714353</v>
      </c>
      <c r="I32" s="1726"/>
      <c r="J32" s="44"/>
      <c r="K32" s="27"/>
      <c r="L32" s="27"/>
      <c r="M32" s="27"/>
      <c r="N32" s="27"/>
      <c r="O32" s="27"/>
      <c r="P32" s="27"/>
      <c r="Q32" s="27"/>
      <c r="R32" s="27"/>
      <c r="S32" s="27"/>
      <c r="T32" s="27"/>
      <c r="U32" s="27"/>
      <c r="V32" s="27"/>
      <c r="W32" s="27"/>
      <c r="X32" s="27"/>
      <c r="Y32" s="27"/>
      <c r="Z32" s="27"/>
      <c r="AA32" s="27"/>
      <c r="AB32" s="27"/>
      <c r="AC32" s="27"/>
      <c r="AD32" s="27"/>
      <c r="AE32" s="27"/>
      <c r="AF32" s="27"/>
      <c r="AG32" s="27"/>
      <c r="AH32" s="27"/>
      <c r="AI32" s="27"/>
      <c r="AJ32" s="27"/>
      <c r="AK32" s="27"/>
      <c r="AL32" s="27"/>
      <c r="AM32" s="27"/>
      <c r="AN32" s="27"/>
      <c r="AO32" s="27"/>
      <c r="AP32" s="27"/>
      <c r="AQ32" s="27"/>
      <c r="AR32" s="27"/>
      <c r="AS32" s="27"/>
      <c r="AT32" s="27"/>
      <c r="AU32" s="27"/>
      <c r="AV32" s="27"/>
      <c r="AW32" s="27"/>
      <c r="AX32" s="27"/>
      <c r="AY32" s="27"/>
      <c r="AZ32" s="27"/>
      <c r="BA32" s="27"/>
      <c r="BB32" s="27"/>
      <c r="BC32" s="27"/>
      <c r="BD32" s="27"/>
      <c r="BE32" s="27"/>
      <c r="BF32" s="27"/>
      <c r="BG32" s="27"/>
      <c r="BH32" s="27"/>
      <c r="BI32" s="27"/>
      <c r="BJ32" s="27"/>
      <c r="BK32" s="27"/>
      <c r="BL32" s="27"/>
      <c r="BM32" s="27"/>
      <c r="BN32" s="27"/>
      <c r="BO32" s="27"/>
      <c r="BP32" s="27"/>
      <c r="BQ32" s="27"/>
      <c r="BR32" s="27"/>
      <c r="BS32" s="27"/>
      <c r="BT32" s="27"/>
      <c r="BU32" s="27"/>
      <c r="BV32" s="27"/>
      <c r="BW32" s="27"/>
      <c r="BX32" s="27"/>
      <c r="BY32" s="27"/>
      <c r="BZ32" s="27"/>
      <c r="CA32" s="27"/>
      <c r="CB32" s="27"/>
      <c r="CC32" s="27"/>
      <c r="CD32" s="27"/>
      <c r="CE32" s="27"/>
      <c r="CF32" s="27"/>
      <c r="CG32" s="27"/>
      <c r="CH32" s="27"/>
      <c r="CI32" s="27"/>
      <c r="CJ32" s="27"/>
      <c r="CK32" s="27"/>
      <c r="CL32" s="27"/>
      <c r="CM32" s="27"/>
      <c r="CN32" s="27"/>
      <c r="CO32" s="27"/>
      <c r="CP32" s="27"/>
      <c r="CQ32" s="27"/>
      <c r="CR32" s="27"/>
      <c r="CS32" s="27"/>
      <c r="CT32" s="27"/>
      <c r="CU32" s="27"/>
      <c r="CV32" s="27"/>
      <c r="CW32" s="27"/>
      <c r="CX32" s="27"/>
      <c r="CY32" s="27"/>
      <c r="CZ32" s="27"/>
      <c r="DA32" s="27"/>
      <c r="DB32" s="27"/>
      <c r="DC32" s="27"/>
      <c r="DD32" s="27"/>
      <c r="DE32" s="27"/>
      <c r="DF32" s="27"/>
      <c r="DG32" s="27"/>
      <c r="DH32" s="27"/>
      <c r="DI32" s="27"/>
      <c r="DJ32" s="27"/>
      <c r="DK32" s="27"/>
      <c r="DL32" s="27"/>
      <c r="DM32" s="27"/>
      <c r="DN32" s="27"/>
      <c r="DO32" s="27"/>
      <c r="DP32" s="27"/>
      <c r="DQ32" s="27"/>
      <c r="DR32" s="27"/>
      <c r="DS32" s="27"/>
      <c r="DT32" s="27"/>
      <c r="DU32" s="27"/>
      <c r="DV32" s="27"/>
      <c r="DW32" s="27"/>
      <c r="DX32" s="27"/>
      <c r="DY32" s="27"/>
      <c r="DZ32" s="27"/>
      <c r="EA32" s="27"/>
      <c r="EB32" s="27"/>
      <c r="EC32" s="27"/>
      <c r="ED32" s="27"/>
      <c r="EE32" s="27"/>
      <c r="EF32" s="27"/>
      <c r="EG32" s="27"/>
      <c r="EH32" s="27"/>
      <c r="EI32" s="27"/>
      <c r="EJ32" s="27"/>
      <c r="EK32" s="27"/>
      <c r="EL32" s="27"/>
      <c r="EM32" s="27"/>
      <c r="EN32" s="27"/>
      <c r="EO32" s="27"/>
      <c r="EP32" s="27"/>
      <c r="EQ32" s="27"/>
      <c r="ER32" s="27"/>
      <c r="ES32" s="27"/>
      <c r="ET32" s="27"/>
      <c r="EU32" s="27"/>
      <c r="EV32" s="27"/>
      <c r="EW32" s="27"/>
      <c r="EX32" s="27"/>
      <c r="EY32" s="27"/>
      <c r="EZ32" s="27"/>
      <c r="FA32" s="27"/>
      <c r="FB32" s="27"/>
      <c r="FC32" s="27"/>
      <c r="FD32" s="27"/>
      <c r="FE32" s="27"/>
      <c r="FF32" s="27"/>
      <c r="FG32" s="27"/>
      <c r="FH32" s="27"/>
      <c r="FI32" s="27"/>
      <c r="FJ32" s="27"/>
      <c r="FK32" s="27"/>
      <c r="FL32" s="27"/>
      <c r="FM32" s="27"/>
      <c r="FN32" s="27"/>
      <c r="FO32" s="27"/>
      <c r="FP32" s="27"/>
      <c r="FQ32" s="27"/>
      <c r="FR32" s="27"/>
      <c r="FS32" s="27"/>
      <c r="FT32" s="27"/>
      <c r="FU32" s="27"/>
      <c r="FV32" s="27"/>
      <c r="FW32" s="27"/>
      <c r="FX32" s="27"/>
      <c r="FY32" s="27"/>
      <c r="FZ32" s="27"/>
      <c r="GA32" s="27"/>
      <c r="GB32" s="27"/>
      <c r="GC32" s="27"/>
      <c r="GD32" s="27"/>
      <c r="GE32" s="27"/>
      <c r="GF32" s="27"/>
      <c r="GG32" s="27"/>
      <c r="GH32" s="27"/>
      <c r="GI32" s="27"/>
      <c r="GJ32" s="27"/>
      <c r="GK32" s="27"/>
      <c r="GL32" s="27"/>
      <c r="GM32" s="27"/>
      <c r="GN32" s="27"/>
      <c r="GO32" s="27"/>
      <c r="GP32" s="27"/>
      <c r="GQ32" s="27"/>
      <c r="GR32" s="27"/>
      <c r="GS32" s="27"/>
      <c r="GT32" s="27"/>
      <c r="GU32" s="27"/>
      <c r="GV32" s="27"/>
      <c r="GW32" s="27"/>
      <c r="GX32" s="27"/>
      <c r="GY32" s="27"/>
      <c r="GZ32" s="27"/>
      <c r="HA32" s="27"/>
      <c r="HB32" s="27"/>
      <c r="HC32" s="27"/>
      <c r="HD32" s="27"/>
      <c r="HE32" s="27"/>
      <c r="HF32" s="27"/>
      <c r="HG32" s="27"/>
      <c r="HH32" s="27"/>
      <c r="HI32" s="27"/>
      <c r="HJ32" s="27"/>
      <c r="HK32" s="27"/>
      <c r="HL32" s="27"/>
      <c r="HM32" s="27"/>
      <c r="HN32" s="27"/>
      <c r="HO32" s="27"/>
      <c r="HP32" s="27"/>
      <c r="HQ32" s="27"/>
      <c r="HR32" s="27"/>
      <c r="HS32" s="27"/>
      <c r="HT32" s="27"/>
      <c r="HU32" s="27"/>
      <c r="HV32" s="27"/>
      <c r="HW32" s="27"/>
      <c r="HX32" s="27"/>
      <c r="HY32" s="27"/>
      <c r="HZ32" s="27"/>
      <c r="IA32" s="27"/>
      <c r="IB32" s="27"/>
      <c r="IC32" s="27"/>
      <c r="ID32" s="27"/>
      <c r="IE32" s="27"/>
      <c r="IF32" s="27"/>
      <c r="IG32" s="27"/>
      <c r="IH32" s="27"/>
      <c r="II32" s="27"/>
      <c r="IJ32" s="27"/>
      <c r="IK32" s="27"/>
      <c r="IL32" s="27"/>
      <c r="IM32" s="27"/>
      <c r="IN32" s="27"/>
      <c r="IO32" s="27"/>
      <c r="IP32" s="27"/>
      <c r="IQ32" s="27"/>
      <c r="IR32" s="27"/>
      <c r="IS32" s="27"/>
    </row>
    <row r="33" spans="1:253" x14ac:dyDescent="0.25">
      <c r="A33" s="41"/>
      <c r="B33" s="75" t="s">
        <v>301</v>
      </c>
      <c r="C33" s="33"/>
      <c r="D33" s="33"/>
      <c r="E33" s="1723"/>
      <c r="F33" s="1723">
        <f>+D_MAT!M91</f>
        <v>-81657.77</v>
      </c>
      <c r="G33" s="1723">
        <f>+D_MAT!M92</f>
        <v>-12887.779999999999</v>
      </c>
      <c r="H33" s="683">
        <f t="shared" si="0"/>
        <v>-94545.55</v>
      </c>
      <c r="I33" s="1726"/>
      <c r="J33" s="44"/>
      <c r="K33" s="168"/>
      <c r="L33" s="27"/>
      <c r="M33" s="140"/>
      <c r="N33" s="27"/>
      <c r="O33" s="27"/>
      <c r="P33" s="27"/>
      <c r="Q33" s="27"/>
      <c r="R33" s="27"/>
      <c r="S33" s="27"/>
      <c r="T33" s="27"/>
      <c r="U33" s="27"/>
      <c r="V33" s="27"/>
      <c r="W33" s="27"/>
      <c r="X33" s="27"/>
      <c r="Y33" s="27"/>
      <c r="Z33" s="27"/>
      <c r="AA33" s="27"/>
      <c r="AB33" s="27"/>
      <c r="AC33" s="27"/>
      <c r="AD33" s="27"/>
      <c r="AE33" s="27"/>
      <c r="AF33" s="27"/>
      <c r="AG33" s="27"/>
      <c r="AH33" s="27"/>
      <c r="AI33" s="27"/>
      <c r="AJ33" s="27"/>
      <c r="AK33" s="27"/>
      <c r="AL33" s="27"/>
      <c r="AM33" s="27"/>
      <c r="AN33" s="27"/>
      <c r="AO33" s="27"/>
      <c r="AP33" s="27"/>
      <c r="AQ33" s="27"/>
      <c r="AR33" s="27"/>
      <c r="AS33" s="27"/>
      <c r="AT33" s="27"/>
      <c r="AU33" s="27"/>
      <c r="AV33" s="27"/>
      <c r="AW33" s="27"/>
      <c r="AX33" s="27"/>
      <c r="AY33" s="27"/>
      <c r="AZ33" s="27"/>
      <c r="BA33" s="27"/>
      <c r="BB33" s="27"/>
      <c r="BC33" s="27"/>
      <c r="BD33" s="27"/>
      <c r="BE33" s="27"/>
      <c r="BF33" s="27"/>
      <c r="BG33" s="27"/>
      <c r="BH33" s="27"/>
      <c r="BI33" s="27"/>
      <c r="BJ33" s="27"/>
      <c r="BK33" s="27"/>
      <c r="BL33" s="27"/>
      <c r="BM33" s="27"/>
      <c r="BN33" s="27"/>
      <c r="BO33" s="27"/>
      <c r="BP33" s="27"/>
      <c r="BQ33" s="27"/>
      <c r="BR33" s="27"/>
      <c r="BS33" s="27"/>
      <c r="BT33" s="27"/>
      <c r="BU33" s="27"/>
      <c r="BV33" s="27"/>
      <c r="BW33" s="27"/>
      <c r="BX33" s="27"/>
      <c r="BY33" s="27"/>
      <c r="BZ33" s="27"/>
      <c r="CA33" s="27"/>
      <c r="CB33" s="27"/>
      <c r="CC33" s="27"/>
      <c r="CD33" s="27"/>
      <c r="CE33" s="27"/>
      <c r="CF33" s="27"/>
      <c r="CG33" s="27"/>
      <c r="CH33" s="27"/>
      <c r="CI33" s="27"/>
      <c r="CJ33" s="27"/>
      <c r="CK33" s="27"/>
      <c r="CL33" s="27"/>
      <c r="CM33" s="27"/>
      <c r="CN33" s="27"/>
      <c r="CO33" s="27"/>
      <c r="CP33" s="27"/>
      <c r="CQ33" s="27"/>
      <c r="CR33" s="27"/>
      <c r="CS33" s="27"/>
      <c r="CT33" s="27"/>
      <c r="CU33" s="27"/>
      <c r="CV33" s="27"/>
      <c r="CW33" s="27"/>
      <c r="CX33" s="27"/>
      <c r="CY33" s="27"/>
      <c r="CZ33" s="27"/>
      <c r="DA33" s="27"/>
      <c r="DB33" s="27"/>
      <c r="DC33" s="27"/>
      <c r="DD33" s="27"/>
      <c r="DE33" s="27"/>
      <c r="DF33" s="27"/>
      <c r="DG33" s="27"/>
      <c r="DH33" s="27"/>
      <c r="DI33" s="27"/>
      <c r="DJ33" s="27"/>
      <c r="DK33" s="27"/>
      <c r="DL33" s="27"/>
      <c r="DM33" s="27"/>
      <c r="DN33" s="27"/>
      <c r="DO33" s="27"/>
      <c r="DP33" s="27"/>
      <c r="DQ33" s="27"/>
      <c r="DR33" s="27"/>
      <c r="DS33" s="27"/>
      <c r="DT33" s="27"/>
      <c r="DU33" s="27"/>
      <c r="DV33" s="27"/>
      <c r="DW33" s="27"/>
      <c r="DX33" s="27"/>
      <c r="DY33" s="27"/>
      <c r="DZ33" s="27"/>
      <c r="EA33" s="27"/>
      <c r="EB33" s="27"/>
      <c r="EC33" s="27"/>
      <c r="ED33" s="27"/>
      <c r="EE33" s="27"/>
      <c r="EF33" s="27"/>
      <c r="EG33" s="27"/>
      <c r="EH33" s="27"/>
      <c r="EI33" s="27"/>
      <c r="EJ33" s="27"/>
      <c r="EK33" s="27"/>
      <c r="EL33" s="27"/>
      <c r="EM33" s="27"/>
      <c r="EN33" s="27"/>
      <c r="EO33" s="27"/>
      <c r="EP33" s="27"/>
      <c r="EQ33" s="27"/>
      <c r="ER33" s="27"/>
      <c r="ES33" s="27"/>
      <c r="ET33" s="27"/>
      <c r="EU33" s="27"/>
      <c r="EV33" s="27"/>
      <c r="EW33" s="27"/>
      <c r="EX33" s="27"/>
      <c r="EY33" s="27"/>
      <c r="EZ33" s="27"/>
      <c r="FA33" s="27"/>
      <c r="FB33" s="27"/>
      <c r="FC33" s="27"/>
      <c r="FD33" s="27"/>
      <c r="FE33" s="27"/>
      <c r="FF33" s="27"/>
      <c r="FG33" s="27"/>
      <c r="FH33" s="27"/>
      <c r="FI33" s="27"/>
      <c r="FJ33" s="27"/>
      <c r="FK33" s="27"/>
      <c r="FL33" s="27"/>
      <c r="FM33" s="27"/>
      <c r="FN33" s="27"/>
      <c r="FO33" s="27"/>
      <c r="FP33" s="27"/>
      <c r="FQ33" s="27"/>
      <c r="FR33" s="27"/>
      <c r="FS33" s="27"/>
      <c r="FT33" s="27"/>
      <c r="FU33" s="27"/>
      <c r="FV33" s="27"/>
      <c r="FW33" s="27"/>
      <c r="FX33" s="27"/>
      <c r="FY33" s="27"/>
      <c r="FZ33" s="27"/>
      <c r="GA33" s="27"/>
      <c r="GB33" s="27"/>
      <c r="GC33" s="27"/>
      <c r="GD33" s="27"/>
      <c r="GE33" s="27"/>
      <c r="GF33" s="27"/>
      <c r="GG33" s="27"/>
      <c r="GH33" s="27"/>
      <c r="GI33" s="27"/>
      <c r="GJ33" s="27"/>
      <c r="GK33" s="27"/>
      <c r="GL33" s="27"/>
      <c r="GM33" s="27"/>
      <c r="GN33" s="27"/>
      <c r="GO33" s="27"/>
      <c r="GP33" s="27"/>
      <c r="GQ33" s="27"/>
      <c r="GR33" s="27"/>
      <c r="GS33" s="27"/>
      <c r="GT33" s="27"/>
      <c r="GU33" s="27"/>
      <c r="GV33" s="27"/>
      <c r="GW33" s="27"/>
      <c r="GX33" s="27"/>
      <c r="GY33" s="27"/>
      <c r="GZ33" s="27"/>
      <c r="HA33" s="27"/>
      <c r="HB33" s="27"/>
      <c r="HC33" s="27"/>
      <c r="HD33" s="27"/>
      <c r="HE33" s="27"/>
      <c r="HF33" s="27"/>
      <c r="HG33" s="27"/>
      <c r="HH33" s="27"/>
      <c r="HI33" s="27"/>
      <c r="HJ33" s="27"/>
      <c r="HK33" s="27"/>
      <c r="HL33" s="27"/>
      <c r="HM33" s="27"/>
      <c r="HN33" s="27"/>
      <c r="HO33" s="27"/>
      <c r="HP33" s="27"/>
      <c r="HQ33" s="27"/>
      <c r="HR33" s="27"/>
      <c r="HS33" s="27"/>
      <c r="HT33" s="27"/>
      <c r="HU33" s="27"/>
      <c r="HV33" s="27"/>
      <c r="HW33" s="27"/>
      <c r="HX33" s="27"/>
      <c r="HY33" s="27"/>
      <c r="HZ33" s="27"/>
      <c r="IA33" s="27"/>
      <c r="IB33" s="27"/>
      <c r="IC33" s="27"/>
      <c r="ID33" s="27"/>
      <c r="IE33" s="27"/>
      <c r="IF33" s="27"/>
      <c r="IG33" s="27"/>
      <c r="IH33" s="27"/>
      <c r="II33" s="27"/>
      <c r="IJ33" s="27"/>
      <c r="IK33" s="27"/>
      <c r="IL33" s="27"/>
      <c r="IM33" s="27"/>
      <c r="IN33" s="27"/>
      <c r="IO33" s="27"/>
      <c r="IP33" s="27"/>
      <c r="IQ33" s="27"/>
      <c r="IR33" s="27"/>
      <c r="IS33" s="27"/>
    </row>
    <row r="34" spans="1:253" x14ac:dyDescent="0.25">
      <c r="A34" s="41"/>
      <c r="B34" s="75"/>
      <c r="C34" s="33"/>
      <c r="D34" s="33"/>
      <c r="E34" s="1723"/>
      <c r="F34" s="46"/>
      <c r="G34" s="74"/>
      <c r="H34" s="46"/>
      <c r="I34" s="1726"/>
      <c r="J34" s="44"/>
      <c r="K34" s="27"/>
      <c r="L34" s="27"/>
      <c r="M34" s="27"/>
      <c r="N34" s="27"/>
      <c r="O34" s="27"/>
      <c r="P34" s="27"/>
      <c r="Q34" s="27"/>
      <c r="R34" s="27"/>
      <c r="S34" s="27"/>
      <c r="T34" s="27"/>
      <c r="U34" s="27"/>
      <c r="V34" s="27"/>
      <c r="W34" s="27"/>
      <c r="X34" s="27"/>
      <c r="Y34" s="27"/>
      <c r="Z34" s="27"/>
      <c r="AA34" s="27"/>
      <c r="AB34" s="27"/>
      <c r="AC34" s="27"/>
      <c r="AD34" s="27"/>
      <c r="AE34" s="27"/>
      <c r="AF34" s="27"/>
      <c r="AG34" s="27"/>
      <c r="AH34" s="27"/>
      <c r="AI34" s="27"/>
      <c r="AJ34" s="27"/>
      <c r="AK34" s="27"/>
      <c r="AL34" s="27"/>
      <c r="AM34" s="27"/>
      <c r="AN34" s="27"/>
      <c r="AO34" s="27"/>
      <c r="AP34" s="27"/>
      <c r="AQ34" s="27"/>
      <c r="AR34" s="27"/>
      <c r="AS34" s="27"/>
      <c r="AT34" s="27"/>
      <c r="AU34" s="27"/>
      <c r="AV34" s="27"/>
      <c r="AW34" s="27"/>
      <c r="AX34" s="27"/>
      <c r="AY34" s="27"/>
      <c r="AZ34" s="27"/>
      <c r="BA34" s="27"/>
      <c r="BB34" s="27"/>
      <c r="BC34" s="27"/>
      <c r="BD34" s="27"/>
      <c r="BE34" s="27"/>
      <c r="BF34" s="27"/>
      <c r="BG34" s="27"/>
      <c r="BH34" s="27"/>
      <c r="BI34" s="27"/>
      <c r="BJ34" s="27"/>
      <c r="BK34" s="27"/>
      <c r="BL34" s="27"/>
      <c r="BM34" s="27"/>
      <c r="BN34" s="27"/>
      <c r="BO34" s="27"/>
      <c r="BP34" s="27"/>
      <c r="BQ34" s="27"/>
      <c r="BR34" s="27"/>
      <c r="BS34" s="27"/>
      <c r="BT34" s="27"/>
      <c r="BU34" s="27"/>
      <c r="BV34" s="27"/>
      <c r="BW34" s="27"/>
      <c r="BX34" s="27"/>
      <c r="BY34" s="27"/>
      <c r="BZ34" s="27"/>
      <c r="CA34" s="27"/>
      <c r="CB34" s="27"/>
      <c r="CC34" s="27"/>
      <c r="CD34" s="27"/>
      <c r="CE34" s="27"/>
      <c r="CF34" s="27"/>
      <c r="CG34" s="27"/>
      <c r="CH34" s="27"/>
      <c r="CI34" s="27"/>
      <c r="CJ34" s="27"/>
      <c r="CK34" s="27"/>
      <c r="CL34" s="27"/>
      <c r="CM34" s="27"/>
      <c r="CN34" s="27"/>
      <c r="CO34" s="27"/>
      <c r="CP34" s="27"/>
      <c r="CQ34" s="27"/>
      <c r="CR34" s="27"/>
      <c r="CS34" s="27"/>
      <c r="CT34" s="27"/>
      <c r="CU34" s="27"/>
      <c r="CV34" s="27"/>
      <c r="CW34" s="27"/>
      <c r="CX34" s="27"/>
      <c r="CY34" s="27"/>
      <c r="CZ34" s="27"/>
      <c r="DA34" s="27"/>
      <c r="DB34" s="27"/>
      <c r="DC34" s="27"/>
      <c r="DD34" s="27"/>
      <c r="DE34" s="27"/>
      <c r="DF34" s="27"/>
      <c r="DG34" s="27"/>
      <c r="DH34" s="27"/>
      <c r="DI34" s="27"/>
      <c r="DJ34" s="27"/>
      <c r="DK34" s="27"/>
      <c r="DL34" s="27"/>
      <c r="DM34" s="27"/>
      <c r="DN34" s="27"/>
      <c r="DO34" s="27"/>
      <c r="DP34" s="27"/>
      <c r="DQ34" s="27"/>
      <c r="DR34" s="27"/>
      <c r="DS34" s="27"/>
      <c r="DT34" s="27"/>
      <c r="DU34" s="27"/>
      <c r="DV34" s="27"/>
      <c r="DW34" s="27"/>
      <c r="DX34" s="27"/>
      <c r="DY34" s="27"/>
      <c r="DZ34" s="27"/>
      <c r="EA34" s="27"/>
      <c r="EB34" s="27"/>
      <c r="EC34" s="27"/>
      <c r="ED34" s="27"/>
      <c r="EE34" s="27"/>
      <c r="EF34" s="27"/>
      <c r="EG34" s="27"/>
      <c r="EH34" s="27"/>
      <c r="EI34" s="27"/>
      <c r="EJ34" s="27"/>
      <c r="EK34" s="27"/>
      <c r="EL34" s="27"/>
      <c r="EM34" s="27"/>
      <c r="EN34" s="27"/>
      <c r="EO34" s="27"/>
      <c r="EP34" s="27"/>
      <c r="EQ34" s="27"/>
      <c r="ER34" s="27"/>
      <c r="ES34" s="27"/>
      <c r="ET34" s="27"/>
      <c r="EU34" s="27"/>
      <c r="EV34" s="27"/>
      <c r="EW34" s="27"/>
      <c r="EX34" s="27"/>
      <c r="EY34" s="27"/>
      <c r="EZ34" s="27"/>
      <c r="FA34" s="27"/>
      <c r="FB34" s="27"/>
      <c r="FC34" s="27"/>
      <c r="FD34" s="27"/>
      <c r="FE34" s="27"/>
      <c r="FF34" s="27"/>
      <c r="FG34" s="27"/>
      <c r="FH34" s="27"/>
      <c r="FI34" s="27"/>
      <c r="FJ34" s="27"/>
      <c r="FK34" s="27"/>
      <c r="FL34" s="27"/>
      <c r="FM34" s="27"/>
      <c r="FN34" s="27"/>
      <c r="FO34" s="27"/>
      <c r="FP34" s="27"/>
      <c r="FQ34" s="27"/>
      <c r="FR34" s="27"/>
      <c r="FS34" s="27"/>
      <c r="FT34" s="27"/>
      <c r="FU34" s="27"/>
      <c r="FV34" s="27"/>
      <c r="FW34" s="27"/>
      <c r="FX34" s="27"/>
      <c r="FY34" s="27"/>
      <c r="FZ34" s="27"/>
      <c r="GA34" s="27"/>
      <c r="GB34" s="27"/>
      <c r="GC34" s="27"/>
      <c r="GD34" s="27"/>
      <c r="GE34" s="27"/>
      <c r="GF34" s="27"/>
      <c r="GG34" s="27"/>
      <c r="GH34" s="27"/>
      <c r="GI34" s="27"/>
      <c r="GJ34" s="27"/>
      <c r="GK34" s="27"/>
      <c r="GL34" s="27"/>
      <c r="GM34" s="27"/>
      <c r="GN34" s="27"/>
      <c r="GO34" s="27"/>
      <c r="GP34" s="27"/>
      <c r="GQ34" s="27"/>
      <c r="GR34" s="27"/>
      <c r="GS34" s="27"/>
      <c r="GT34" s="27"/>
      <c r="GU34" s="27"/>
      <c r="GV34" s="27"/>
      <c r="GW34" s="27"/>
      <c r="GX34" s="27"/>
      <c r="GY34" s="27"/>
      <c r="GZ34" s="27"/>
      <c r="HA34" s="27"/>
      <c r="HB34" s="27"/>
      <c r="HC34" s="27"/>
      <c r="HD34" s="27"/>
      <c r="HE34" s="27"/>
      <c r="HF34" s="27"/>
      <c r="HG34" s="27"/>
      <c r="HH34" s="27"/>
      <c r="HI34" s="27"/>
      <c r="HJ34" s="27"/>
      <c r="HK34" s="27"/>
      <c r="HL34" s="27"/>
      <c r="HM34" s="27"/>
      <c r="HN34" s="27"/>
      <c r="HO34" s="27"/>
      <c r="HP34" s="27"/>
      <c r="HQ34" s="27"/>
      <c r="HR34" s="27"/>
      <c r="HS34" s="27"/>
      <c r="HT34" s="27"/>
      <c r="HU34" s="27"/>
      <c r="HV34" s="27"/>
      <c r="HW34" s="27"/>
      <c r="HX34" s="27"/>
      <c r="HY34" s="27"/>
      <c r="HZ34" s="27"/>
      <c r="IA34" s="27"/>
      <c r="IB34" s="27"/>
      <c r="IC34" s="27"/>
      <c r="ID34" s="27"/>
      <c r="IE34" s="27"/>
      <c r="IF34" s="27"/>
      <c r="IG34" s="27"/>
      <c r="IH34" s="27"/>
      <c r="II34" s="27"/>
      <c r="IJ34" s="27"/>
      <c r="IK34" s="27"/>
      <c r="IL34" s="27"/>
      <c r="IM34" s="27"/>
      <c r="IN34" s="27"/>
      <c r="IO34" s="27"/>
      <c r="IP34" s="27"/>
      <c r="IQ34" s="27"/>
      <c r="IR34" s="27"/>
      <c r="IS34" s="27"/>
    </row>
    <row r="35" spans="1:253" x14ac:dyDescent="0.25">
      <c r="A35" s="41"/>
      <c r="B35" s="33" t="s">
        <v>154</v>
      </c>
      <c r="C35" s="33"/>
      <c r="D35" s="33"/>
      <c r="E35" s="1723"/>
      <c r="F35" s="1723">
        <f>+F32+F33</f>
        <v>-27172.61</v>
      </c>
      <c r="G35" s="1723">
        <f>+G32+G33</f>
        <v>-13531.13934428565</v>
      </c>
      <c r="H35" s="1723">
        <f>+H32+H33</f>
        <v>-40703.74934428565</v>
      </c>
      <c r="I35" s="1726"/>
      <c r="J35" s="44"/>
      <c r="K35" s="155"/>
      <c r="L35" s="27"/>
      <c r="M35" s="27"/>
      <c r="N35" s="27"/>
      <c r="O35" s="27"/>
      <c r="P35" s="27"/>
      <c r="Q35" s="27"/>
      <c r="R35" s="27"/>
      <c r="S35" s="27"/>
      <c r="T35" s="27"/>
      <c r="U35" s="27"/>
      <c r="V35" s="27"/>
      <c r="W35" s="27"/>
      <c r="X35" s="27"/>
      <c r="Y35" s="27"/>
      <c r="Z35" s="27"/>
      <c r="AA35" s="27"/>
      <c r="AB35" s="27"/>
      <c r="AC35" s="27"/>
      <c r="AD35" s="27"/>
      <c r="AE35" s="27"/>
      <c r="AF35" s="27"/>
      <c r="AG35" s="27"/>
      <c r="AH35" s="27"/>
      <c r="AI35" s="27"/>
      <c r="AJ35" s="27"/>
      <c r="AK35" s="27"/>
      <c r="AL35" s="27"/>
      <c r="AM35" s="27"/>
      <c r="AN35" s="27"/>
      <c r="AO35" s="27"/>
      <c r="AP35" s="27"/>
      <c r="AQ35" s="27"/>
      <c r="AR35" s="27"/>
      <c r="AS35" s="27"/>
      <c r="AT35" s="27"/>
      <c r="AU35" s="27"/>
      <c r="AV35" s="27"/>
      <c r="AW35" s="27"/>
      <c r="AX35" s="27"/>
      <c r="AY35" s="27"/>
      <c r="AZ35" s="27"/>
      <c r="BA35" s="27"/>
      <c r="BB35" s="27"/>
      <c r="BC35" s="27"/>
      <c r="BD35" s="27"/>
      <c r="BE35" s="27"/>
      <c r="BF35" s="27"/>
      <c r="BG35" s="27"/>
      <c r="BH35" s="27"/>
      <c r="BI35" s="27"/>
      <c r="BJ35" s="27"/>
      <c r="BK35" s="27"/>
      <c r="BL35" s="27"/>
      <c r="BM35" s="27"/>
      <c r="BN35" s="27"/>
      <c r="BO35" s="27"/>
      <c r="BP35" s="27"/>
      <c r="BQ35" s="27"/>
      <c r="BR35" s="27"/>
      <c r="BS35" s="27"/>
      <c r="BT35" s="27"/>
      <c r="BU35" s="27"/>
      <c r="BV35" s="27"/>
      <c r="BW35" s="27"/>
      <c r="BX35" s="27"/>
      <c r="BY35" s="27"/>
      <c r="BZ35" s="27"/>
      <c r="CA35" s="27"/>
      <c r="CB35" s="27"/>
      <c r="CC35" s="27"/>
      <c r="CD35" s="27"/>
      <c r="CE35" s="27"/>
      <c r="CF35" s="27"/>
      <c r="CG35" s="27"/>
      <c r="CH35" s="27"/>
      <c r="CI35" s="27"/>
      <c r="CJ35" s="27"/>
      <c r="CK35" s="27"/>
      <c r="CL35" s="27"/>
      <c r="CM35" s="27"/>
      <c r="CN35" s="27"/>
      <c r="CO35" s="27"/>
      <c r="CP35" s="27"/>
      <c r="CQ35" s="27"/>
      <c r="CR35" s="27"/>
      <c r="CS35" s="27"/>
      <c r="CT35" s="27"/>
      <c r="CU35" s="27"/>
      <c r="CV35" s="27"/>
      <c r="CW35" s="27"/>
      <c r="CX35" s="27"/>
      <c r="CY35" s="27"/>
      <c r="CZ35" s="27"/>
      <c r="DA35" s="27"/>
      <c r="DB35" s="27"/>
      <c r="DC35" s="27"/>
      <c r="DD35" s="27"/>
      <c r="DE35" s="27"/>
      <c r="DF35" s="27"/>
      <c r="DG35" s="27"/>
      <c r="DH35" s="27"/>
      <c r="DI35" s="27"/>
      <c r="DJ35" s="27"/>
      <c r="DK35" s="27"/>
      <c r="DL35" s="27"/>
      <c r="DM35" s="27"/>
      <c r="DN35" s="27"/>
      <c r="DO35" s="27"/>
      <c r="DP35" s="27"/>
      <c r="DQ35" s="27"/>
      <c r="DR35" s="27"/>
      <c r="DS35" s="27"/>
      <c r="DT35" s="27"/>
      <c r="DU35" s="27"/>
      <c r="DV35" s="27"/>
      <c r="DW35" s="27"/>
      <c r="DX35" s="27"/>
      <c r="DY35" s="27"/>
      <c r="DZ35" s="27"/>
      <c r="EA35" s="27"/>
      <c r="EB35" s="27"/>
      <c r="EC35" s="27"/>
      <c r="ED35" s="27"/>
      <c r="EE35" s="27"/>
      <c r="EF35" s="27"/>
      <c r="EG35" s="27"/>
      <c r="EH35" s="27"/>
      <c r="EI35" s="27"/>
      <c r="EJ35" s="27"/>
      <c r="EK35" s="27"/>
      <c r="EL35" s="27"/>
      <c r="EM35" s="27"/>
      <c r="EN35" s="27"/>
      <c r="EO35" s="27"/>
      <c r="EP35" s="27"/>
      <c r="EQ35" s="27"/>
      <c r="ER35" s="27"/>
      <c r="ES35" s="27"/>
      <c r="ET35" s="27"/>
      <c r="EU35" s="27"/>
      <c r="EV35" s="27"/>
      <c r="EW35" s="27"/>
      <c r="EX35" s="27"/>
      <c r="EY35" s="27"/>
      <c r="EZ35" s="27"/>
      <c r="FA35" s="27"/>
      <c r="FB35" s="27"/>
      <c r="FC35" s="27"/>
      <c r="FD35" s="27"/>
      <c r="FE35" s="27"/>
      <c r="FF35" s="27"/>
      <c r="FG35" s="27"/>
      <c r="FH35" s="27"/>
      <c r="FI35" s="27"/>
      <c r="FJ35" s="27"/>
      <c r="FK35" s="27"/>
      <c r="FL35" s="27"/>
      <c r="FM35" s="27"/>
      <c r="FN35" s="27"/>
      <c r="FO35" s="27"/>
      <c r="FP35" s="27"/>
      <c r="FQ35" s="27"/>
      <c r="FR35" s="27"/>
      <c r="FS35" s="27"/>
      <c r="FT35" s="27"/>
      <c r="FU35" s="27"/>
      <c r="FV35" s="27"/>
      <c r="FW35" s="27"/>
      <c r="FX35" s="27"/>
      <c r="FY35" s="27"/>
      <c r="FZ35" s="27"/>
      <c r="GA35" s="27"/>
      <c r="GB35" s="27"/>
      <c r="GC35" s="27"/>
      <c r="GD35" s="27"/>
      <c r="GE35" s="27"/>
      <c r="GF35" s="27"/>
      <c r="GG35" s="27"/>
      <c r="GH35" s="27"/>
      <c r="GI35" s="27"/>
      <c r="GJ35" s="27"/>
      <c r="GK35" s="27"/>
      <c r="GL35" s="27"/>
      <c r="GM35" s="27"/>
      <c r="GN35" s="27"/>
      <c r="GO35" s="27"/>
      <c r="GP35" s="27"/>
      <c r="GQ35" s="27"/>
      <c r="GR35" s="27"/>
      <c r="GS35" s="27"/>
      <c r="GT35" s="27"/>
      <c r="GU35" s="27"/>
      <c r="GV35" s="27"/>
      <c r="GW35" s="27"/>
      <c r="GX35" s="27"/>
      <c r="GY35" s="27"/>
      <c r="GZ35" s="27"/>
      <c r="HA35" s="27"/>
      <c r="HB35" s="27"/>
      <c r="HC35" s="27"/>
      <c r="HD35" s="27"/>
      <c r="HE35" s="27"/>
      <c r="HF35" s="27"/>
      <c r="HG35" s="27"/>
      <c r="HH35" s="27"/>
      <c r="HI35" s="27"/>
      <c r="HJ35" s="27"/>
      <c r="HK35" s="27"/>
      <c r="HL35" s="27"/>
      <c r="HM35" s="27"/>
      <c r="HN35" s="27"/>
      <c r="HO35" s="27"/>
      <c r="HP35" s="27"/>
      <c r="HQ35" s="27"/>
      <c r="HR35" s="27"/>
      <c r="HS35" s="27"/>
      <c r="HT35" s="27"/>
      <c r="HU35" s="27"/>
      <c r="HV35" s="27"/>
      <c r="HW35" s="27"/>
      <c r="HX35" s="27"/>
      <c r="HY35" s="27"/>
      <c r="HZ35" s="27"/>
      <c r="IA35" s="27"/>
      <c r="IB35" s="27"/>
      <c r="IC35" s="27"/>
      <c r="ID35" s="27"/>
      <c r="IE35" s="27"/>
      <c r="IF35" s="27"/>
      <c r="IG35" s="27"/>
      <c r="IH35" s="27"/>
      <c r="II35" s="27"/>
      <c r="IJ35" s="27"/>
      <c r="IK35" s="27"/>
      <c r="IL35" s="27"/>
      <c r="IM35" s="27"/>
      <c r="IN35" s="27"/>
      <c r="IO35" s="27"/>
      <c r="IP35" s="27"/>
      <c r="IQ35" s="27"/>
      <c r="IR35" s="27"/>
      <c r="IS35" s="27"/>
    </row>
    <row r="36" spans="1:253" x14ac:dyDescent="0.25">
      <c r="A36" s="41"/>
      <c r="B36" s="33"/>
      <c r="C36" s="33"/>
      <c r="D36" s="33"/>
      <c r="E36" s="1723"/>
      <c r="F36" s="1732"/>
      <c r="G36" s="1732"/>
      <c r="H36" s="1732"/>
      <c r="I36" s="1726"/>
      <c r="J36" s="44"/>
      <c r="K36" s="27"/>
      <c r="L36" s="27"/>
      <c r="M36" s="27"/>
      <c r="N36" s="27"/>
      <c r="O36" s="27"/>
      <c r="P36" s="27"/>
      <c r="Q36" s="27"/>
      <c r="R36" s="27"/>
      <c r="S36" s="27"/>
      <c r="T36" s="27"/>
      <c r="U36" s="27"/>
      <c r="V36" s="27"/>
      <c r="W36" s="27"/>
      <c r="X36" s="27"/>
      <c r="Y36" s="27"/>
      <c r="Z36" s="27"/>
      <c r="AA36" s="27"/>
      <c r="AB36" s="27"/>
      <c r="AC36" s="27"/>
      <c r="AD36" s="27"/>
      <c r="AE36" s="27"/>
      <c r="AF36" s="27"/>
      <c r="AG36" s="27"/>
      <c r="AH36" s="27"/>
      <c r="AI36" s="27"/>
      <c r="AJ36" s="27"/>
      <c r="AK36" s="27"/>
      <c r="AL36" s="27"/>
      <c r="AM36" s="27"/>
      <c r="AN36" s="27"/>
      <c r="AO36" s="27"/>
      <c r="AP36" s="27"/>
      <c r="AQ36" s="27"/>
      <c r="AR36" s="27"/>
      <c r="AS36" s="27"/>
      <c r="AT36" s="27"/>
      <c r="AU36" s="27"/>
      <c r="AV36" s="27"/>
      <c r="AW36" s="27"/>
      <c r="AX36" s="27"/>
      <c r="AY36" s="27"/>
      <c r="AZ36" s="27"/>
      <c r="BA36" s="27"/>
      <c r="BB36" s="27"/>
      <c r="BC36" s="27"/>
      <c r="BD36" s="27"/>
      <c r="BE36" s="27"/>
      <c r="BF36" s="27"/>
      <c r="BG36" s="27"/>
      <c r="BH36" s="27"/>
      <c r="BI36" s="27"/>
      <c r="BJ36" s="27"/>
      <c r="BK36" s="27"/>
      <c r="BL36" s="27"/>
      <c r="BM36" s="27"/>
      <c r="BN36" s="27"/>
      <c r="BO36" s="27"/>
      <c r="BP36" s="27"/>
      <c r="BQ36" s="27"/>
      <c r="BR36" s="27"/>
      <c r="BS36" s="27"/>
      <c r="BT36" s="27"/>
      <c r="BU36" s="27"/>
      <c r="BV36" s="27"/>
      <c r="BW36" s="27"/>
      <c r="BX36" s="27"/>
      <c r="BY36" s="27"/>
      <c r="BZ36" s="27"/>
      <c r="CA36" s="27"/>
      <c r="CB36" s="27"/>
      <c r="CC36" s="27"/>
      <c r="CD36" s="27"/>
      <c r="CE36" s="27"/>
      <c r="CF36" s="27"/>
      <c r="CG36" s="27"/>
      <c r="CH36" s="27"/>
      <c r="CI36" s="27"/>
      <c r="CJ36" s="27"/>
      <c r="CK36" s="27"/>
      <c r="CL36" s="27"/>
      <c r="CM36" s="27"/>
      <c r="CN36" s="27"/>
      <c r="CO36" s="27"/>
      <c r="CP36" s="27"/>
      <c r="CQ36" s="27"/>
      <c r="CR36" s="27"/>
      <c r="CS36" s="27"/>
      <c r="CT36" s="27"/>
      <c r="CU36" s="27"/>
      <c r="CV36" s="27"/>
      <c r="CW36" s="27"/>
      <c r="CX36" s="27"/>
      <c r="CY36" s="27"/>
      <c r="CZ36" s="27"/>
      <c r="DA36" s="27"/>
      <c r="DB36" s="27"/>
      <c r="DC36" s="27"/>
      <c r="DD36" s="27"/>
      <c r="DE36" s="27"/>
      <c r="DF36" s="27"/>
      <c r="DG36" s="27"/>
      <c r="DH36" s="27"/>
      <c r="DI36" s="27"/>
      <c r="DJ36" s="27"/>
      <c r="DK36" s="27"/>
      <c r="DL36" s="27"/>
      <c r="DM36" s="27"/>
      <c r="DN36" s="27"/>
      <c r="DO36" s="27"/>
      <c r="DP36" s="27"/>
      <c r="DQ36" s="27"/>
      <c r="DR36" s="27"/>
      <c r="DS36" s="27"/>
      <c r="DT36" s="27"/>
      <c r="DU36" s="27"/>
      <c r="DV36" s="27"/>
      <c r="DW36" s="27"/>
      <c r="DX36" s="27"/>
      <c r="DY36" s="27"/>
      <c r="DZ36" s="27"/>
      <c r="EA36" s="27"/>
      <c r="EB36" s="27"/>
      <c r="EC36" s="27"/>
      <c r="ED36" s="27"/>
      <c r="EE36" s="27"/>
      <c r="EF36" s="27"/>
      <c r="EG36" s="27"/>
      <c r="EH36" s="27"/>
      <c r="EI36" s="27"/>
      <c r="EJ36" s="27"/>
      <c r="EK36" s="27"/>
      <c r="EL36" s="27"/>
      <c r="EM36" s="27"/>
      <c r="EN36" s="27"/>
      <c r="EO36" s="27"/>
      <c r="EP36" s="27"/>
      <c r="EQ36" s="27"/>
      <c r="ER36" s="27"/>
      <c r="ES36" s="27"/>
      <c r="ET36" s="27"/>
      <c r="EU36" s="27"/>
      <c r="EV36" s="27"/>
      <c r="EW36" s="27"/>
      <c r="EX36" s="27"/>
      <c r="EY36" s="27"/>
      <c r="EZ36" s="27"/>
      <c r="FA36" s="27"/>
      <c r="FB36" s="27"/>
      <c r="FC36" s="27"/>
      <c r="FD36" s="27"/>
      <c r="FE36" s="27"/>
      <c r="FF36" s="27"/>
      <c r="FG36" s="27"/>
      <c r="FH36" s="27"/>
      <c r="FI36" s="27"/>
      <c r="FJ36" s="27"/>
      <c r="FK36" s="27"/>
      <c r="FL36" s="27"/>
      <c r="FM36" s="27"/>
      <c r="FN36" s="27"/>
      <c r="FO36" s="27"/>
      <c r="FP36" s="27"/>
      <c r="FQ36" s="27"/>
      <c r="FR36" s="27"/>
      <c r="FS36" s="27"/>
      <c r="FT36" s="27"/>
      <c r="FU36" s="27"/>
      <c r="FV36" s="27"/>
      <c r="FW36" s="27"/>
      <c r="FX36" s="27"/>
      <c r="FY36" s="27"/>
      <c r="FZ36" s="27"/>
      <c r="GA36" s="27"/>
      <c r="GB36" s="27"/>
      <c r="GC36" s="27"/>
      <c r="GD36" s="27"/>
      <c r="GE36" s="27"/>
      <c r="GF36" s="27"/>
      <c r="GG36" s="27"/>
      <c r="GH36" s="27"/>
      <c r="GI36" s="27"/>
      <c r="GJ36" s="27"/>
      <c r="GK36" s="27"/>
      <c r="GL36" s="27"/>
      <c r="GM36" s="27"/>
      <c r="GN36" s="27"/>
      <c r="GO36" s="27"/>
      <c r="GP36" s="27"/>
      <c r="GQ36" s="27"/>
      <c r="GR36" s="27"/>
      <c r="GS36" s="27"/>
      <c r="GT36" s="27"/>
      <c r="GU36" s="27"/>
      <c r="GV36" s="27"/>
      <c r="GW36" s="27"/>
      <c r="GX36" s="27"/>
      <c r="GY36" s="27"/>
      <c r="GZ36" s="27"/>
      <c r="HA36" s="27"/>
      <c r="HB36" s="27"/>
      <c r="HC36" s="27"/>
      <c r="HD36" s="27"/>
      <c r="HE36" s="27"/>
      <c r="HF36" s="27"/>
      <c r="HG36" s="27"/>
      <c r="HH36" s="27"/>
      <c r="HI36" s="27"/>
      <c r="HJ36" s="27"/>
      <c r="HK36" s="27"/>
      <c r="HL36" s="27"/>
      <c r="HM36" s="27"/>
      <c r="HN36" s="27"/>
      <c r="HO36" s="27"/>
      <c r="HP36" s="27"/>
      <c r="HQ36" s="27"/>
      <c r="HR36" s="27"/>
      <c r="HS36" s="27"/>
      <c r="HT36" s="27"/>
      <c r="HU36" s="27"/>
      <c r="HV36" s="27"/>
      <c r="HW36" s="27"/>
      <c r="HX36" s="27"/>
      <c r="HY36" s="27"/>
      <c r="HZ36" s="27"/>
      <c r="IA36" s="27"/>
      <c r="IB36" s="27"/>
      <c r="IC36" s="27"/>
      <c r="ID36" s="27"/>
      <c r="IE36" s="27"/>
      <c r="IF36" s="27"/>
      <c r="IG36" s="27"/>
      <c r="IH36" s="27"/>
      <c r="II36" s="27"/>
      <c r="IJ36" s="27"/>
      <c r="IK36" s="27"/>
      <c r="IL36" s="27"/>
      <c r="IM36" s="27"/>
      <c r="IN36" s="27"/>
      <c r="IO36" s="27"/>
      <c r="IP36" s="27"/>
      <c r="IQ36" s="27"/>
      <c r="IR36" s="27"/>
      <c r="IS36" s="27"/>
    </row>
    <row r="37" spans="1:253" x14ac:dyDescent="0.25">
      <c r="A37" s="41"/>
      <c r="B37" s="40" t="s">
        <v>104</v>
      </c>
      <c r="C37" s="33"/>
      <c r="D37" s="39"/>
      <c r="E37" s="1730"/>
      <c r="F37" s="1731">
        <f>F21+F28-F35</f>
        <v>6317062.9100000001</v>
      </c>
      <c r="G37" s="1731">
        <f>G21+G28-G35</f>
        <v>219654.57934428559</v>
      </c>
      <c r="H37" s="47">
        <f>H21+H28-H35</f>
        <v>6536717.4893442858</v>
      </c>
      <c r="I37" s="1731"/>
      <c r="J37" s="48"/>
      <c r="K37" s="27"/>
      <c r="L37" s="1652">
        <f>F37+G37</f>
        <v>6536717.4893442858</v>
      </c>
      <c r="M37" s="27"/>
      <c r="N37" s="27"/>
      <c r="O37" s="27"/>
      <c r="P37" s="27"/>
      <c r="Q37" s="27"/>
      <c r="R37" s="27"/>
      <c r="S37" s="27"/>
      <c r="T37" s="27"/>
      <c r="U37" s="27"/>
      <c r="V37" s="27"/>
      <c r="W37" s="27"/>
      <c r="X37" s="27"/>
      <c r="Y37" s="27"/>
      <c r="Z37" s="27"/>
      <c r="AA37" s="27"/>
      <c r="AB37" s="27"/>
      <c r="AC37" s="27"/>
      <c r="AD37" s="27"/>
      <c r="AE37" s="27"/>
      <c r="AF37" s="27"/>
      <c r="AG37" s="27"/>
      <c r="AH37" s="27"/>
      <c r="AI37" s="27"/>
      <c r="AJ37" s="27"/>
      <c r="AK37" s="27"/>
      <c r="AL37" s="27"/>
      <c r="AM37" s="27"/>
      <c r="AN37" s="27"/>
      <c r="AO37" s="27"/>
      <c r="AP37" s="27"/>
      <c r="AQ37" s="27"/>
      <c r="AR37" s="27"/>
      <c r="AS37" s="27"/>
      <c r="AT37" s="27"/>
      <c r="AU37" s="27"/>
      <c r="AV37" s="27"/>
      <c r="AW37" s="27"/>
      <c r="AX37" s="27"/>
      <c r="AY37" s="27"/>
      <c r="AZ37" s="27"/>
      <c r="BA37" s="27"/>
      <c r="BB37" s="27"/>
      <c r="BC37" s="27"/>
      <c r="BD37" s="27"/>
      <c r="BE37" s="27"/>
      <c r="BF37" s="27"/>
      <c r="BG37" s="27"/>
      <c r="BH37" s="27"/>
      <c r="BI37" s="27"/>
      <c r="BJ37" s="27"/>
      <c r="BK37" s="27"/>
      <c r="BL37" s="27"/>
      <c r="BM37" s="27"/>
      <c r="BN37" s="27"/>
      <c r="BO37" s="27"/>
      <c r="BP37" s="27"/>
      <c r="BQ37" s="27"/>
      <c r="BR37" s="27"/>
      <c r="BS37" s="27"/>
      <c r="BT37" s="27"/>
      <c r="BU37" s="27"/>
      <c r="BV37" s="27"/>
      <c r="BW37" s="27"/>
      <c r="BX37" s="27"/>
      <c r="BY37" s="27"/>
      <c r="BZ37" s="27"/>
      <c r="CA37" s="27"/>
      <c r="CB37" s="27"/>
      <c r="CC37" s="27"/>
      <c r="CD37" s="27"/>
      <c r="CE37" s="27"/>
      <c r="CF37" s="27"/>
      <c r="CG37" s="27"/>
      <c r="CH37" s="27"/>
      <c r="CI37" s="27"/>
      <c r="CJ37" s="27"/>
      <c r="CK37" s="27"/>
      <c r="CL37" s="27"/>
      <c r="CM37" s="27"/>
      <c r="CN37" s="27"/>
      <c r="CO37" s="27"/>
      <c r="CP37" s="27"/>
      <c r="CQ37" s="27"/>
      <c r="CR37" s="27"/>
      <c r="CS37" s="27"/>
      <c r="CT37" s="27"/>
      <c r="CU37" s="27"/>
      <c r="CV37" s="27"/>
      <c r="CW37" s="27"/>
      <c r="CX37" s="27"/>
      <c r="CY37" s="27"/>
      <c r="CZ37" s="27"/>
      <c r="DA37" s="27"/>
      <c r="DB37" s="27"/>
      <c r="DC37" s="27"/>
      <c r="DD37" s="27"/>
      <c r="DE37" s="27"/>
      <c r="DF37" s="27"/>
      <c r="DG37" s="27"/>
      <c r="DH37" s="27"/>
      <c r="DI37" s="27"/>
      <c r="DJ37" s="27"/>
      <c r="DK37" s="27"/>
      <c r="DL37" s="27"/>
      <c r="DM37" s="27"/>
      <c r="DN37" s="27"/>
      <c r="DO37" s="27"/>
      <c r="DP37" s="27"/>
      <c r="DQ37" s="27"/>
      <c r="DR37" s="27"/>
      <c r="DS37" s="27"/>
      <c r="DT37" s="27"/>
      <c r="DU37" s="27"/>
      <c r="DV37" s="27"/>
      <c r="DW37" s="27"/>
      <c r="DX37" s="27"/>
      <c r="DY37" s="27"/>
      <c r="DZ37" s="27"/>
      <c r="EA37" s="27"/>
      <c r="EB37" s="27"/>
      <c r="EC37" s="27"/>
      <c r="ED37" s="27"/>
      <c r="EE37" s="27"/>
      <c r="EF37" s="27"/>
      <c r="EG37" s="27"/>
      <c r="EH37" s="27"/>
      <c r="EI37" s="27"/>
      <c r="EJ37" s="27"/>
      <c r="EK37" s="27"/>
      <c r="EL37" s="27"/>
      <c r="EM37" s="27"/>
      <c r="EN37" s="27"/>
      <c r="EO37" s="27"/>
      <c r="EP37" s="27"/>
      <c r="EQ37" s="27"/>
      <c r="ER37" s="27"/>
      <c r="ES37" s="27"/>
      <c r="ET37" s="27"/>
      <c r="EU37" s="27"/>
      <c r="EV37" s="27"/>
      <c r="EW37" s="27"/>
      <c r="EX37" s="27"/>
      <c r="EY37" s="27"/>
      <c r="EZ37" s="27"/>
      <c r="FA37" s="27"/>
      <c r="FB37" s="27"/>
      <c r="FC37" s="27"/>
      <c r="FD37" s="27"/>
      <c r="FE37" s="27"/>
      <c r="FF37" s="27"/>
      <c r="FG37" s="27"/>
      <c r="FH37" s="27"/>
      <c r="FI37" s="27"/>
      <c r="FJ37" s="27"/>
      <c r="FK37" s="27"/>
      <c r="FL37" s="27"/>
      <c r="FM37" s="27"/>
      <c r="FN37" s="27"/>
      <c r="FO37" s="27"/>
      <c r="FP37" s="27"/>
      <c r="FQ37" s="27"/>
      <c r="FR37" s="27"/>
      <c r="FS37" s="27"/>
      <c r="FT37" s="27"/>
      <c r="FU37" s="27"/>
      <c r="FV37" s="27"/>
      <c r="FW37" s="27"/>
      <c r="FX37" s="27"/>
      <c r="FY37" s="27"/>
      <c r="FZ37" s="27"/>
      <c r="GA37" s="27"/>
      <c r="GB37" s="27"/>
      <c r="GC37" s="27"/>
      <c r="GD37" s="27"/>
      <c r="GE37" s="27"/>
      <c r="GF37" s="27"/>
      <c r="GG37" s="27"/>
      <c r="GH37" s="27"/>
      <c r="GI37" s="27"/>
      <c r="GJ37" s="27"/>
      <c r="GK37" s="27"/>
      <c r="GL37" s="27"/>
      <c r="GM37" s="27"/>
      <c r="GN37" s="27"/>
      <c r="GO37" s="27"/>
      <c r="GP37" s="27"/>
      <c r="GQ37" s="27"/>
      <c r="GR37" s="27"/>
      <c r="GS37" s="27"/>
      <c r="GT37" s="27"/>
      <c r="GU37" s="27"/>
      <c r="GV37" s="27"/>
      <c r="GW37" s="27"/>
      <c r="GX37" s="27"/>
      <c r="GY37" s="27"/>
      <c r="GZ37" s="27"/>
      <c r="HA37" s="27"/>
      <c r="HB37" s="27"/>
      <c r="HC37" s="27"/>
      <c r="HD37" s="27"/>
      <c r="HE37" s="27"/>
      <c r="HF37" s="27"/>
      <c r="HG37" s="27"/>
      <c r="HH37" s="27"/>
      <c r="HI37" s="27"/>
      <c r="HJ37" s="27"/>
      <c r="HK37" s="27"/>
      <c r="HL37" s="27"/>
      <c r="HM37" s="27"/>
      <c r="HN37" s="27"/>
      <c r="HO37" s="27"/>
      <c r="HP37" s="27"/>
      <c r="HQ37" s="27"/>
      <c r="HR37" s="27"/>
      <c r="HS37" s="27"/>
      <c r="HT37" s="27"/>
      <c r="HU37" s="27"/>
      <c r="HV37" s="27"/>
      <c r="HW37" s="27"/>
      <c r="HX37" s="27"/>
      <c r="HY37" s="27"/>
      <c r="HZ37" s="27"/>
      <c r="IA37" s="27"/>
      <c r="IB37" s="27"/>
      <c r="IC37" s="27"/>
      <c r="ID37" s="27"/>
      <c r="IE37" s="27"/>
      <c r="IF37" s="27"/>
      <c r="IG37" s="27"/>
      <c r="IH37" s="27"/>
      <c r="II37" s="27"/>
      <c r="IJ37" s="27"/>
      <c r="IK37" s="27"/>
      <c r="IL37" s="27"/>
      <c r="IM37" s="27"/>
      <c r="IN37" s="27"/>
      <c r="IO37" s="27"/>
      <c r="IP37" s="27"/>
      <c r="IQ37" s="27"/>
      <c r="IR37" s="27"/>
      <c r="IS37" s="27"/>
    </row>
    <row r="38" spans="1:253" x14ac:dyDescent="0.25">
      <c r="A38" s="41"/>
      <c r="B38" s="40"/>
      <c r="C38" s="33"/>
      <c r="D38" s="39"/>
      <c r="E38" s="1730"/>
      <c r="F38" s="1731"/>
      <c r="G38" s="1731"/>
      <c r="H38" s="47"/>
      <c r="I38" s="1731"/>
      <c r="J38" s="48"/>
      <c r="K38" s="27"/>
      <c r="L38" s="342"/>
      <c r="M38" s="27"/>
      <c r="N38" s="27"/>
      <c r="O38" s="27"/>
      <c r="P38" s="27"/>
      <c r="Q38" s="27"/>
      <c r="R38" s="27"/>
      <c r="S38" s="27"/>
      <c r="T38" s="27"/>
      <c r="U38" s="27"/>
      <c r="V38" s="27"/>
      <c r="W38" s="27"/>
      <c r="X38" s="27"/>
      <c r="Y38" s="27"/>
      <c r="Z38" s="27"/>
      <c r="AA38" s="27"/>
      <c r="AB38" s="27"/>
      <c r="AC38" s="27"/>
      <c r="AD38" s="27"/>
      <c r="AE38" s="27"/>
      <c r="AF38" s="27"/>
      <c r="AG38" s="27"/>
      <c r="AH38" s="27"/>
      <c r="AI38" s="27"/>
      <c r="AJ38" s="27"/>
      <c r="AK38" s="27"/>
      <c r="AL38" s="27"/>
      <c r="AM38" s="27"/>
      <c r="AN38" s="27"/>
      <c r="AO38" s="27"/>
      <c r="AP38" s="27"/>
      <c r="AQ38" s="27"/>
      <c r="AR38" s="27"/>
      <c r="AS38" s="27"/>
      <c r="AT38" s="27"/>
      <c r="AU38" s="27"/>
      <c r="AV38" s="27"/>
      <c r="AW38" s="27"/>
      <c r="AX38" s="27"/>
      <c r="AY38" s="27"/>
      <c r="AZ38" s="27"/>
      <c r="BA38" s="27"/>
      <c r="BB38" s="27"/>
      <c r="BC38" s="27"/>
      <c r="BD38" s="27"/>
      <c r="BE38" s="27"/>
      <c r="BF38" s="27"/>
      <c r="BG38" s="27"/>
      <c r="BH38" s="27"/>
      <c r="BI38" s="27"/>
      <c r="BJ38" s="27"/>
      <c r="BK38" s="27"/>
      <c r="BL38" s="27"/>
      <c r="BM38" s="27"/>
      <c r="BN38" s="27"/>
      <c r="BO38" s="27"/>
      <c r="BP38" s="27"/>
      <c r="BQ38" s="27"/>
      <c r="BR38" s="27"/>
      <c r="BS38" s="27"/>
      <c r="BT38" s="27"/>
      <c r="BU38" s="27"/>
      <c r="BV38" s="27"/>
      <c r="BW38" s="27"/>
      <c r="BX38" s="27"/>
      <c r="BY38" s="27"/>
      <c r="BZ38" s="27"/>
      <c r="CA38" s="27"/>
      <c r="CB38" s="27"/>
      <c r="CC38" s="27"/>
      <c r="CD38" s="27"/>
      <c r="CE38" s="27"/>
      <c r="CF38" s="27"/>
      <c r="CG38" s="27"/>
      <c r="CH38" s="27"/>
      <c r="CI38" s="27"/>
      <c r="CJ38" s="27"/>
      <c r="CK38" s="27"/>
      <c r="CL38" s="27"/>
      <c r="CM38" s="27"/>
      <c r="CN38" s="27"/>
      <c r="CO38" s="27"/>
      <c r="CP38" s="27"/>
      <c r="CQ38" s="27"/>
      <c r="CR38" s="27"/>
      <c r="CS38" s="27"/>
      <c r="CT38" s="27"/>
      <c r="CU38" s="27"/>
      <c r="CV38" s="27"/>
      <c r="CW38" s="27"/>
      <c r="CX38" s="27"/>
      <c r="CY38" s="27"/>
      <c r="CZ38" s="27"/>
      <c r="DA38" s="27"/>
      <c r="DB38" s="27"/>
      <c r="DC38" s="27"/>
      <c r="DD38" s="27"/>
      <c r="DE38" s="27"/>
      <c r="DF38" s="27"/>
      <c r="DG38" s="27"/>
      <c r="DH38" s="27"/>
      <c r="DI38" s="27"/>
      <c r="DJ38" s="27"/>
      <c r="DK38" s="27"/>
      <c r="DL38" s="27"/>
      <c r="DM38" s="27"/>
      <c r="DN38" s="27"/>
      <c r="DO38" s="27"/>
      <c r="DP38" s="27"/>
      <c r="DQ38" s="27"/>
      <c r="DR38" s="27"/>
      <c r="DS38" s="27"/>
      <c r="DT38" s="27"/>
      <c r="DU38" s="27"/>
      <c r="DV38" s="27"/>
      <c r="DW38" s="27"/>
      <c r="DX38" s="27"/>
      <c r="DY38" s="27"/>
      <c r="DZ38" s="27"/>
      <c r="EA38" s="27"/>
      <c r="EB38" s="27"/>
      <c r="EC38" s="27"/>
      <c r="ED38" s="27"/>
      <c r="EE38" s="27"/>
      <c r="EF38" s="27"/>
      <c r="EG38" s="27"/>
      <c r="EH38" s="27"/>
      <c r="EI38" s="27"/>
      <c r="EJ38" s="27"/>
      <c r="EK38" s="27"/>
      <c r="EL38" s="27"/>
      <c r="EM38" s="27"/>
      <c r="EN38" s="27"/>
      <c r="EO38" s="27"/>
      <c r="EP38" s="27"/>
      <c r="EQ38" s="27"/>
      <c r="ER38" s="27"/>
      <c r="ES38" s="27"/>
      <c r="ET38" s="27"/>
      <c r="EU38" s="27"/>
      <c r="EV38" s="27"/>
      <c r="EW38" s="27"/>
      <c r="EX38" s="27"/>
      <c r="EY38" s="27"/>
      <c r="EZ38" s="27"/>
      <c r="FA38" s="27"/>
      <c r="FB38" s="27"/>
      <c r="FC38" s="27"/>
      <c r="FD38" s="27"/>
      <c r="FE38" s="27"/>
      <c r="FF38" s="27"/>
      <c r="FG38" s="27"/>
      <c r="FH38" s="27"/>
      <c r="FI38" s="27"/>
      <c r="FJ38" s="27"/>
      <c r="FK38" s="27"/>
      <c r="FL38" s="27"/>
      <c r="FM38" s="27"/>
      <c r="FN38" s="27"/>
      <c r="FO38" s="27"/>
      <c r="FP38" s="27"/>
      <c r="FQ38" s="27"/>
      <c r="FR38" s="27"/>
      <c r="FS38" s="27"/>
      <c r="FT38" s="27"/>
      <c r="FU38" s="27"/>
      <c r="FV38" s="27"/>
      <c r="FW38" s="27"/>
      <c r="FX38" s="27"/>
      <c r="FY38" s="27"/>
      <c r="FZ38" s="27"/>
      <c r="GA38" s="27"/>
      <c r="GB38" s="27"/>
      <c r="GC38" s="27"/>
      <c r="GD38" s="27"/>
      <c r="GE38" s="27"/>
      <c r="GF38" s="27"/>
      <c r="GG38" s="27"/>
      <c r="GH38" s="27"/>
      <c r="GI38" s="27"/>
      <c r="GJ38" s="27"/>
      <c r="GK38" s="27"/>
      <c r="GL38" s="27"/>
      <c r="GM38" s="27"/>
      <c r="GN38" s="27"/>
      <c r="GO38" s="27"/>
      <c r="GP38" s="27"/>
      <c r="GQ38" s="27"/>
      <c r="GR38" s="27"/>
      <c r="GS38" s="27"/>
      <c r="GT38" s="27"/>
      <c r="GU38" s="27"/>
      <c r="GV38" s="27"/>
      <c r="GW38" s="27"/>
      <c r="GX38" s="27"/>
      <c r="GY38" s="27"/>
      <c r="GZ38" s="27"/>
      <c r="HA38" s="27"/>
      <c r="HB38" s="27"/>
      <c r="HC38" s="27"/>
      <c r="HD38" s="27"/>
      <c r="HE38" s="27"/>
      <c r="HF38" s="27"/>
      <c r="HG38" s="27"/>
      <c r="HH38" s="27"/>
      <c r="HI38" s="27"/>
      <c r="HJ38" s="27"/>
      <c r="HK38" s="27"/>
      <c r="HL38" s="27"/>
      <c r="HM38" s="27"/>
      <c r="HN38" s="27"/>
      <c r="HO38" s="27"/>
      <c r="HP38" s="27"/>
      <c r="HQ38" s="27"/>
      <c r="HR38" s="27"/>
      <c r="HS38" s="27"/>
      <c r="HT38" s="27"/>
      <c r="HU38" s="27"/>
      <c r="HV38" s="27"/>
      <c r="HW38" s="27"/>
      <c r="HX38" s="27"/>
      <c r="HY38" s="27"/>
      <c r="HZ38" s="27"/>
      <c r="IA38" s="27"/>
      <c r="IB38" s="27"/>
      <c r="IC38" s="27"/>
      <c r="ID38" s="27"/>
      <c r="IE38" s="27"/>
      <c r="IF38" s="27"/>
      <c r="IG38" s="27"/>
      <c r="IH38" s="27"/>
      <c r="II38" s="27"/>
      <c r="IJ38" s="27"/>
      <c r="IK38" s="27"/>
      <c r="IL38" s="27"/>
      <c r="IM38" s="27"/>
      <c r="IN38" s="27"/>
      <c r="IO38" s="27"/>
      <c r="IP38" s="27"/>
      <c r="IQ38" s="27"/>
      <c r="IR38" s="27"/>
      <c r="IS38" s="27"/>
    </row>
    <row r="39" spans="1:253" x14ac:dyDescent="0.25">
      <c r="A39" s="41"/>
      <c r="B39" s="33"/>
      <c r="C39" s="33"/>
      <c r="D39" s="33"/>
      <c r="E39" s="1723"/>
      <c r="F39" s="1726"/>
      <c r="G39" s="1726"/>
      <c r="H39" s="683"/>
      <c r="I39" s="1726"/>
      <c r="J39" s="44"/>
      <c r="K39" s="27"/>
      <c r="L39" s="27"/>
      <c r="M39" s="27"/>
      <c r="N39" s="27"/>
      <c r="O39" s="27"/>
      <c r="P39" s="27"/>
      <c r="Q39" s="27"/>
      <c r="R39" s="27"/>
      <c r="S39" s="27"/>
      <c r="T39" s="27"/>
      <c r="U39" s="27"/>
      <c r="V39" s="27"/>
      <c r="W39" s="27"/>
      <c r="X39" s="27"/>
      <c r="Y39" s="27"/>
      <c r="Z39" s="27"/>
      <c r="AA39" s="27"/>
      <c r="AB39" s="27"/>
      <c r="AC39" s="27"/>
      <c r="AD39" s="27"/>
      <c r="AE39" s="27"/>
      <c r="AF39" s="27"/>
      <c r="AG39" s="27"/>
      <c r="AH39" s="27"/>
      <c r="AI39" s="27"/>
      <c r="AJ39" s="27"/>
      <c r="AK39" s="27"/>
      <c r="AL39" s="27"/>
      <c r="AM39" s="27"/>
      <c r="AN39" s="27"/>
      <c r="AO39" s="27"/>
      <c r="AP39" s="27"/>
      <c r="AQ39" s="27"/>
      <c r="AR39" s="27"/>
      <c r="AS39" s="27"/>
      <c r="AT39" s="27"/>
      <c r="AU39" s="27"/>
      <c r="AV39" s="27"/>
      <c r="AW39" s="27"/>
      <c r="AX39" s="27"/>
      <c r="AY39" s="27"/>
      <c r="AZ39" s="27"/>
      <c r="BA39" s="27"/>
      <c r="BB39" s="27"/>
      <c r="BC39" s="27"/>
      <c r="BD39" s="27"/>
      <c r="BE39" s="27"/>
      <c r="BF39" s="27"/>
      <c r="BG39" s="27"/>
      <c r="BH39" s="27"/>
      <c r="BI39" s="27"/>
      <c r="BJ39" s="27"/>
      <c r="BK39" s="27"/>
      <c r="BL39" s="27"/>
      <c r="BM39" s="27"/>
      <c r="BN39" s="27"/>
      <c r="BO39" s="27"/>
      <c r="BP39" s="27"/>
      <c r="BQ39" s="27"/>
      <c r="BR39" s="27"/>
      <c r="BS39" s="27"/>
      <c r="BT39" s="27"/>
      <c r="BU39" s="27"/>
      <c r="BV39" s="27"/>
      <c r="BW39" s="27"/>
      <c r="BX39" s="27"/>
      <c r="BY39" s="27"/>
      <c r="BZ39" s="27"/>
      <c r="CA39" s="27"/>
      <c r="CB39" s="27"/>
      <c r="CC39" s="27"/>
      <c r="CD39" s="27"/>
      <c r="CE39" s="27"/>
      <c r="CF39" s="27"/>
      <c r="CG39" s="27"/>
      <c r="CH39" s="27"/>
      <c r="CI39" s="27"/>
      <c r="CJ39" s="27"/>
      <c r="CK39" s="27"/>
      <c r="CL39" s="27"/>
      <c r="CM39" s="27"/>
      <c r="CN39" s="27"/>
      <c r="CO39" s="27"/>
      <c r="CP39" s="27"/>
      <c r="CQ39" s="27"/>
      <c r="CR39" s="27"/>
      <c r="CS39" s="27"/>
      <c r="CT39" s="27"/>
      <c r="CU39" s="27"/>
      <c r="CV39" s="27"/>
      <c r="CW39" s="27"/>
      <c r="CX39" s="27"/>
      <c r="CY39" s="27"/>
      <c r="CZ39" s="27"/>
      <c r="DA39" s="27"/>
      <c r="DB39" s="27"/>
      <c r="DC39" s="27"/>
      <c r="DD39" s="27"/>
      <c r="DE39" s="27"/>
      <c r="DF39" s="27"/>
      <c r="DG39" s="27"/>
      <c r="DH39" s="27"/>
      <c r="DI39" s="27"/>
      <c r="DJ39" s="27"/>
      <c r="DK39" s="27"/>
      <c r="DL39" s="27"/>
      <c r="DM39" s="27"/>
      <c r="DN39" s="27"/>
      <c r="DO39" s="27"/>
      <c r="DP39" s="27"/>
      <c r="DQ39" s="27"/>
      <c r="DR39" s="27"/>
      <c r="DS39" s="27"/>
      <c r="DT39" s="27"/>
      <c r="DU39" s="27"/>
      <c r="DV39" s="27"/>
      <c r="DW39" s="27"/>
      <c r="DX39" s="27"/>
      <c r="DY39" s="27"/>
      <c r="DZ39" s="27"/>
      <c r="EA39" s="27"/>
      <c r="EB39" s="27"/>
      <c r="EC39" s="27"/>
      <c r="ED39" s="27"/>
      <c r="EE39" s="27"/>
      <c r="EF39" s="27"/>
      <c r="EG39" s="27"/>
      <c r="EH39" s="27"/>
      <c r="EI39" s="27"/>
      <c r="EJ39" s="27"/>
      <c r="EK39" s="27"/>
      <c r="EL39" s="27"/>
      <c r="EM39" s="27"/>
      <c r="EN39" s="27"/>
      <c r="EO39" s="27"/>
      <c r="EP39" s="27"/>
      <c r="EQ39" s="27"/>
      <c r="ER39" s="27"/>
      <c r="ES39" s="27"/>
      <c r="ET39" s="27"/>
      <c r="EU39" s="27"/>
      <c r="EV39" s="27"/>
      <c r="EW39" s="27"/>
      <c r="EX39" s="27"/>
      <c r="EY39" s="27"/>
      <c r="EZ39" s="27"/>
      <c r="FA39" s="27"/>
      <c r="FB39" s="27"/>
      <c r="FC39" s="27"/>
      <c r="FD39" s="27"/>
      <c r="FE39" s="27"/>
      <c r="FF39" s="27"/>
      <c r="FG39" s="27"/>
      <c r="FH39" s="27"/>
      <c r="FI39" s="27"/>
      <c r="FJ39" s="27"/>
      <c r="FK39" s="27"/>
      <c r="FL39" s="27"/>
      <c r="FM39" s="27"/>
      <c r="FN39" s="27"/>
      <c r="FO39" s="27"/>
      <c r="FP39" s="27"/>
      <c r="FQ39" s="27"/>
      <c r="FR39" s="27"/>
      <c r="FS39" s="27"/>
      <c r="FT39" s="27"/>
      <c r="FU39" s="27"/>
      <c r="FV39" s="27"/>
      <c r="FW39" s="27"/>
      <c r="FX39" s="27"/>
      <c r="FY39" s="27"/>
      <c r="FZ39" s="27"/>
      <c r="GA39" s="27"/>
      <c r="GB39" s="27"/>
      <c r="GC39" s="27"/>
      <c r="GD39" s="27"/>
      <c r="GE39" s="27"/>
      <c r="GF39" s="27"/>
      <c r="GG39" s="27"/>
      <c r="GH39" s="27"/>
      <c r="GI39" s="27"/>
      <c r="GJ39" s="27"/>
      <c r="GK39" s="27"/>
      <c r="GL39" s="27"/>
      <c r="GM39" s="27"/>
      <c r="GN39" s="27"/>
      <c r="GO39" s="27"/>
      <c r="GP39" s="27"/>
      <c r="GQ39" s="27"/>
      <c r="GR39" s="27"/>
      <c r="GS39" s="27"/>
      <c r="GT39" s="27"/>
      <c r="GU39" s="27"/>
      <c r="GV39" s="27"/>
      <c r="GW39" s="27"/>
      <c r="GX39" s="27"/>
      <c r="GY39" s="27"/>
      <c r="GZ39" s="27"/>
      <c r="HA39" s="27"/>
      <c r="HB39" s="27"/>
      <c r="HC39" s="27"/>
      <c r="HD39" s="27"/>
      <c r="HE39" s="27"/>
      <c r="HF39" s="27"/>
      <c r="HG39" s="27"/>
      <c r="HH39" s="27"/>
      <c r="HI39" s="27"/>
      <c r="HJ39" s="27"/>
      <c r="HK39" s="27"/>
      <c r="HL39" s="27"/>
      <c r="HM39" s="27"/>
      <c r="HN39" s="27"/>
      <c r="HO39" s="27"/>
      <c r="HP39" s="27"/>
      <c r="HQ39" s="27"/>
      <c r="HR39" s="27"/>
      <c r="HS39" s="27"/>
      <c r="HT39" s="27"/>
      <c r="HU39" s="27"/>
      <c r="HV39" s="27"/>
      <c r="HW39" s="27"/>
      <c r="HX39" s="27"/>
      <c r="HY39" s="27"/>
      <c r="HZ39" s="27"/>
      <c r="IA39" s="27"/>
      <c r="IB39" s="27"/>
      <c r="IC39" s="27"/>
      <c r="ID39" s="27"/>
      <c r="IE39" s="27"/>
      <c r="IF39" s="27"/>
      <c r="IG39" s="27"/>
      <c r="IH39" s="27"/>
      <c r="II39" s="27"/>
      <c r="IJ39" s="27"/>
      <c r="IK39" s="27"/>
      <c r="IL39" s="27"/>
      <c r="IM39" s="27"/>
      <c r="IN39" s="27"/>
      <c r="IO39" s="27"/>
      <c r="IP39" s="27"/>
      <c r="IQ39" s="27"/>
      <c r="IR39" s="27"/>
      <c r="IS39" s="27"/>
    </row>
    <row r="40" spans="1:253" x14ac:dyDescent="0.25">
      <c r="A40" s="49" t="s">
        <v>155</v>
      </c>
      <c r="B40" s="39" t="s">
        <v>83</v>
      </c>
      <c r="C40" s="33"/>
      <c r="D40" s="33"/>
      <c r="E40" s="1723"/>
      <c r="F40" s="1726"/>
      <c r="G40" s="1726"/>
      <c r="H40" s="683"/>
      <c r="I40" s="1726"/>
      <c r="J40" s="44"/>
      <c r="K40" s="183"/>
      <c r="L40" s="183"/>
      <c r="M40" s="33"/>
      <c r="N40" s="27"/>
      <c r="O40" s="27"/>
      <c r="P40" s="27"/>
      <c r="Q40" s="27"/>
      <c r="R40" s="27"/>
      <c r="S40" s="27"/>
      <c r="T40" s="27"/>
      <c r="U40" s="27"/>
      <c r="V40" s="27"/>
      <c r="W40" s="27"/>
      <c r="X40" s="27"/>
      <c r="Y40" s="27"/>
      <c r="Z40" s="27"/>
      <c r="AA40" s="27"/>
      <c r="AB40" s="27"/>
      <c r="AC40" s="27"/>
      <c r="AD40" s="27"/>
      <c r="AE40" s="27"/>
      <c r="AF40" s="27"/>
      <c r="AG40" s="27"/>
      <c r="AH40" s="27"/>
      <c r="AI40" s="27"/>
      <c r="AJ40" s="27"/>
      <c r="AK40" s="27"/>
      <c r="AL40" s="27"/>
      <c r="AM40" s="27"/>
      <c r="AN40" s="27"/>
      <c r="AO40" s="27"/>
      <c r="AP40" s="27"/>
      <c r="AQ40" s="27"/>
      <c r="AR40" s="27"/>
      <c r="AS40" s="27"/>
      <c r="AT40" s="27"/>
      <c r="AU40" s="27"/>
      <c r="AV40" s="27"/>
      <c r="AW40" s="27"/>
      <c r="AX40" s="27"/>
      <c r="AY40" s="27"/>
      <c r="AZ40" s="27"/>
      <c r="BA40" s="27"/>
      <c r="BB40" s="27"/>
      <c r="BC40" s="27"/>
      <c r="BD40" s="27"/>
      <c r="BE40" s="27"/>
      <c r="BF40" s="27"/>
      <c r="BG40" s="27"/>
      <c r="BH40" s="27"/>
      <c r="BI40" s="27"/>
      <c r="BJ40" s="27"/>
      <c r="BK40" s="27"/>
      <c r="BL40" s="27"/>
      <c r="BM40" s="27"/>
      <c r="BN40" s="27"/>
      <c r="BO40" s="27"/>
      <c r="BP40" s="27"/>
      <c r="BQ40" s="27"/>
      <c r="BR40" s="27"/>
      <c r="BS40" s="27"/>
      <c r="BT40" s="27"/>
      <c r="BU40" s="27"/>
      <c r="BV40" s="27"/>
      <c r="BW40" s="27"/>
      <c r="BX40" s="27"/>
      <c r="BY40" s="27"/>
      <c r="BZ40" s="27"/>
      <c r="CA40" s="27"/>
      <c r="CB40" s="27"/>
      <c r="CC40" s="27"/>
      <c r="CD40" s="27"/>
      <c r="CE40" s="27"/>
      <c r="CF40" s="27"/>
      <c r="CG40" s="27"/>
      <c r="CH40" s="27"/>
      <c r="CI40" s="27"/>
      <c r="CJ40" s="27"/>
      <c r="CK40" s="27"/>
      <c r="CL40" s="27"/>
      <c r="CM40" s="27"/>
      <c r="CN40" s="27"/>
      <c r="CO40" s="27"/>
      <c r="CP40" s="27"/>
      <c r="CQ40" s="27"/>
      <c r="CR40" s="27"/>
      <c r="CS40" s="27"/>
      <c r="CT40" s="27"/>
      <c r="CU40" s="27"/>
      <c r="CV40" s="27"/>
      <c r="CW40" s="27"/>
      <c r="CX40" s="27"/>
      <c r="CY40" s="27"/>
      <c r="CZ40" s="27"/>
      <c r="DA40" s="27"/>
      <c r="DB40" s="27"/>
      <c r="DC40" s="27"/>
      <c r="DD40" s="27"/>
      <c r="DE40" s="27"/>
      <c r="DF40" s="27"/>
      <c r="DG40" s="27"/>
      <c r="DH40" s="27"/>
      <c r="DI40" s="27"/>
      <c r="DJ40" s="27"/>
      <c r="DK40" s="27"/>
      <c r="DL40" s="27"/>
      <c r="DM40" s="27"/>
      <c r="DN40" s="27"/>
      <c r="DO40" s="27"/>
      <c r="DP40" s="27"/>
      <c r="DQ40" s="27"/>
      <c r="DR40" s="27"/>
      <c r="DS40" s="27"/>
      <c r="DT40" s="27"/>
      <c r="DU40" s="27"/>
      <c r="DV40" s="27"/>
      <c r="DW40" s="27"/>
      <c r="DX40" s="27"/>
      <c r="DY40" s="27"/>
      <c r="DZ40" s="27"/>
      <c r="EA40" s="27"/>
      <c r="EB40" s="27"/>
      <c r="EC40" s="27"/>
      <c r="ED40" s="27"/>
      <c r="EE40" s="27"/>
      <c r="EF40" s="27"/>
      <c r="EG40" s="27"/>
      <c r="EH40" s="27"/>
      <c r="EI40" s="27"/>
      <c r="EJ40" s="27"/>
      <c r="EK40" s="27"/>
      <c r="EL40" s="27"/>
      <c r="EM40" s="27"/>
      <c r="EN40" s="27"/>
      <c r="EO40" s="27"/>
      <c r="EP40" s="27"/>
      <c r="EQ40" s="27"/>
      <c r="ER40" s="27"/>
      <c r="ES40" s="27"/>
      <c r="ET40" s="27"/>
      <c r="EU40" s="27"/>
      <c r="EV40" s="27"/>
      <c r="EW40" s="27"/>
      <c r="EX40" s="27"/>
      <c r="EY40" s="27"/>
      <c r="EZ40" s="27"/>
      <c r="FA40" s="27"/>
      <c r="FB40" s="27"/>
      <c r="FC40" s="27"/>
      <c r="FD40" s="27"/>
      <c r="FE40" s="27"/>
      <c r="FF40" s="27"/>
      <c r="FG40" s="27"/>
      <c r="FH40" s="27"/>
      <c r="FI40" s="27"/>
      <c r="FJ40" s="27"/>
      <c r="FK40" s="27"/>
      <c r="FL40" s="27"/>
      <c r="FM40" s="27"/>
      <c r="FN40" s="27"/>
      <c r="FO40" s="27"/>
      <c r="FP40" s="27"/>
      <c r="FQ40" s="27"/>
      <c r="FR40" s="27"/>
      <c r="FS40" s="27"/>
      <c r="FT40" s="27"/>
      <c r="FU40" s="27"/>
      <c r="FV40" s="27"/>
      <c r="FW40" s="27"/>
      <c r="FX40" s="27"/>
      <c r="FY40" s="27"/>
      <c r="FZ40" s="27"/>
      <c r="GA40" s="27"/>
      <c r="GB40" s="27"/>
      <c r="GC40" s="27"/>
      <c r="GD40" s="27"/>
      <c r="GE40" s="27"/>
      <c r="GF40" s="27"/>
      <c r="GG40" s="27"/>
      <c r="GH40" s="27"/>
      <c r="GI40" s="27"/>
      <c r="GJ40" s="27"/>
      <c r="GK40" s="27"/>
      <c r="GL40" s="27"/>
      <c r="GM40" s="27"/>
      <c r="GN40" s="27"/>
      <c r="GO40" s="27"/>
      <c r="GP40" s="27"/>
      <c r="GQ40" s="27"/>
      <c r="GR40" s="27"/>
      <c r="GS40" s="27"/>
      <c r="GT40" s="27"/>
      <c r="GU40" s="27"/>
      <c r="GV40" s="27"/>
      <c r="GW40" s="27"/>
      <c r="GX40" s="27"/>
      <c r="GY40" s="27"/>
      <c r="GZ40" s="27"/>
      <c r="HA40" s="27"/>
      <c r="HB40" s="27"/>
      <c r="HC40" s="27"/>
      <c r="HD40" s="27"/>
      <c r="HE40" s="27"/>
      <c r="HF40" s="27"/>
      <c r="HG40" s="27"/>
      <c r="HH40" s="27"/>
      <c r="HI40" s="27"/>
      <c r="HJ40" s="27"/>
      <c r="HK40" s="27"/>
      <c r="HL40" s="27"/>
      <c r="HM40" s="27"/>
      <c r="HN40" s="27"/>
      <c r="HO40" s="27"/>
      <c r="HP40" s="27"/>
      <c r="HQ40" s="27"/>
      <c r="HR40" s="27"/>
      <c r="HS40" s="27"/>
      <c r="HT40" s="27"/>
      <c r="HU40" s="27"/>
      <c r="HV40" s="27"/>
      <c r="HW40" s="27"/>
      <c r="HX40" s="27"/>
      <c r="HY40" s="27"/>
      <c r="HZ40" s="27"/>
      <c r="IA40" s="27"/>
      <c r="IB40" s="27"/>
      <c r="IC40" s="27"/>
      <c r="ID40" s="27"/>
      <c r="IE40" s="27"/>
      <c r="IF40" s="27"/>
      <c r="IG40" s="27"/>
      <c r="IH40" s="27"/>
      <c r="II40" s="27"/>
      <c r="IJ40" s="27"/>
      <c r="IK40" s="27"/>
      <c r="IL40" s="27"/>
      <c r="IM40" s="27"/>
      <c r="IN40" s="27"/>
      <c r="IO40" s="27"/>
      <c r="IP40" s="27"/>
      <c r="IQ40" s="27"/>
      <c r="IR40" s="27"/>
      <c r="IS40" s="27"/>
    </row>
    <row r="41" spans="1:253" x14ac:dyDescent="0.25">
      <c r="A41" s="41"/>
      <c r="B41" s="33" t="s">
        <v>1435</v>
      </c>
      <c r="C41" s="33"/>
      <c r="D41" s="33"/>
      <c r="E41" s="1723">
        <f>Hoja1!D14</f>
        <v>1515107.81</v>
      </c>
      <c r="F41" s="1731">
        <f>AM_DIRECTO!G32-AM_DIRECTO!G33</f>
        <v>577664.61999999988</v>
      </c>
      <c r="G41" s="47">
        <f>AM_DIRECTO!G33</f>
        <v>21359.279999999999</v>
      </c>
      <c r="H41" s="47">
        <f>+F41+G41</f>
        <v>599023.89999999991</v>
      </c>
      <c r="I41" s="1726"/>
      <c r="J41" s="48">
        <f>E41-H41</f>
        <v>916083.91000000015</v>
      </c>
      <c r="K41" s="183" t="s">
        <v>257</v>
      </c>
      <c r="L41" s="183" t="s">
        <v>258</v>
      </c>
      <c r="M41" s="183" t="s">
        <v>259</v>
      </c>
      <c r="N41" s="183" t="s">
        <v>260</v>
      </c>
      <c r="P41" s="344">
        <f t="shared" ref="P41:P42" si="1">+H41/E41</f>
        <v>0.39536717852441133</v>
      </c>
      <c r="Q41" s="33" t="s">
        <v>249</v>
      </c>
      <c r="R41" s="27"/>
      <c r="S41" s="27"/>
      <c r="T41" s="27"/>
      <c r="U41" s="27"/>
      <c r="V41" s="27"/>
      <c r="W41" s="27"/>
      <c r="X41" s="27"/>
      <c r="Y41" s="27"/>
      <c r="Z41" s="27"/>
      <c r="AA41" s="27"/>
      <c r="AB41" s="27"/>
      <c r="AC41" s="27"/>
      <c r="AD41" s="27"/>
      <c r="AE41" s="27"/>
      <c r="AF41" s="27"/>
      <c r="AG41" s="27"/>
      <c r="AH41" s="27"/>
      <c r="AI41" s="27"/>
      <c r="AJ41" s="27"/>
      <c r="AK41" s="27"/>
      <c r="AL41" s="27"/>
      <c r="AM41" s="27"/>
      <c r="AN41" s="27"/>
      <c r="AO41" s="27"/>
      <c r="AP41" s="27"/>
      <c r="AQ41" s="27"/>
      <c r="AR41" s="27"/>
      <c r="AS41" s="27"/>
      <c r="AT41" s="27"/>
      <c r="AU41" s="27"/>
      <c r="AV41" s="27"/>
      <c r="AW41" s="27"/>
      <c r="AX41" s="27"/>
      <c r="AY41" s="27"/>
      <c r="AZ41" s="27"/>
      <c r="BA41" s="27"/>
      <c r="BB41" s="27"/>
      <c r="BC41" s="27"/>
      <c r="BD41" s="27"/>
      <c r="BE41" s="27"/>
      <c r="BF41" s="27"/>
      <c r="BG41" s="27"/>
      <c r="BH41" s="27"/>
      <c r="BI41" s="27"/>
      <c r="BJ41" s="27"/>
      <c r="BK41" s="27"/>
      <c r="BL41" s="27"/>
      <c r="BM41" s="27"/>
      <c r="BN41" s="27"/>
      <c r="BO41" s="27"/>
      <c r="BP41" s="27"/>
      <c r="BQ41" s="27"/>
      <c r="BR41" s="27"/>
      <c r="BS41" s="27"/>
      <c r="BT41" s="27"/>
      <c r="BU41" s="27"/>
      <c r="BV41" s="27"/>
      <c r="BW41" s="27"/>
      <c r="BX41" s="27"/>
      <c r="BY41" s="27"/>
      <c r="BZ41" s="27"/>
      <c r="CA41" s="27"/>
      <c r="CB41" s="27"/>
      <c r="CC41" s="27"/>
      <c r="CD41" s="27"/>
      <c r="CE41" s="27"/>
      <c r="CF41" s="27"/>
      <c r="CG41" s="27"/>
      <c r="CH41" s="27"/>
      <c r="CI41" s="27"/>
      <c r="CJ41" s="27"/>
      <c r="CK41" s="27"/>
      <c r="CL41" s="27"/>
      <c r="CM41" s="27"/>
      <c r="CN41" s="27"/>
      <c r="CO41" s="27"/>
      <c r="CP41" s="27"/>
      <c r="CQ41" s="27"/>
      <c r="CR41" s="27"/>
      <c r="CS41" s="27"/>
      <c r="CT41" s="27"/>
      <c r="CU41" s="27"/>
      <c r="CV41" s="27"/>
      <c r="CW41" s="27"/>
      <c r="CX41" s="27"/>
      <c r="CY41" s="27"/>
      <c r="CZ41" s="27"/>
      <c r="DA41" s="27"/>
      <c r="DB41" s="27"/>
      <c r="DC41" s="27"/>
      <c r="DD41" s="27"/>
      <c r="DE41" s="27"/>
      <c r="DF41" s="27"/>
      <c r="DG41" s="27"/>
      <c r="DH41" s="27"/>
      <c r="DI41" s="27"/>
      <c r="DJ41" s="27"/>
      <c r="DK41" s="27"/>
      <c r="DL41" s="27"/>
      <c r="DM41" s="27"/>
      <c r="DN41" s="27"/>
      <c r="DO41" s="27"/>
      <c r="DP41" s="27"/>
      <c r="DQ41" s="27"/>
      <c r="DR41" s="27"/>
      <c r="DS41" s="27"/>
      <c r="DT41" s="27"/>
      <c r="DU41" s="27"/>
      <c r="DV41" s="27"/>
      <c r="DW41" s="27"/>
      <c r="DX41" s="27"/>
      <c r="DY41" s="27"/>
      <c r="DZ41" s="27"/>
      <c r="EA41" s="27"/>
      <c r="EB41" s="27"/>
      <c r="EC41" s="27"/>
      <c r="ED41" s="27"/>
      <c r="EE41" s="27"/>
      <c r="EF41" s="27"/>
      <c r="EG41" s="27"/>
      <c r="EH41" s="27"/>
      <c r="EI41" s="27"/>
      <c r="EJ41" s="27"/>
      <c r="EK41" s="27"/>
      <c r="EL41" s="27"/>
      <c r="EM41" s="27"/>
      <c r="EN41" s="27"/>
      <c r="EO41" s="27"/>
      <c r="EP41" s="27"/>
      <c r="EQ41" s="27"/>
      <c r="ER41" s="27"/>
      <c r="ES41" s="27"/>
      <c r="ET41" s="27"/>
      <c r="EU41" s="27"/>
      <c r="EV41" s="27"/>
      <c r="EW41" s="27"/>
      <c r="EX41" s="27"/>
      <c r="EY41" s="27"/>
      <c r="EZ41" s="27"/>
      <c r="FA41" s="27"/>
      <c r="FB41" s="27"/>
      <c r="FC41" s="27"/>
      <c r="FD41" s="27"/>
      <c r="FE41" s="27"/>
      <c r="FF41" s="27"/>
      <c r="FG41" s="27"/>
      <c r="FH41" s="27"/>
      <c r="FI41" s="27"/>
      <c r="FJ41" s="27"/>
      <c r="FK41" s="27"/>
      <c r="FL41" s="27"/>
      <c r="FM41" s="27"/>
      <c r="FN41" s="27"/>
      <c r="FO41" s="27"/>
      <c r="FP41" s="27"/>
      <c r="FQ41" s="27"/>
      <c r="FR41" s="27"/>
      <c r="FS41" s="27"/>
      <c r="FT41" s="27"/>
      <c r="FU41" s="27"/>
      <c r="FV41" s="27"/>
      <c r="FW41" s="27"/>
      <c r="FX41" s="27"/>
      <c r="FY41" s="27"/>
      <c r="FZ41" s="27"/>
      <c r="GA41" s="27"/>
      <c r="GB41" s="27"/>
      <c r="GC41" s="27"/>
      <c r="GD41" s="27"/>
      <c r="GE41" s="27"/>
      <c r="GF41" s="27"/>
      <c r="GG41" s="27"/>
      <c r="GH41" s="27"/>
      <c r="GI41" s="27"/>
      <c r="GJ41" s="27"/>
      <c r="GK41" s="27"/>
      <c r="GL41" s="27"/>
      <c r="GM41" s="27"/>
      <c r="GN41" s="27"/>
      <c r="GO41" s="27"/>
      <c r="GP41" s="27"/>
      <c r="GQ41" s="27"/>
      <c r="GR41" s="27"/>
      <c r="GS41" s="27"/>
      <c r="GT41" s="27"/>
      <c r="GU41" s="27"/>
      <c r="GV41" s="27"/>
      <c r="GW41" s="27"/>
      <c r="GX41" s="27"/>
      <c r="GY41" s="27"/>
      <c r="GZ41" s="27"/>
      <c r="HA41" s="27"/>
      <c r="HB41" s="27"/>
      <c r="HC41" s="27"/>
      <c r="HD41" s="27"/>
      <c r="HE41" s="27"/>
      <c r="HF41" s="27"/>
      <c r="HG41" s="27"/>
      <c r="HH41" s="27"/>
      <c r="HI41" s="27"/>
      <c r="HJ41" s="27"/>
      <c r="HK41" s="27"/>
      <c r="HL41" s="27"/>
      <c r="HM41" s="27"/>
      <c r="HN41" s="27"/>
      <c r="HO41" s="27"/>
      <c r="HP41" s="27"/>
      <c r="HQ41" s="27"/>
      <c r="HR41" s="27"/>
      <c r="HS41" s="27"/>
      <c r="HT41" s="27"/>
      <c r="HU41" s="27"/>
      <c r="HV41" s="27"/>
      <c r="HW41" s="27"/>
      <c r="HX41" s="27"/>
      <c r="HY41" s="27"/>
      <c r="HZ41" s="27"/>
      <c r="IA41" s="27"/>
      <c r="IB41" s="27"/>
      <c r="IC41" s="27"/>
      <c r="ID41" s="27"/>
      <c r="IE41" s="27"/>
      <c r="IF41" s="27"/>
      <c r="IG41" s="27"/>
      <c r="IH41" s="27"/>
      <c r="II41" s="27"/>
      <c r="IJ41" s="27"/>
      <c r="IK41" s="27"/>
      <c r="IL41" s="27"/>
      <c r="IM41" s="27"/>
      <c r="IN41" s="27"/>
      <c r="IO41" s="27"/>
      <c r="IP41" s="27"/>
      <c r="IQ41" s="27"/>
      <c r="IR41" s="27"/>
      <c r="IS41" s="27"/>
    </row>
    <row r="42" spans="1:253" x14ac:dyDescent="0.25">
      <c r="A42" s="41"/>
      <c r="B42" s="75" t="s">
        <v>156</v>
      </c>
      <c r="C42" s="33"/>
      <c r="D42" s="33"/>
      <c r="E42" s="1723">
        <f>+Hoja1!D15</f>
        <v>3030215.61</v>
      </c>
      <c r="F42" s="83">
        <f>+AM_MAT_!J141</f>
        <v>2456020.4582542526</v>
      </c>
      <c r="G42" s="83">
        <f>AM_MAT_!J142</f>
        <v>0</v>
      </c>
      <c r="H42" s="47">
        <f t="shared" ref="H42" si="2">+F42+G42</f>
        <v>2456020.4582542526</v>
      </c>
      <c r="I42" s="1726"/>
      <c r="J42" s="48">
        <f>E42-H42</f>
        <v>574195.15174574731</v>
      </c>
      <c r="K42" s="1716" t="e">
        <f>SUM(#REF!)</f>
        <v>#REF!</v>
      </c>
      <c r="L42" s="183"/>
      <c r="M42" s="183"/>
      <c r="N42" s="183"/>
      <c r="O42" s="183"/>
      <c r="P42" s="344">
        <f t="shared" si="1"/>
        <v>0.81051013338758848</v>
      </c>
      <c r="Q42" s="33" t="s">
        <v>250</v>
      </c>
      <c r="R42" s="27"/>
      <c r="S42" s="27"/>
      <c r="T42" s="27"/>
      <c r="U42" s="27"/>
      <c r="V42" s="27"/>
      <c r="W42" s="27"/>
      <c r="X42" s="27"/>
      <c r="Y42" s="27"/>
      <c r="Z42" s="27"/>
      <c r="AA42" s="27"/>
      <c r="AB42" s="27"/>
      <c r="AC42" s="27"/>
      <c r="AD42" s="27"/>
      <c r="AE42" s="27"/>
      <c r="AF42" s="27"/>
      <c r="AG42" s="27"/>
      <c r="AH42" s="27"/>
      <c r="AI42" s="27"/>
      <c r="AJ42" s="27"/>
      <c r="AK42" s="27"/>
      <c r="AL42" s="27"/>
      <c r="AM42" s="27"/>
      <c r="AN42" s="27"/>
      <c r="AO42" s="27"/>
      <c r="AP42" s="27"/>
      <c r="AQ42" s="27"/>
      <c r="AR42" s="27"/>
      <c r="AS42" s="27"/>
      <c r="AT42" s="27"/>
      <c r="AU42" s="27"/>
      <c r="AV42" s="27"/>
      <c r="AW42" s="27"/>
      <c r="AX42" s="27"/>
      <c r="AY42" s="27"/>
      <c r="AZ42" s="27"/>
      <c r="BA42" s="27"/>
      <c r="BB42" s="27"/>
      <c r="BC42" s="27"/>
      <c r="BD42" s="27"/>
      <c r="BE42" s="27"/>
      <c r="BF42" s="27"/>
      <c r="BG42" s="27"/>
      <c r="BH42" s="27"/>
      <c r="BI42" s="27"/>
      <c r="BJ42" s="27"/>
      <c r="BK42" s="27"/>
      <c r="BL42" s="27"/>
      <c r="BM42" s="27"/>
      <c r="BN42" s="27"/>
      <c r="BO42" s="27"/>
      <c r="BP42" s="27"/>
      <c r="BQ42" s="27"/>
      <c r="BR42" s="27"/>
      <c r="BS42" s="27"/>
      <c r="BT42" s="27"/>
      <c r="BU42" s="27"/>
      <c r="BV42" s="27"/>
      <c r="BW42" s="27"/>
      <c r="BX42" s="27"/>
      <c r="BY42" s="27"/>
      <c r="BZ42" s="27"/>
      <c r="CA42" s="27"/>
      <c r="CB42" s="27"/>
      <c r="CC42" s="27"/>
      <c r="CD42" s="27"/>
      <c r="CE42" s="27"/>
      <c r="CF42" s="27"/>
      <c r="CG42" s="27"/>
      <c r="CH42" s="27"/>
      <c r="CI42" s="27"/>
      <c r="CJ42" s="27"/>
      <c r="CK42" s="27"/>
      <c r="CL42" s="27"/>
      <c r="CM42" s="27"/>
      <c r="CN42" s="27"/>
      <c r="CO42" s="27"/>
      <c r="CP42" s="27"/>
      <c r="CQ42" s="27"/>
      <c r="CR42" s="27"/>
      <c r="CS42" s="27"/>
      <c r="CT42" s="27"/>
      <c r="CU42" s="27"/>
      <c r="CV42" s="27"/>
      <c r="CW42" s="27"/>
      <c r="CX42" s="27"/>
      <c r="CY42" s="27"/>
      <c r="CZ42" s="27"/>
      <c r="DA42" s="27"/>
      <c r="DB42" s="27"/>
      <c r="DC42" s="27"/>
      <c r="DD42" s="27"/>
      <c r="DE42" s="27"/>
      <c r="DF42" s="27"/>
      <c r="DG42" s="27"/>
      <c r="DH42" s="27"/>
      <c r="DI42" s="27"/>
      <c r="DJ42" s="27"/>
      <c r="DK42" s="27"/>
      <c r="DL42" s="27"/>
      <c r="DM42" s="27"/>
      <c r="DN42" s="27"/>
      <c r="DO42" s="27"/>
      <c r="DP42" s="27"/>
      <c r="DQ42" s="27"/>
      <c r="DR42" s="27"/>
      <c r="DS42" s="27"/>
      <c r="DT42" s="27"/>
      <c r="DU42" s="27"/>
      <c r="DV42" s="27"/>
      <c r="DW42" s="27"/>
      <c r="DX42" s="27"/>
      <c r="DY42" s="27"/>
      <c r="DZ42" s="27"/>
      <c r="EA42" s="27"/>
      <c r="EB42" s="27"/>
      <c r="EC42" s="27"/>
      <c r="ED42" s="27"/>
      <c r="EE42" s="27"/>
      <c r="EF42" s="27"/>
      <c r="EG42" s="27"/>
      <c r="EH42" s="27"/>
      <c r="EI42" s="27"/>
      <c r="EJ42" s="27"/>
      <c r="EK42" s="27"/>
      <c r="EL42" s="27"/>
      <c r="EM42" s="27"/>
      <c r="EN42" s="27"/>
      <c r="EO42" s="27"/>
      <c r="EP42" s="27"/>
      <c r="EQ42" s="27"/>
      <c r="ER42" s="27"/>
      <c r="ES42" s="27"/>
      <c r="ET42" s="27"/>
      <c r="EU42" s="27"/>
      <c r="EV42" s="27"/>
      <c r="EW42" s="27"/>
      <c r="EX42" s="27"/>
      <c r="EY42" s="27"/>
      <c r="EZ42" s="27"/>
      <c r="FA42" s="27"/>
      <c r="FB42" s="27"/>
      <c r="FC42" s="27"/>
      <c r="FD42" s="27"/>
      <c r="FE42" s="27"/>
      <c r="FF42" s="27"/>
      <c r="FG42" s="27"/>
      <c r="FH42" s="27"/>
      <c r="FI42" s="27"/>
      <c r="FJ42" s="27"/>
      <c r="FK42" s="27"/>
      <c r="FL42" s="27"/>
      <c r="FM42" s="27"/>
      <c r="FN42" s="27"/>
      <c r="FO42" s="27"/>
      <c r="FP42" s="27"/>
      <c r="FQ42" s="27"/>
      <c r="FR42" s="27"/>
      <c r="FS42" s="27"/>
      <c r="FT42" s="27"/>
      <c r="FU42" s="27"/>
      <c r="FV42" s="27"/>
      <c r="FW42" s="27"/>
      <c r="FX42" s="27"/>
      <c r="FY42" s="27"/>
      <c r="FZ42" s="27"/>
      <c r="GA42" s="27"/>
      <c r="GB42" s="27"/>
      <c r="GC42" s="27"/>
      <c r="GD42" s="27"/>
      <c r="GE42" s="27"/>
      <c r="GF42" s="27"/>
      <c r="GG42" s="27"/>
      <c r="GH42" s="27"/>
      <c r="GI42" s="27"/>
      <c r="GJ42" s="27"/>
      <c r="GK42" s="27"/>
      <c r="GL42" s="27"/>
      <c r="GM42" s="27"/>
      <c r="GN42" s="27"/>
      <c r="GO42" s="27"/>
      <c r="GP42" s="27"/>
      <c r="GQ42" s="27"/>
      <c r="GR42" s="27"/>
      <c r="GS42" s="27"/>
      <c r="GT42" s="27"/>
      <c r="GU42" s="27"/>
      <c r="GV42" s="27"/>
      <c r="GW42" s="27"/>
      <c r="GX42" s="27"/>
      <c r="GY42" s="27"/>
      <c r="GZ42" s="27"/>
      <c r="HA42" s="27"/>
      <c r="HB42" s="27"/>
      <c r="HC42" s="27"/>
      <c r="HD42" s="27"/>
      <c r="HE42" s="27"/>
      <c r="HF42" s="27"/>
      <c r="HG42" s="27"/>
      <c r="HH42" s="27"/>
      <c r="HI42" s="27"/>
      <c r="HJ42" s="27"/>
      <c r="HK42" s="27"/>
      <c r="HL42" s="27"/>
      <c r="HM42" s="27"/>
      <c r="HN42" s="27"/>
      <c r="HO42" s="27"/>
      <c r="HP42" s="27"/>
      <c r="HQ42" s="27"/>
      <c r="HR42" s="27"/>
      <c r="HS42" s="27"/>
      <c r="HT42" s="27"/>
      <c r="HU42" s="27"/>
      <c r="HV42" s="27"/>
      <c r="HW42" s="27"/>
      <c r="HX42" s="27"/>
      <c r="HY42" s="27"/>
      <c r="HZ42" s="27"/>
      <c r="IA42" s="27"/>
      <c r="IB42" s="27"/>
      <c r="IC42" s="27"/>
      <c r="ID42" s="27"/>
      <c r="IE42" s="27"/>
      <c r="IF42" s="27"/>
      <c r="IG42" s="27"/>
      <c r="IH42" s="27"/>
      <c r="II42" s="27"/>
      <c r="IJ42" s="27"/>
      <c r="IK42" s="27"/>
      <c r="IL42" s="27"/>
      <c r="IM42" s="27"/>
      <c r="IN42" s="27"/>
      <c r="IO42" s="27"/>
      <c r="IP42" s="27"/>
      <c r="IQ42" s="27"/>
      <c r="IR42" s="27"/>
      <c r="IS42" s="27"/>
    </row>
    <row r="43" spans="1:253" x14ac:dyDescent="0.25">
      <c r="A43" s="41"/>
      <c r="B43" s="75"/>
      <c r="C43" s="33"/>
      <c r="D43" s="33"/>
      <c r="E43" s="1733"/>
      <c r="F43" s="79"/>
      <c r="G43" s="79"/>
      <c r="H43" s="79"/>
      <c r="I43" s="1726"/>
      <c r="J43" s="81"/>
      <c r="K43" s="140"/>
      <c r="P43" s="27"/>
      <c r="Q43" s="27"/>
      <c r="R43" s="27"/>
      <c r="S43" s="27"/>
      <c r="T43" s="27"/>
      <c r="U43" s="27"/>
      <c r="V43" s="27"/>
      <c r="W43" s="27"/>
      <c r="X43" s="27"/>
      <c r="Y43" s="27"/>
      <c r="Z43" s="27"/>
      <c r="AA43" s="27"/>
      <c r="AB43" s="27"/>
      <c r="AC43" s="27"/>
      <c r="AD43" s="27"/>
      <c r="AE43" s="27"/>
      <c r="AF43" s="27"/>
      <c r="AG43" s="27"/>
      <c r="AH43" s="27"/>
      <c r="AI43" s="27"/>
      <c r="AJ43" s="27"/>
      <c r="AK43" s="27"/>
      <c r="AL43" s="27"/>
      <c r="AM43" s="27"/>
      <c r="AN43" s="27"/>
      <c r="AO43" s="27"/>
      <c r="AP43" s="27"/>
      <c r="AQ43" s="27"/>
      <c r="AR43" s="27"/>
      <c r="AS43" s="27"/>
      <c r="AT43" s="27"/>
      <c r="AU43" s="27"/>
      <c r="AV43" s="27"/>
      <c r="AW43" s="27"/>
      <c r="AX43" s="27"/>
      <c r="AY43" s="27"/>
      <c r="AZ43" s="27"/>
      <c r="BA43" s="27"/>
      <c r="BB43" s="27"/>
      <c r="BC43" s="27"/>
      <c r="BD43" s="27"/>
      <c r="BE43" s="27"/>
      <c r="BF43" s="27"/>
      <c r="BG43" s="27"/>
      <c r="BH43" s="27"/>
      <c r="BI43" s="27"/>
      <c r="BJ43" s="27"/>
      <c r="BK43" s="27"/>
      <c r="BL43" s="27"/>
      <c r="BM43" s="27"/>
      <c r="BN43" s="27"/>
      <c r="BO43" s="27"/>
      <c r="BP43" s="27"/>
      <c r="BQ43" s="27"/>
      <c r="BR43" s="27"/>
      <c r="BS43" s="27"/>
      <c r="BT43" s="27"/>
      <c r="BU43" s="27"/>
      <c r="BV43" s="27"/>
      <c r="BW43" s="27"/>
      <c r="BX43" s="27"/>
      <c r="BY43" s="27"/>
      <c r="BZ43" s="27"/>
      <c r="CA43" s="27"/>
      <c r="CB43" s="27"/>
      <c r="CC43" s="27"/>
      <c r="CD43" s="27"/>
      <c r="CE43" s="27"/>
      <c r="CF43" s="27"/>
      <c r="CG43" s="27"/>
      <c r="CH43" s="27"/>
      <c r="CI43" s="27"/>
      <c r="CJ43" s="27"/>
      <c r="CK43" s="27"/>
      <c r="CL43" s="27"/>
      <c r="CM43" s="27"/>
      <c r="CN43" s="27"/>
      <c r="CO43" s="27"/>
      <c r="CP43" s="27"/>
      <c r="CQ43" s="27"/>
      <c r="CR43" s="27"/>
      <c r="CS43" s="27"/>
      <c r="CT43" s="27"/>
      <c r="CU43" s="27"/>
      <c r="CV43" s="27"/>
      <c r="CW43" s="27"/>
      <c r="CX43" s="27"/>
      <c r="CY43" s="27"/>
      <c r="CZ43" s="27"/>
      <c r="DA43" s="27"/>
      <c r="DB43" s="27"/>
      <c r="DC43" s="27"/>
      <c r="DD43" s="27"/>
      <c r="DE43" s="27"/>
      <c r="DF43" s="27"/>
      <c r="DG43" s="27"/>
      <c r="DH43" s="27"/>
      <c r="DI43" s="27"/>
      <c r="DJ43" s="27"/>
      <c r="DK43" s="27"/>
      <c r="DL43" s="27"/>
      <c r="DM43" s="27"/>
      <c r="DN43" s="27"/>
      <c r="DO43" s="27"/>
      <c r="DP43" s="27"/>
      <c r="DQ43" s="27"/>
      <c r="DR43" s="27"/>
      <c r="DS43" s="27"/>
      <c r="DT43" s="27"/>
      <c r="DU43" s="27"/>
      <c r="DV43" s="27"/>
      <c r="DW43" s="27"/>
      <c r="DX43" s="27"/>
      <c r="DY43" s="27"/>
      <c r="DZ43" s="27"/>
      <c r="EA43" s="27"/>
      <c r="EB43" s="27"/>
      <c r="EC43" s="27"/>
      <c r="ED43" s="27"/>
      <c r="EE43" s="27"/>
      <c r="EF43" s="27"/>
      <c r="EG43" s="27"/>
      <c r="EH43" s="27"/>
      <c r="EI43" s="27"/>
      <c r="EJ43" s="27"/>
      <c r="EK43" s="27"/>
      <c r="EL43" s="27"/>
      <c r="EM43" s="27"/>
      <c r="EN43" s="27"/>
      <c r="EO43" s="27"/>
      <c r="EP43" s="27"/>
      <c r="EQ43" s="27"/>
      <c r="ER43" s="27"/>
      <c r="ES43" s="27"/>
      <c r="ET43" s="27"/>
      <c r="EU43" s="27"/>
      <c r="EV43" s="27"/>
      <c r="EW43" s="27"/>
      <c r="EX43" s="27"/>
      <c r="EY43" s="27"/>
      <c r="EZ43" s="27"/>
      <c r="FA43" s="27"/>
      <c r="FB43" s="27"/>
      <c r="FC43" s="27"/>
      <c r="FD43" s="27"/>
      <c r="FE43" s="27"/>
      <c r="FF43" s="27"/>
      <c r="FG43" s="27"/>
      <c r="FH43" s="27"/>
      <c r="FI43" s="27"/>
      <c r="FJ43" s="27"/>
      <c r="FK43" s="27"/>
      <c r="FL43" s="27"/>
      <c r="FM43" s="27"/>
      <c r="FN43" s="27"/>
      <c r="FO43" s="27"/>
      <c r="FP43" s="27"/>
      <c r="FQ43" s="27"/>
      <c r="FR43" s="27"/>
      <c r="FS43" s="27"/>
      <c r="FT43" s="27"/>
      <c r="FU43" s="27"/>
      <c r="FV43" s="27"/>
      <c r="FW43" s="27"/>
      <c r="FX43" s="27"/>
      <c r="FY43" s="27"/>
      <c r="FZ43" s="27"/>
      <c r="GA43" s="27"/>
      <c r="GB43" s="27"/>
      <c r="GC43" s="27"/>
      <c r="GD43" s="27"/>
      <c r="GE43" s="27"/>
      <c r="GF43" s="27"/>
      <c r="GG43" s="27"/>
      <c r="GH43" s="27"/>
      <c r="GI43" s="27"/>
      <c r="GJ43" s="27"/>
      <c r="GK43" s="27"/>
      <c r="GL43" s="27"/>
      <c r="GM43" s="27"/>
      <c r="GN43" s="27"/>
      <c r="GO43" s="27"/>
      <c r="GP43" s="27"/>
      <c r="GQ43" s="27"/>
      <c r="GR43" s="27"/>
      <c r="GS43" s="27"/>
      <c r="GT43" s="27"/>
      <c r="GU43" s="27"/>
      <c r="GV43" s="27"/>
      <c r="GW43" s="27"/>
      <c r="GX43" s="27"/>
      <c r="GY43" s="27"/>
      <c r="GZ43" s="27"/>
      <c r="HA43" s="27"/>
      <c r="HB43" s="27"/>
      <c r="HC43" s="27"/>
      <c r="HD43" s="27"/>
      <c r="HE43" s="27"/>
      <c r="HF43" s="27"/>
      <c r="HG43" s="27"/>
      <c r="HH43" s="27"/>
      <c r="HI43" s="27"/>
      <c r="HJ43" s="27"/>
      <c r="HK43" s="27"/>
      <c r="HL43" s="27"/>
      <c r="HM43" s="27"/>
      <c r="HN43" s="27"/>
      <c r="HO43" s="27"/>
      <c r="HP43" s="27"/>
      <c r="HQ43" s="27"/>
      <c r="HR43" s="27"/>
      <c r="HS43" s="27"/>
      <c r="HT43" s="27"/>
      <c r="HU43" s="27"/>
      <c r="HV43" s="27"/>
      <c r="HW43" s="27"/>
      <c r="HX43" s="27"/>
      <c r="HY43" s="27"/>
      <c r="HZ43" s="27"/>
      <c r="IA43" s="27"/>
      <c r="IB43" s="27"/>
      <c r="IC43" s="27"/>
      <c r="ID43" s="27"/>
      <c r="IE43" s="27"/>
      <c r="IF43" s="27"/>
      <c r="IG43" s="27"/>
      <c r="IH43" s="27"/>
      <c r="II43" s="27"/>
      <c r="IJ43" s="27"/>
      <c r="IK43" s="27"/>
      <c r="IL43" s="27"/>
      <c r="IM43" s="27"/>
      <c r="IN43" s="27"/>
      <c r="IO43" s="27"/>
      <c r="IP43" s="27"/>
      <c r="IQ43" s="27"/>
      <c r="IR43" s="27"/>
      <c r="IS43" s="27"/>
    </row>
    <row r="44" spans="1:253" x14ac:dyDescent="0.25">
      <c r="A44" s="41"/>
      <c r="B44" s="33" t="s">
        <v>159</v>
      </c>
      <c r="C44" s="33"/>
      <c r="D44" s="33"/>
      <c r="E44" s="1723">
        <f>+E41+E42</f>
        <v>4545323.42</v>
      </c>
      <c r="F44" s="1723">
        <f>+F41+F42</f>
        <v>3033685.0782542527</v>
      </c>
      <c r="G44" s="1723">
        <f>+G41+G42</f>
        <v>21359.279999999999</v>
      </c>
      <c r="H44" s="1723">
        <f>+H41+H42</f>
        <v>3055044.3582542525</v>
      </c>
      <c r="I44" s="1726"/>
      <c r="J44" s="44">
        <f>+E44-H44</f>
        <v>1490279.0617457475</v>
      </c>
      <c r="K44" s="27"/>
      <c r="L44" s="140"/>
      <c r="M44" s="27"/>
      <c r="N44" s="27"/>
      <c r="O44" s="27"/>
      <c r="P44" s="27"/>
      <c r="Q44" s="27"/>
      <c r="R44" s="27"/>
      <c r="S44" s="27"/>
      <c r="T44" s="27"/>
      <c r="U44" s="27"/>
      <c r="V44" s="27"/>
      <c r="W44" s="27"/>
      <c r="X44" s="27"/>
      <c r="Y44" s="27"/>
      <c r="Z44" s="27"/>
      <c r="AA44" s="27"/>
      <c r="AB44" s="27"/>
      <c r="AC44" s="27"/>
      <c r="AD44" s="27"/>
      <c r="AE44" s="27"/>
      <c r="AF44" s="27"/>
      <c r="AG44" s="27"/>
      <c r="AH44" s="27"/>
      <c r="AI44" s="27"/>
      <c r="AJ44" s="27"/>
      <c r="AK44" s="27"/>
      <c r="AL44" s="27"/>
      <c r="AM44" s="27"/>
      <c r="AN44" s="27"/>
      <c r="AO44" s="27"/>
      <c r="AP44" s="27"/>
      <c r="AQ44" s="27"/>
      <c r="AR44" s="27"/>
      <c r="AS44" s="27"/>
      <c r="AT44" s="27"/>
      <c r="AU44" s="27"/>
      <c r="AV44" s="27"/>
      <c r="AW44" s="27"/>
      <c r="AX44" s="27"/>
      <c r="AY44" s="27"/>
      <c r="AZ44" s="27"/>
      <c r="BA44" s="27"/>
      <c r="BB44" s="27"/>
      <c r="BC44" s="27"/>
      <c r="BD44" s="27"/>
      <c r="BE44" s="27"/>
      <c r="BF44" s="27"/>
      <c r="BG44" s="27"/>
      <c r="BH44" s="27"/>
      <c r="BI44" s="27"/>
      <c r="BJ44" s="27"/>
      <c r="BK44" s="27"/>
      <c r="BL44" s="27"/>
      <c r="BM44" s="27"/>
      <c r="BN44" s="27"/>
      <c r="BO44" s="27"/>
      <c r="BP44" s="27"/>
      <c r="BQ44" s="27"/>
      <c r="BR44" s="27"/>
      <c r="BS44" s="27"/>
      <c r="BT44" s="27"/>
      <c r="BU44" s="27"/>
      <c r="BV44" s="27"/>
      <c r="BW44" s="27"/>
      <c r="BX44" s="27"/>
      <c r="BY44" s="27"/>
      <c r="BZ44" s="27"/>
      <c r="CA44" s="27"/>
      <c r="CB44" s="27"/>
      <c r="CC44" s="27"/>
      <c r="CD44" s="27"/>
      <c r="CE44" s="27"/>
      <c r="CF44" s="27"/>
      <c r="CG44" s="27"/>
      <c r="CH44" s="27"/>
      <c r="CI44" s="27"/>
      <c r="CJ44" s="27"/>
      <c r="CK44" s="27"/>
      <c r="CL44" s="27"/>
      <c r="CM44" s="27"/>
      <c r="CN44" s="27"/>
      <c r="CO44" s="27"/>
      <c r="CP44" s="27"/>
      <c r="CQ44" s="27"/>
      <c r="CR44" s="27"/>
      <c r="CS44" s="27"/>
      <c r="CT44" s="27"/>
      <c r="CU44" s="27"/>
      <c r="CV44" s="27"/>
      <c r="CW44" s="27"/>
      <c r="CX44" s="27"/>
      <c r="CY44" s="27"/>
      <c r="CZ44" s="27"/>
      <c r="DA44" s="27"/>
      <c r="DB44" s="27"/>
      <c r="DC44" s="27"/>
      <c r="DD44" s="27"/>
      <c r="DE44" s="27"/>
      <c r="DF44" s="27"/>
      <c r="DG44" s="27"/>
      <c r="DH44" s="27"/>
      <c r="DI44" s="27"/>
      <c r="DJ44" s="27"/>
      <c r="DK44" s="27"/>
      <c r="DL44" s="27"/>
      <c r="DM44" s="27"/>
      <c r="DN44" s="27"/>
      <c r="DO44" s="27"/>
      <c r="DP44" s="27"/>
      <c r="DQ44" s="27"/>
      <c r="DR44" s="27"/>
      <c r="DS44" s="27"/>
      <c r="DT44" s="27"/>
      <c r="DU44" s="27"/>
      <c r="DV44" s="27"/>
      <c r="DW44" s="27"/>
      <c r="DX44" s="27"/>
      <c r="DY44" s="27"/>
      <c r="DZ44" s="27"/>
      <c r="EA44" s="27"/>
      <c r="EB44" s="27"/>
      <c r="EC44" s="27"/>
      <c r="ED44" s="27"/>
      <c r="EE44" s="27"/>
      <c r="EF44" s="27"/>
      <c r="EG44" s="27"/>
      <c r="EH44" s="27"/>
      <c r="EI44" s="27"/>
      <c r="EJ44" s="27"/>
      <c r="EK44" s="27"/>
      <c r="EL44" s="27"/>
      <c r="EM44" s="27"/>
      <c r="EN44" s="27"/>
      <c r="EO44" s="27"/>
      <c r="EP44" s="27"/>
      <c r="EQ44" s="27"/>
      <c r="ER44" s="27"/>
      <c r="ES44" s="27"/>
      <c r="ET44" s="27"/>
      <c r="EU44" s="27"/>
      <c r="EV44" s="27"/>
      <c r="EW44" s="27"/>
      <c r="EX44" s="27"/>
      <c r="EY44" s="27"/>
      <c r="EZ44" s="27"/>
      <c r="FA44" s="27"/>
      <c r="FB44" s="27"/>
      <c r="FC44" s="27"/>
      <c r="FD44" s="27"/>
      <c r="FE44" s="27"/>
      <c r="FF44" s="27"/>
      <c r="FG44" s="27"/>
      <c r="FH44" s="27"/>
      <c r="FI44" s="27"/>
      <c r="FJ44" s="27"/>
      <c r="FK44" s="27"/>
      <c r="FL44" s="27"/>
      <c r="FM44" s="27"/>
      <c r="FN44" s="27"/>
      <c r="FO44" s="27"/>
      <c r="FP44" s="27"/>
      <c r="FQ44" s="27"/>
      <c r="FR44" s="27"/>
      <c r="FS44" s="27"/>
      <c r="FT44" s="27"/>
      <c r="FU44" s="27"/>
      <c r="FV44" s="27"/>
      <c r="FW44" s="27"/>
      <c r="FX44" s="27"/>
      <c r="FY44" s="27"/>
      <c r="FZ44" s="27"/>
      <c r="GA44" s="27"/>
      <c r="GB44" s="27"/>
      <c r="GC44" s="27"/>
      <c r="GD44" s="27"/>
      <c r="GE44" s="27"/>
      <c r="GF44" s="27"/>
      <c r="GG44" s="27"/>
      <c r="GH44" s="27"/>
      <c r="GI44" s="27"/>
      <c r="GJ44" s="27"/>
      <c r="GK44" s="27"/>
      <c r="GL44" s="27"/>
      <c r="GM44" s="27"/>
      <c r="GN44" s="27"/>
      <c r="GO44" s="27"/>
      <c r="GP44" s="27"/>
      <c r="GQ44" s="27"/>
      <c r="GR44" s="27"/>
      <c r="GS44" s="27"/>
      <c r="GT44" s="27"/>
      <c r="GU44" s="27"/>
      <c r="GV44" s="27"/>
      <c r="GW44" s="27"/>
      <c r="GX44" s="27"/>
      <c r="GY44" s="27"/>
      <c r="GZ44" s="27"/>
      <c r="HA44" s="27"/>
      <c r="HB44" s="27"/>
      <c r="HC44" s="27"/>
      <c r="HD44" s="27"/>
      <c r="HE44" s="27"/>
      <c r="HF44" s="27"/>
      <c r="HG44" s="27"/>
      <c r="HH44" s="27"/>
      <c r="HI44" s="27"/>
      <c r="HJ44" s="27"/>
      <c r="HK44" s="27"/>
      <c r="HL44" s="27"/>
      <c r="HM44" s="27"/>
      <c r="HN44" s="27"/>
      <c r="HO44" s="27"/>
      <c r="HP44" s="27"/>
      <c r="HQ44" s="27"/>
      <c r="HR44" s="27"/>
      <c r="HS44" s="27"/>
      <c r="HT44" s="27"/>
      <c r="HU44" s="27"/>
      <c r="HV44" s="27"/>
      <c r="HW44" s="27"/>
      <c r="HX44" s="27"/>
      <c r="HY44" s="27"/>
      <c r="HZ44" s="27"/>
      <c r="IA44" s="27"/>
      <c r="IB44" s="27"/>
      <c r="IC44" s="27"/>
      <c r="ID44" s="27"/>
      <c r="IE44" s="27"/>
      <c r="IF44" s="27"/>
      <c r="IG44" s="27"/>
      <c r="IH44" s="27"/>
      <c r="II44" s="27"/>
      <c r="IJ44" s="27"/>
      <c r="IK44" s="27"/>
      <c r="IL44" s="27"/>
      <c r="IM44" s="27"/>
      <c r="IN44" s="27"/>
      <c r="IO44" s="27"/>
      <c r="IP44" s="27"/>
      <c r="IQ44" s="27"/>
      <c r="IR44" s="27"/>
      <c r="IS44" s="27"/>
    </row>
    <row r="45" spans="1:253" x14ac:dyDescent="0.25">
      <c r="A45" s="41"/>
      <c r="B45" s="33"/>
      <c r="C45" s="33"/>
      <c r="D45" s="33"/>
      <c r="E45" s="1723"/>
      <c r="F45" s="1726"/>
      <c r="G45" s="1726"/>
      <c r="H45" s="683"/>
      <c r="I45" s="1726"/>
      <c r="J45" s="44"/>
      <c r="K45" s="27"/>
      <c r="L45" s="27"/>
      <c r="M45" s="27"/>
      <c r="N45" s="27"/>
      <c r="O45" s="27"/>
      <c r="P45" s="27"/>
      <c r="Q45" s="27"/>
      <c r="R45" s="27"/>
      <c r="S45" s="27"/>
      <c r="T45" s="27"/>
      <c r="U45" s="27"/>
      <c r="V45" s="27"/>
      <c r="W45" s="27"/>
      <c r="X45" s="27"/>
      <c r="Y45" s="27"/>
      <c r="Z45" s="27"/>
      <c r="AA45" s="27"/>
      <c r="AB45" s="27"/>
      <c r="AC45" s="27"/>
      <c r="AD45" s="27"/>
      <c r="AE45" s="27"/>
      <c r="AF45" s="27"/>
      <c r="AG45" s="27"/>
      <c r="AH45" s="27"/>
      <c r="AI45" s="27"/>
      <c r="AJ45" s="27"/>
      <c r="AK45" s="27"/>
      <c r="AL45" s="27"/>
      <c r="AM45" s="27"/>
      <c r="AN45" s="27"/>
      <c r="AO45" s="27"/>
      <c r="AP45" s="27"/>
      <c r="AQ45" s="27"/>
      <c r="AR45" s="27"/>
      <c r="AS45" s="27"/>
      <c r="AT45" s="27"/>
      <c r="AU45" s="27"/>
      <c r="AV45" s="27"/>
      <c r="AW45" s="27"/>
      <c r="AX45" s="27"/>
      <c r="AY45" s="27"/>
      <c r="AZ45" s="27"/>
      <c r="BA45" s="27"/>
      <c r="BB45" s="27"/>
      <c r="BC45" s="27"/>
      <c r="BD45" s="27"/>
      <c r="BE45" s="27"/>
      <c r="BF45" s="27"/>
      <c r="BG45" s="27"/>
      <c r="BH45" s="27"/>
      <c r="BI45" s="27"/>
      <c r="BJ45" s="27"/>
      <c r="BK45" s="27"/>
      <c r="BL45" s="27"/>
      <c r="BM45" s="27"/>
      <c r="BN45" s="27"/>
      <c r="BO45" s="27"/>
      <c r="BP45" s="27"/>
      <c r="BQ45" s="27"/>
      <c r="BR45" s="27"/>
      <c r="BS45" s="27"/>
      <c r="BT45" s="27"/>
      <c r="BU45" s="27"/>
      <c r="BV45" s="27"/>
      <c r="BW45" s="27"/>
      <c r="BX45" s="27"/>
      <c r="BY45" s="27"/>
      <c r="BZ45" s="27"/>
      <c r="CA45" s="27"/>
      <c r="CB45" s="27"/>
      <c r="CC45" s="27"/>
      <c r="CD45" s="27"/>
      <c r="CE45" s="27"/>
      <c r="CF45" s="27"/>
      <c r="CG45" s="27"/>
      <c r="CH45" s="27"/>
      <c r="CI45" s="27"/>
      <c r="CJ45" s="27"/>
      <c r="CK45" s="27"/>
      <c r="CL45" s="27"/>
      <c r="CM45" s="27"/>
      <c r="CN45" s="27"/>
      <c r="CO45" s="27"/>
      <c r="CP45" s="27"/>
      <c r="CQ45" s="27"/>
      <c r="CR45" s="27"/>
      <c r="CS45" s="27"/>
      <c r="CT45" s="27"/>
      <c r="CU45" s="27"/>
      <c r="CV45" s="27"/>
      <c r="CW45" s="27"/>
      <c r="CX45" s="27"/>
      <c r="CY45" s="27"/>
      <c r="CZ45" s="27"/>
      <c r="DA45" s="27"/>
      <c r="DB45" s="27"/>
      <c r="DC45" s="27"/>
      <c r="DD45" s="27"/>
      <c r="DE45" s="27"/>
      <c r="DF45" s="27"/>
      <c r="DG45" s="27"/>
      <c r="DH45" s="27"/>
      <c r="DI45" s="27"/>
      <c r="DJ45" s="27"/>
      <c r="DK45" s="27"/>
      <c r="DL45" s="27"/>
      <c r="DM45" s="27"/>
      <c r="DN45" s="27"/>
      <c r="DO45" s="27"/>
      <c r="DP45" s="27"/>
      <c r="DQ45" s="27"/>
      <c r="DR45" s="27"/>
      <c r="DS45" s="27"/>
      <c r="DT45" s="27"/>
      <c r="DU45" s="27"/>
      <c r="DV45" s="27"/>
      <c r="DW45" s="27"/>
      <c r="DX45" s="27"/>
      <c r="DY45" s="27"/>
      <c r="DZ45" s="27"/>
      <c r="EA45" s="27"/>
      <c r="EB45" s="27"/>
      <c r="EC45" s="27"/>
      <c r="ED45" s="27"/>
      <c r="EE45" s="27"/>
      <c r="EF45" s="27"/>
      <c r="EG45" s="27"/>
      <c r="EH45" s="27"/>
      <c r="EI45" s="27"/>
      <c r="EJ45" s="27"/>
      <c r="EK45" s="27"/>
      <c r="EL45" s="27"/>
      <c r="EM45" s="27"/>
      <c r="EN45" s="27"/>
      <c r="EO45" s="27"/>
      <c r="EP45" s="27"/>
      <c r="EQ45" s="27"/>
      <c r="ER45" s="27"/>
      <c r="ES45" s="27"/>
      <c r="ET45" s="27"/>
      <c r="EU45" s="27"/>
      <c r="EV45" s="27"/>
      <c r="EW45" s="27"/>
      <c r="EX45" s="27"/>
      <c r="EY45" s="27"/>
      <c r="EZ45" s="27"/>
      <c r="FA45" s="27"/>
      <c r="FB45" s="27"/>
      <c r="FC45" s="27"/>
      <c r="FD45" s="27"/>
      <c r="FE45" s="27"/>
      <c r="FF45" s="27"/>
      <c r="FG45" s="27"/>
      <c r="FH45" s="27"/>
      <c r="FI45" s="27"/>
      <c r="FJ45" s="27"/>
      <c r="FK45" s="27"/>
      <c r="FL45" s="27"/>
      <c r="FM45" s="27"/>
      <c r="FN45" s="27"/>
      <c r="FO45" s="27"/>
      <c r="FP45" s="27"/>
      <c r="FQ45" s="27"/>
      <c r="FR45" s="27"/>
      <c r="FS45" s="27"/>
      <c r="FT45" s="27"/>
      <c r="FU45" s="27"/>
      <c r="FV45" s="27"/>
      <c r="FW45" s="27"/>
      <c r="FX45" s="27"/>
      <c r="FY45" s="27"/>
      <c r="FZ45" s="27"/>
      <c r="GA45" s="27"/>
      <c r="GB45" s="27"/>
      <c r="GC45" s="27"/>
      <c r="GD45" s="27"/>
      <c r="GE45" s="27"/>
      <c r="GF45" s="27"/>
      <c r="GG45" s="27"/>
      <c r="GH45" s="27"/>
      <c r="GI45" s="27"/>
      <c r="GJ45" s="27"/>
      <c r="GK45" s="27"/>
      <c r="GL45" s="27"/>
      <c r="GM45" s="27"/>
      <c r="GN45" s="27"/>
      <c r="GO45" s="27"/>
      <c r="GP45" s="27"/>
      <c r="GQ45" s="27"/>
      <c r="GR45" s="27"/>
      <c r="GS45" s="27"/>
      <c r="GT45" s="27"/>
      <c r="GU45" s="27"/>
      <c r="GV45" s="27"/>
      <c r="GW45" s="27"/>
      <c r="GX45" s="27"/>
      <c r="GY45" s="27"/>
      <c r="GZ45" s="27"/>
      <c r="HA45" s="27"/>
      <c r="HB45" s="27"/>
      <c r="HC45" s="27"/>
      <c r="HD45" s="27"/>
      <c r="HE45" s="27"/>
      <c r="HF45" s="27"/>
      <c r="HG45" s="27"/>
      <c r="HH45" s="27"/>
      <c r="HI45" s="27"/>
      <c r="HJ45" s="27"/>
      <c r="HK45" s="27"/>
      <c r="HL45" s="27"/>
      <c r="HM45" s="27"/>
      <c r="HN45" s="27"/>
      <c r="HO45" s="27"/>
      <c r="HP45" s="27"/>
      <c r="HQ45" s="27"/>
      <c r="HR45" s="27"/>
      <c r="HS45" s="27"/>
      <c r="HT45" s="27"/>
      <c r="HU45" s="27"/>
      <c r="HV45" s="27"/>
      <c r="HW45" s="27"/>
      <c r="HX45" s="27"/>
      <c r="HY45" s="27"/>
      <c r="HZ45" s="27"/>
      <c r="IA45" s="27"/>
      <c r="IB45" s="27"/>
      <c r="IC45" s="27"/>
      <c r="ID45" s="27"/>
      <c r="IE45" s="27"/>
      <c r="IF45" s="27"/>
      <c r="IG45" s="27"/>
      <c r="IH45" s="27"/>
      <c r="II45" s="27"/>
      <c r="IJ45" s="27"/>
      <c r="IK45" s="27"/>
      <c r="IL45" s="27"/>
      <c r="IM45" s="27"/>
      <c r="IN45" s="27"/>
      <c r="IO45" s="27"/>
      <c r="IP45" s="27"/>
      <c r="IQ45" s="27"/>
      <c r="IR45" s="27"/>
      <c r="IS45" s="27"/>
    </row>
    <row r="46" spans="1:253" x14ac:dyDescent="0.25">
      <c r="A46" s="41"/>
      <c r="B46" s="106" t="s">
        <v>293</v>
      </c>
      <c r="C46" s="33"/>
      <c r="D46" s="33"/>
      <c r="E46" s="1730"/>
      <c r="F46" s="1731">
        <f>F37-F44+0.01</f>
        <v>3283377.8417457473</v>
      </c>
      <c r="G46" s="1731">
        <f>G37-G44</f>
        <v>198295.29934428559</v>
      </c>
      <c r="H46" s="47">
        <f>H37-H44+0.01</f>
        <v>3481673.1410900331</v>
      </c>
      <c r="I46" s="1731"/>
      <c r="J46" s="48"/>
      <c r="K46" s="27"/>
      <c r="L46" s="27"/>
      <c r="M46" s="27"/>
      <c r="N46" s="27"/>
      <c r="O46" s="27"/>
      <c r="P46" s="27"/>
      <c r="Q46" s="27"/>
      <c r="R46" s="27"/>
      <c r="S46" s="27"/>
      <c r="T46" s="27"/>
      <c r="U46" s="27"/>
      <c r="V46" s="27"/>
      <c r="W46" s="27"/>
      <c r="X46" s="27"/>
      <c r="Y46" s="27"/>
      <c r="Z46" s="27"/>
      <c r="AA46" s="27"/>
      <c r="AB46" s="27"/>
      <c r="AC46" s="27"/>
      <c r="AD46" s="27"/>
      <c r="AE46" s="27"/>
      <c r="AF46" s="27"/>
      <c r="AG46" s="27"/>
      <c r="AH46" s="27"/>
      <c r="AI46" s="27"/>
      <c r="AJ46" s="27"/>
      <c r="AK46" s="27"/>
      <c r="AL46" s="27"/>
      <c r="AM46" s="27"/>
      <c r="AN46" s="27"/>
      <c r="AO46" s="27"/>
      <c r="AP46" s="27"/>
      <c r="AQ46" s="27"/>
      <c r="AR46" s="27"/>
      <c r="AS46" s="27"/>
      <c r="AT46" s="27"/>
      <c r="AU46" s="27"/>
      <c r="AV46" s="27"/>
      <c r="AW46" s="27"/>
      <c r="AX46" s="27"/>
      <c r="AY46" s="27"/>
      <c r="AZ46" s="27"/>
      <c r="BA46" s="27"/>
      <c r="BB46" s="27"/>
      <c r="BC46" s="27"/>
      <c r="BD46" s="27"/>
      <c r="BE46" s="27"/>
      <c r="BF46" s="27"/>
      <c r="BG46" s="27"/>
      <c r="BH46" s="27"/>
      <c r="BI46" s="27"/>
      <c r="BJ46" s="27"/>
      <c r="BK46" s="27"/>
      <c r="BL46" s="27"/>
      <c r="BM46" s="27"/>
      <c r="BN46" s="27"/>
      <c r="BO46" s="27"/>
      <c r="BP46" s="27"/>
      <c r="BQ46" s="27"/>
      <c r="BR46" s="27"/>
      <c r="BS46" s="27"/>
      <c r="BT46" s="27"/>
      <c r="BU46" s="27"/>
      <c r="BV46" s="27"/>
      <c r="BW46" s="27"/>
      <c r="BX46" s="27"/>
      <c r="BY46" s="27"/>
      <c r="BZ46" s="27"/>
      <c r="CA46" s="27"/>
      <c r="CB46" s="27"/>
      <c r="CC46" s="27"/>
      <c r="CD46" s="27"/>
      <c r="CE46" s="27"/>
      <c r="CF46" s="27"/>
      <c r="CG46" s="27"/>
      <c r="CH46" s="27"/>
      <c r="CI46" s="27"/>
      <c r="CJ46" s="27"/>
      <c r="CK46" s="27"/>
      <c r="CL46" s="27"/>
      <c r="CM46" s="27"/>
      <c r="CN46" s="27"/>
      <c r="CO46" s="27"/>
      <c r="CP46" s="27"/>
      <c r="CQ46" s="27"/>
      <c r="CR46" s="27"/>
      <c r="CS46" s="27"/>
      <c r="CT46" s="27"/>
      <c r="CU46" s="27"/>
      <c r="CV46" s="27"/>
      <c r="CW46" s="27"/>
      <c r="CX46" s="27"/>
      <c r="CY46" s="27"/>
      <c r="CZ46" s="27"/>
      <c r="DA46" s="27"/>
      <c r="DB46" s="27"/>
      <c r="DC46" s="27"/>
      <c r="DD46" s="27"/>
      <c r="DE46" s="27"/>
      <c r="DF46" s="27"/>
      <c r="DG46" s="27"/>
      <c r="DH46" s="27"/>
      <c r="DI46" s="27"/>
      <c r="DJ46" s="27"/>
      <c r="DK46" s="27"/>
      <c r="DL46" s="27"/>
      <c r="DM46" s="27"/>
      <c r="DN46" s="27"/>
      <c r="DO46" s="27"/>
      <c r="DP46" s="27"/>
      <c r="DQ46" s="27"/>
      <c r="DR46" s="27"/>
      <c r="DS46" s="27"/>
      <c r="DT46" s="27"/>
      <c r="DU46" s="27"/>
      <c r="DV46" s="27"/>
      <c r="DW46" s="27"/>
      <c r="DX46" s="27"/>
      <c r="DY46" s="27"/>
      <c r="DZ46" s="27"/>
      <c r="EA46" s="27"/>
      <c r="EB46" s="27"/>
      <c r="EC46" s="27"/>
      <c r="ED46" s="27"/>
      <c r="EE46" s="27"/>
      <c r="EF46" s="27"/>
      <c r="EG46" s="27"/>
      <c r="EH46" s="27"/>
      <c r="EI46" s="27"/>
      <c r="EJ46" s="27"/>
      <c r="EK46" s="27"/>
      <c r="EL46" s="27"/>
      <c r="EM46" s="27"/>
      <c r="EN46" s="27"/>
      <c r="EO46" s="27"/>
      <c r="EP46" s="27"/>
      <c r="EQ46" s="27"/>
      <c r="ER46" s="27"/>
      <c r="ES46" s="27"/>
      <c r="ET46" s="27"/>
      <c r="EU46" s="27"/>
      <c r="EV46" s="27"/>
      <c r="EW46" s="27"/>
      <c r="EX46" s="27"/>
      <c r="EY46" s="27"/>
      <c r="EZ46" s="27"/>
      <c r="FA46" s="27"/>
      <c r="FB46" s="27"/>
      <c r="FC46" s="27"/>
      <c r="FD46" s="27"/>
      <c r="FE46" s="27"/>
      <c r="FF46" s="27"/>
      <c r="FG46" s="27"/>
      <c r="FH46" s="27"/>
      <c r="FI46" s="27"/>
      <c r="FJ46" s="27"/>
      <c r="FK46" s="27"/>
      <c r="FL46" s="27"/>
      <c r="FM46" s="27"/>
      <c r="FN46" s="27"/>
      <c r="FO46" s="27"/>
      <c r="FP46" s="27"/>
      <c r="FQ46" s="27"/>
      <c r="FR46" s="27"/>
      <c r="FS46" s="27"/>
      <c r="FT46" s="27"/>
      <c r="FU46" s="27"/>
      <c r="FV46" s="27"/>
      <c r="FW46" s="27"/>
      <c r="FX46" s="27"/>
      <c r="FY46" s="27"/>
      <c r="FZ46" s="27"/>
      <c r="GA46" s="27"/>
      <c r="GB46" s="27"/>
      <c r="GC46" s="27"/>
      <c r="GD46" s="27"/>
      <c r="GE46" s="27"/>
      <c r="GF46" s="27"/>
      <c r="GG46" s="27"/>
      <c r="GH46" s="27"/>
      <c r="GI46" s="27"/>
      <c r="GJ46" s="27"/>
      <c r="GK46" s="27"/>
      <c r="GL46" s="27"/>
      <c r="GM46" s="27"/>
      <c r="GN46" s="27"/>
      <c r="GO46" s="27"/>
      <c r="GP46" s="27"/>
      <c r="GQ46" s="27"/>
      <c r="GR46" s="27"/>
      <c r="GS46" s="27"/>
      <c r="GT46" s="27"/>
      <c r="GU46" s="27"/>
      <c r="GV46" s="27"/>
      <c r="GW46" s="27"/>
      <c r="GX46" s="27"/>
      <c r="GY46" s="27"/>
      <c r="GZ46" s="27"/>
      <c r="HA46" s="27"/>
      <c r="HB46" s="27"/>
      <c r="HC46" s="27"/>
      <c r="HD46" s="27"/>
      <c r="HE46" s="27"/>
      <c r="HF46" s="27"/>
      <c r="HG46" s="27"/>
      <c r="HH46" s="27"/>
      <c r="HI46" s="27"/>
      <c r="HJ46" s="27"/>
      <c r="HK46" s="27"/>
      <c r="HL46" s="27"/>
      <c r="HM46" s="27"/>
      <c r="HN46" s="27"/>
      <c r="HO46" s="27"/>
      <c r="HP46" s="27"/>
      <c r="HQ46" s="27"/>
      <c r="HR46" s="27"/>
      <c r="HS46" s="27"/>
      <c r="HT46" s="27"/>
      <c r="HU46" s="27"/>
      <c r="HV46" s="27"/>
      <c r="HW46" s="27"/>
      <c r="HX46" s="27"/>
      <c r="HY46" s="27"/>
      <c r="HZ46" s="27"/>
      <c r="IA46" s="27"/>
      <c r="IB46" s="27"/>
      <c r="IC46" s="27"/>
      <c r="ID46" s="27"/>
      <c r="IE46" s="27"/>
      <c r="IF46" s="27"/>
      <c r="IG46" s="27"/>
      <c r="IH46" s="27"/>
      <c r="II46" s="27"/>
      <c r="IJ46" s="27"/>
      <c r="IK46" s="27"/>
      <c r="IL46" s="27"/>
      <c r="IM46" s="27"/>
      <c r="IN46" s="27"/>
      <c r="IO46" s="27"/>
      <c r="IP46" s="27"/>
      <c r="IQ46" s="27"/>
      <c r="IR46" s="27"/>
      <c r="IS46" s="27"/>
    </row>
    <row r="47" spans="1:253" x14ac:dyDescent="0.25">
      <c r="A47" s="41"/>
      <c r="B47" s="33"/>
      <c r="C47" s="33"/>
      <c r="D47" s="33"/>
      <c r="E47" s="1723"/>
      <c r="F47" s="1726"/>
      <c r="G47" s="1726"/>
      <c r="H47" s="683"/>
      <c r="I47" s="1726"/>
      <c r="J47" s="44"/>
      <c r="K47" s="27"/>
      <c r="L47" s="27"/>
      <c r="M47" s="27"/>
      <c r="N47" s="27"/>
      <c r="O47" s="27"/>
      <c r="P47" s="27"/>
      <c r="Q47" s="27"/>
      <c r="R47" s="27"/>
      <c r="S47" s="27"/>
      <c r="T47" s="27"/>
      <c r="U47" s="27"/>
      <c r="V47" s="27"/>
      <c r="W47" s="27"/>
      <c r="X47" s="27"/>
      <c r="Y47" s="27"/>
      <c r="Z47" s="27"/>
      <c r="AA47" s="27"/>
      <c r="AB47" s="27"/>
      <c r="AC47" s="27"/>
      <c r="AD47" s="27"/>
      <c r="AE47" s="27"/>
      <c r="AF47" s="27"/>
      <c r="AG47" s="27"/>
      <c r="AH47" s="27"/>
      <c r="AI47" s="27"/>
      <c r="AJ47" s="27"/>
      <c r="AK47" s="27"/>
      <c r="AL47" s="27"/>
      <c r="AM47" s="27"/>
      <c r="AN47" s="27"/>
      <c r="AO47" s="27"/>
      <c r="AP47" s="27"/>
      <c r="AQ47" s="27"/>
      <c r="AR47" s="27"/>
      <c r="AS47" s="27"/>
      <c r="AT47" s="27"/>
      <c r="AU47" s="27"/>
      <c r="AV47" s="27"/>
      <c r="AW47" s="27"/>
      <c r="AX47" s="27"/>
      <c r="AY47" s="27"/>
      <c r="AZ47" s="27"/>
      <c r="BA47" s="27"/>
      <c r="BB47" s="27"/>
      <c r="BC47" s="27"/>
      <c r="BD47" s="27"/>
      <c r="BE47" s="27"/>
      <c r="BF47" s="27"/>
      <c r="BG47" s="27"/>
      <c r="BH47" s="27"/>
      <c r="BI47" s="27"/>
      <c r="BJ47" s="27"/>
      <c r="BK47" s="27"/>
      <c r="BL47" s="27"/>
      <c r="BM47" s="27"/>
      <c r="BN47" s="27"/>
      <c r="BO47" s="27"/>
      <c r="BP47" s="27"/>
      <c r="BQ47" s="27"/>
      <c r="BR47" s="27"/>
      <c r="BS47" s="27"/>
      <c r="BT47" s="27"/>
      <c r="BU47" s="27"/>
      <c r="BV47" s="27"/>
      <c r="BW47" s="27"/>
      <c r="BX47" s="27"/>
      <c r="BY47" s="27"/>
      <c r="BZ47" s="27"/>
      <c r="CA47" s="27"/>
      <c r="CB47" s="27"/>
      <c r="CC47" s="27"/>
      <c r="CD47" s="27"/>
      <c r="CE47" s="27"/>
      <c r="CF47" s="27"/>
      <c r="CG47" s="27"/>
      <c r="CH47" s="27"/>
      <c r="CI47" s="27"/>
      <c r="CJ47" s="27"/>
      <c r="CK47" s="27"/>
      <c r="CL47" s="27"/>
      <c r="CM47" s="27"/>
      <c r="CN47" s="27"/>
      <c r="CO47" s="27"/>
      <c r="CP47" s="27"/>
      <c r="CQ47" s="27"/>
      <c r="CR47" s="27"/>
      <c r="CS47" s="27"/>
      <c r="CT47" s="27"/>
      <c r="CU47" s="27"/>
      <c r="CV47" s="27"/>
      <c r="CW47" s="27"/>
      <c r="CX47" s="27"/>
      <c r="CY47" s="27"/>
      <c r="CZ47" s="27"/>
      <c r="DA47" s="27"/>
      <c r="DB47" s="27"/>
      <c r="DC47" s="27"/>
      <c r="DD47" s="27"/>
      <c r="DE47" s="27"/>
      <c r="DF47" s="27"/>
      <c r="DG47" s="27"/>
      <c r="DH47" s="27"/>
      <c r="DI47" s="27"/>
      <c r="DJ47" s="27"/>
      <c r="DK47" s="27"/>
      <c r="DL47" s="27"/>
      <c r="DM47" s="27"/>
      <c r="DN47" s="27"/>
      <c r="DO47" s="27"/>
      <c r="DP47" s="27"/>
      <c r="DQ47" s="27"/>
      <c r="DR47" s="27"/>
      <c r="DS47" s="27"/>
      <c r="DT47" s="27"/>
      <c r="DU47" s="27"/>
      <c r="DV47" s="27"/>
      <c r="DW47" s="27"/>
      <c r="DX47" s="27"/>
      <c r="DY47" s="27"/>
      <c r="DZ47" s="27"/>
      <c r="EA47" s="27"/>
      <c r="EB47" s="27"/>
      <c r="EC47" s="27"/>
      <c r="ED47" s="27"/>
      <c r="EE47" s="27"/>
      <c r="EF47" s="27"/>
      <c r="EG47" s="27"/>
      <c r="EH47" s="27"/>
      <c r="EI47" s="27"/>
      <c r="EJ47" s="27"/>
      <c r="EK47" s="27"/>
      <c r="EL47" s="27"/>
      <c r="EM47" s="27"/>
      <c r="EN47" s="27"/>
      <c r="EO47" s="27"/>
      <c r="EP47" s="27"/>
      <c r="EQ47" s="27"/>
      <c r="ER47" s="27"/>
      <c r="ES47" s="27"/>
      <c r="ET47" s="27"/>
      <c r="EU47" s="27"/>
      <c r="EV47" s="27"/>
      <c r="EW47" s="27"/>
      <c r="EX47" s="27"/>
      <c r="EY47" s="27"/>
      <c r="EZ47" s="27"/>
      <c r="FA47" s="27"/>
      <c r="FB47" s="27"/>
      <c r="FC47" s="27"/>
      <c r="FD47" s="27"/>
      <c r="FE47" s="27"/>
      <c r="FF47" s="27"/>
      <c r="FG47" s="27"/>
      <c r="FH47" s="27"/>
      <c r="FI47" s="27"/>
      <c r="FJ47" s="27"/>
      <c r="FK47" s="27"/>
      <c r="FL47" s="27"/>
      <c r="FM47" s="27"/>
      <c r="FN47" s="27"/>
      <c r="FO47" s="27"/>
      <c r="FP47" s="27"/>
      <c r="FQ47" s="27"/>
      <c r="FR47" s="27"/>
      <c r="FS47" s="27"/>
      <c r="FT47" s="27"/>
      <c r="FU47" s="27"/>
      <c r="FV47" s="27"/>
      <c r="FW47" s="27"/>
      <c r="FX47" s="27"/>
      <c r="FY47" s="27"/>
      <c r="FZ47" s="27"/>
      <c r="GA47" s="27"/>
      <c r="GB47" s="27"/>
      <c r="GC47" s="27"/>
      <c r="GD47" s="27"/>
      <c r="GE47" s="27"/>
      <c r="GF47" s="27"/>
      <c r="GG47" s="27"/>
      <c r="GH47" s="27"/>
      <c r="GI47" s="27"/>
      <c r="GJ47" s="27"/>
      <c r="GK47" s="27"/>
      <c r="GL47" s="27"/>
      <c r="GM47" s="27"/>
      <c r="GN47" s="27"/>
      <c r="GO47" s="27"/>
      <c r="GP47" s="27"/>
      <c r="GQ47" s="27"/>
      <c r="GR47" s="27"/>
      <c r="GS47" s="27"/>
      <c r="GT47" s="27"/>
      <c r="GU47" s="27"/>
      <c r="GV47" s="27"/>
      <c r="GW47" s="27"/>
      <c r="GX47" s="27"/>
      <c r="GY47" s="27"/>
      <c r="GZ47" s="27"/>
      <c r="HA47" s="27"/>
      <c r="HB47" s="27"/>
      <c r="HC47" s="27"/>
      <c r="HD47" s="27"/>
      <c r="HE47" s="27"/>
      <c r="HF47" s="27"/>
      <c r="HG47" s="27"/>
      <c r="HH47" s="27"/>
      <c r="HI47" s="27"/>
      <c r="HJ47" s="27"/>
      <c r="HK47" s="27"/>
      <c r="HL47" s="27"/>
      <c r="HM47" s="27"/>
      <c r="HN47" s="27"/>
      <c r="HO47" s="27"/>
      <c r="HP47" s="27"/>
      <c r="HQ47" s="27"/>
      <c r="HR47" s="27"/>
      <c r="HS47" s="27"/>
      <c r="HT47" s="27"/>
      <c r="HU47" s="27"/>
      <c r="HV47" s="27"/>
      <c r="HW47" s="27"/>
      <c r="HX47" s="27"/>
      <c r="HY47" s="27"/>
      <c r="HZ47" s="27"/>
      <c r="IA47" s="27"/>
      <c r="IB47" s="27"/>
      <c r="IC47" s="27"/>
      <c r="ID47" s="27"/>
      <c r="IE47" s="27"/>
      <c r="IF47" s="27"/>
      <c r="IG47" s="27"/>
      <c r="IH47" s="27"/>
      <c r="II47" s="27"/>
      <c r="IJ47" s="27"/>
      <c r="IK47" s="27"/>
      <c r="IL47" s="27"/>
      <c r="IM47" s="27"/>
      <c r="IN47" s="27"/>
      <c r="IO47" s="27"/>
      <c r="IP47" s="27"/>
      <c r="IQ47" s="27"/>
      <c r="IR47" s="27"/>
      <c r="IS47" s="27"/>
    </row>
    <row r="48" spans="1:253" x14ac:dyDescent="0.25">
      <c r="A48" s="49" t="s">
        <v>160</v>
      </c>
      <c r="B48" s="39" t="s">
        <v>84</v>
      </c>
      <c r="C48" s="33"/>
      <c r="D48" s="33"/>
      <c r="E48" s="1723"/>
      <c r="F48" s="1726"/>
      <c r="G48" s="1726"/>
      <c r="H48" s="683"/>
      <c r="I48" s="1726"/>
      <c r="J48" s="44"/>
      <c r="K48" s="27"/>
      <c r="L48" s="27"/>
      <c r="M48" s="27"/>
      <c r="N48" s="27"/>
      <c r="O48" s="27"/>
      <c r="P48" s="27"/>
      <c r="Q48" s="27"/>
      <c r="R48" s="27"/>
      <c r="S48" s="27"/>
      <c r="T48" s="27"/>
      <c r="U48" s="27"/>
      <c r="V48" s="27"/>
      <c r="W48" s="27"/>
      <c r="X48" s="27"/>
      <c r="Y48" s="27"/>
      <c r="Z48" s="27"/>
      <c r="AA48" s="27"/>
      <c r="AB48" s="27"/>
      <c r="AC48" s="27"/>
      <c r="AD48" s="27"/>
      <c r="AE48" s="27"/>
      <c r="AF48" s="27"/>
      <c r="AG48" s="27"/>
      <c r="AH48" s="27"/>
      <c r="AI48" s="27"/>
      <c r="AJ48" s="27"/>
      <c r="AK48" s="27"/>
      <c r="AL48" s="27"/>
      <c r="AM48" s="27"/>
      <c r="AN48" s="27"/>
      <c r="AO48" s="27"/>
      <c r="AP48" s="27"/>
      <c r="AQ48" s="27"/>
      <c r="AR48" s="27"/>
      <c r="AS48" s="27"/>
      <c r="AT48" s="27"/>
      <c r="AU48" s="27"/>
      <c r="AV48" s="27"/>
      <c r="AW48" s="27"/>
      <c r="AX48" s="27"/>
      <c r="AY48" s="27"/>
      <c r="AZ48" s="27"/>
      <c r="BA48" s="27"/>
      <c r="BB48" s="27"/>
      <c r="BC48" s="27"/>
      <c r="BD48" s="27"/>
      <c r="BE48" s="27"/>
      <c r="BF48" s="27"/>
      <c r="BG48" s="27"/>
      <c r="BH48" s="27"/>
      <c r="BI48" s="27"/>
      <c r="BJ48" s="27"/>
      <c r="BK48" s="27"/>
      <c r="BL48" s="27"/>
      <c r="BM48" s="27"/>
      <c r="BN48" s="27"/>
      <c r="BO48" s="27"/>
      <c r="BP48" s="27"/>
      <c r="BQ48" s="27"/>
      <c r="BR48" s="27"/>
      <c r="BS48" s="27"/>
      <c r="BT48" s="27"/>
      <c r="BU48" s="27"/>
      <c r="BV48" s="27"/>
      <c r="BW48" s="27"/>
      <c r="BX48" s="27"/>
      <c r="BY48" s="27"/>
      <c r="BZ48" s="27"/>
      <c r="CA48" s="27"/>
      <c r="CB48" s="27"/>
      <c r="CC48" s="27"/>
      <c r="CD48" s="27"/>
      <c r="CE48" s="27"/>
      <c r="CF48" s="27"/>
      <c r="CG48" s="27"/>
      <c r="CH48" s="27"/>
      <c r="CI48" s="27"/>
      <c r="CJ48" s="27"/>
      <c r="CK48" s="27"/>
      <c r="CL48" s="27"/>
      <c r="CM48" s="27"/>
      <c r="CN48" s="27"/>
      <c r="CO48" s="27"/>
      <c r="CP48" s="27"/>
      <c r="CQ48" s="27"/>
      <c r="CR48" s="27"/>
      <c r="CS48" s="27"/>
      <c r="CT48" s="27"/>
      <c r="CU48" s="27"/>
      <c r="CV48" s="27"/>
      <c r="CW48" s="27"/>
      <c r="CX48" s="27"/>
      <c r="CY48" s="27"/>
      <c r="CZ48" s="27"/>
      <c r="DA48" s="27"/>
      <c r="DB48" s="27"/>
      <c r="DC48" s="27"/>
      <c r="DD48" s="27"/>
      <c r="DE48" s="27"/>
      <c r="DF48" s="27"/>
      <c r="DG48" s="27"/>
      <c r="DH48" s="27"/>
      <c r="DI48" s="27"/>
      <c r="DJ48" s="27"/>
      <c r="DK48" s="27"/>
      <c r="DL48" s="27"/>
      <c r="DM48" s="27"/>
      <c r="DN48" s="27"/>
      <c r="DO48" s="27"/>
      <c r="DP48" s="27"/>
      <c r="DQ48" s="27"/>
      <c r="DR48" s="27"/>
      <c r="DS48" s="27"/>
      <c r="DT48" s="27"/>
      <c r="DU48" s="27"/>
      <c r="DV48" s="27"/>
      <c r="DW48" s="27"/>
      <c r="DX48" s="27"/>
      <c r="DY48" s="27"/>
      <c r="DZ48" s="27"/>
      <c r="EA48" s="27"/>
      <c r="EB48" s="27"/>
      <c r="EC48" s="27"/>
      <c r="ED48" s="27"/>
      <c r="EE48" s="27"/>
      <c r="EF48" s="27"/>
      <c r="EG48" s="27"/>
      <c r="EH48" s="27"/>
      <c r="EI48" s="27"/>
      <c r="EJ48" s="27"/>
      <c r="EK48" s="27"/>
      <c r="EL48" s="27"/>
      <c r="EM48" s="27"/>
      <c r="EN48" s="27"/>
      <c r="EO48" s="27"/>
      <c r="EP48" s="27"/>
      <c r="EQ48" s="27"/>
      <c r="ER48" s="27"/>
      <c r="ES48" s="27"/>
      <c r="ET48" s="27"/>
      <c r="EU48" s="27"/>
      <c r="EV48" s="27"/>
      <c r="EW48" s="27"/>
      <c r="EX48" s="27"/>
      <c r="EY48" s="27"/>
      <c r="EZ48" s="27"/>
      <c r="FA48" s="27"/>
      <c r="FB48" s="27"/>
      <c r="FC48" s="27"/>
      <c r="FD48" s="27"/>
      <c r="FE48" s="27"/>
      <c r="FF48" s="27"/>
      <c r="FG48" s="27"/>
      <c r="FH48" s="27"/>
      <c r="FI48" s="27"/>
      <c r="FJ48" s="27"/>
      <c r="FK48" s="27"/>
      <c r="FL48" s="27"/>
      <c r="FM48" s="27"/>
      <c r="FN48" s="27"/>
      <c r="FO48" s="27"/>
      <c r="FP48" s="27"/>
      <c r="FQ48" s="27"/>
      <c r="FR48" s="27"/>
      <c r="FS48" s="27"/>
      <c r="FT48" s="27"/>
      <c r="FU48" s="27"/>
      <c r="FV48" s="27"/>
      <c r="FW48" s="27"/>
      <c r="FX48" s="27"/>
      <c r="FY48" s="27"/>
      <c r="FZ48" s="27"/>
      <c r="GA48" s="27"/>
      <c r="GB48" s="27"/>
      <c r="GC48" s="27"/>
      <c r="GD48" s="27"/>
      <c r="GE48" s="27"/>
      <c r="GF48" s="27"/>
      <c r="GG48" s="27"/>
      <c r="GH48" s="27"/>
      <c r="GI48" s="27"/>
      <c r="GJ48" s="27"/>
      <c r="GK48" s="27"/>
      <c r="GL48" s="27"/>
      <c r="GM48" s="27"/>
      <c r="GN48" s="27"/>
      <c r="GO48" s="27"/>
      <c r="GP48" s="27"/>
      <c r="GQ48" s="27"/>
      <c r="GR48" s="27"/>
      <c r="GS48" s="27"/>
      <c r="GT48" s="27"/>
      <c r="GU48" s="27"/>
      <c r="GV48" s="27"/>
      <c r="GW48" s="27"/>
      <c r="GX48" s="27"/>
      <c r="GY48" s="27"/>
      <c r="GZ48" s="27"/>
      <c r="HA48" s="27"/>
      <c r="HB48" s="27"/>
      <c r="HC48" s="27"/>
      <c r="HD48" s="27"/>
      <c r="HE48" s="27"/>
      <c r="HF48" s="27"/>
      <c r="HG48" s="27"/>
      <c r="HH48" s="27"/>
      <c r="HI48" s="27"/>
      <c r="HJ48" s="27"/>
      <c r="HK48" s="27"/>
      <c r="HL48" s="27"/>
      <c r="HM48" s="27"/>
      <c r="HN48" s="27"/>
      <c r="HO48" s="27"/>
      <c r="HP48" s="27"/>
      <c r="HQ48" s="27"/>
      <c r="HR48" s="27"/>
      <c r="HS48" s="27"/>
      <c r="HT48" s="27"/>
      <c r="HU48" s="27"/>
      <c r="HV48" s="27"/>
      <c r="HW48" s="27"/>
      <c r="HX48" s="27"/>
      <c r="HY48" s="27"/>
      <c r="HZ48" s="27"/>
      <c r="IA48" s="27"/>
      <c r="IB48" s="27"/>
      <c r="IC48" s="27"/>
      <c r="ID48" s="27"/>
      <c r="IE48" s="27"/>
      <c r="IF48" s="27"/>
      <c r="IG48" s="27"/>
      <c r="IH48" s="27"/>
      <c r="II48" s="27"/>
      <c r="IJ48" s="27"/>
      <c r="IK48" s="27"/>
      <c r="IL48" s="27"/>
      <c r="IM48" s="27"/>
      <c r="IN48" s="27"/>
      <c r="IO48" s="27"/>
      <c r="IP48" s="27"/>
      <c r="IQ48" s="27"/>
      <c r="IR48" s="27"/>
      <c r="IS48" s="27"/>
    </row>
    <row r="49" spans="1:253" ht="15.6" x14ac:dyDescent="0.3">
      <c r="A49" s="41"/>
      <c r="B49" s="33" t="s">
        <v>157</v>
      </c>
      <c r="C49" s="33"/>
      <c r="D49" s="33"/>
      <c r="E49" s="1723"/>
      <c r="F49" s="1726">
        <f>ROUND(F37*0,2)</f>
        <v>0</v>
      </c>
      <c r="G49" s="1726">
        <v>0</v>
      </c>
      <c r="H49" s="683">
        <f>SUM(F49:G49)</f>
        <v>0</v>
      </c>
      <c r="I49" s="1726"/>
      <c r="J49" s="44"/>
      <c r="K49" s="27"/>
      <c r="L49" s="180"/>
      <c r="M49" s="27"/>
      <c r="N49" s="27"/>
      <c r="O49" s="27"/>
      <c r="P49" s="27"/>
      <c r="Q49" s="27"/>
      <c r="R49" s="27"/>
      <c r="S49" s="27"/>
      <c r="T49" s="27"/>
      <c r="U49" s="27"/>
      <c r="V49" s="27"/>
      <c r="W49" s="27"/>
      <c r="X49" s="27"/>
      <c r="Y49" s="27"/>
      <c r="Z49" s="27"/>
      <c r="AA49" s="27"/>
      <c r="AB49" s="27"/>
      <c r="AC49" s="27"/>
      <c r="AD49" s="27"/>
      <c r="AE49" s="27"/>
      <c r="AF49" s="27"/>
      <c r="AG49" s="27"/>
      <c r="AH49" s="27"/>
      <c r="AI49" s="27"/>
      <c r="AJ49" s="27"/>
      <c r="AK49" s="27"/>
      <c r="AL49" s="27"/>
      <c r="AM49" s="27"/>
      <c r="AN49" s="27"/>
      <c r="AO49" s="27"/>
      <c r="AP49" s="27"/>
      <c r="AQ49" s="27"/>
      <c r="AR49" s="27"/>
      <c r="AS49" s="27"/>
      <c r="AT49" s="27"/>
      <c r="AU49" s="27"/>
      <c r="AV49" s="27"/>
      <c r="AW49" s="27"/>
      <c r="AX49" s="27"/>
      <c r="AY49" s="27"/>
      <c r="AZ49" s="27"/>
      <c r="BA49" s="27"/>
      <c r="BB49" s="27"/>
      <c r="BC49" s="27"/>
      <c r="BD49" s="27"/>
      <c r="BE49" s="27"/>
      <c r="BF49" s="27"/>
      <c r="BG49" s="27"/>
      <c r="BH49" s="27"/>
      <c r="BI49" s="27"/>
      <c r="BJ49" s="27"/>
      <c r="BK49" s="27"/>
      <c r="BL49" s="27"/>
      <c r="BM49" s="27"/>
      <c r="BN49" s="27"/>
      <c r="BO49" s="27"/>
      <c r="BP49" s="27"/>
      <c r="BQ49" s="27"/>
      <c r="BR49" s="27"/>
      <c r="BS49" s="27"/>
      <c r="BT49" s="27"/>
      <c r="BU49" s="27"/>
      <c r="BV49" s="27"/>
      <c r="BW49" s="27"/>
      <c r="BX49" s="27"/>
      <c r="BY49" s="27"/>
      <c r="BZ49" s="27"/>
      <c r="CA49" s="27"/>
      <c r="CB49" s="27"/>
      <c r="CC49" s="27"/>
      <c r="CD49" s="27"/>
      <c r="CE49" s="27"/>
      <c r="CF49" s="27"/>
      <c r="CG49" s="27"/>
      <c r="CH49" s="27"/>
      <c r="CI49" s="27"/>
      <c r="CJ49" s="27"/>
      <c r="CK49" s="27"/>
      <c r="CL49" s="27"/>
      <c r="CM49" s="27"/>
      <c r="CN49" s="27"/>
      <c r="CO49" s="27"/>
      <c r="CP49" s="27"/>
      <c r="CQ49" s="27"/>
      <c r="CR49" s="27"/>
      <c r="CS49" s="27"/>
      <c r="CT49" s="27"/>
      <c r="CU49" s="27"/>
      <c r="CV49" s="27"/>
      <c r="CW49" s="27"/>
      <c r="CX49" s="27"/>
      <c r="CY49" s="27"/>
      <c r="CZ49" s="27"/>
      <c r="DA49" s="27"/>
      <c r="DB49" s="27"/>
      <c r="DC49" s="27"/>
      <c r="DD49" s="27"/>
      <c r="DE49" s="27"/>
      <c r="DF49" s="27"/>
      <c r="DG49" s="27"/>
      <c r="DH49" s="27"/>
      <c r="DI49" s="27"/>
      <c r="DJ49" s="27"/>
      <c r="DK49" s="27"/>
      <c r="DL49" s="27"/>
      <c r="DM49" s="27"/>
      <c r="DN49" s="27"/>
      <c r="DO49" s="27"/>
      <c r="DP49" s="27"/>
      <c r="DQ49" s="27"/>
      <c r="DR49" s="27"/>
      <c r="DS49" s="27"/>
      <c r="DT49" s="27"/>
      <c r="DU49" s="27"/>
      <c r="DV49" s="27"/>
      <c r="DW49" s="27"/>
      <c r="DX49" s="27"/>
      <c r="DY49" s="27"/>
      <c r="DZ49" s="27"/>
      <c r="EA49" s="27"/>
      <c r="EB49" s="27"/>
      <c r="EC49" s="27"/>
      <c r="ED49" s="27"/>
      <c r="EE49" s="27"/>
      <c r="EF49" s="27"/>
      <c r="EG49" s="27"/>
      <c r="EH49" s="27"/>
      <c r="EI49" s="27"/>
      <c r="EJ49" s="27"/>
      <c r="EK49" s="27"/>
      <c r="EL49" s="27"/>
      <c r="EM49" s="27"/>
      <c r="EN49" s="27"/>
      <c r="EO49" s="27"/>
      <c r="EP49" s="27"/>
      <c r="EQ49" s="27"/>
      <c r="ER49" s="27"/>
      <c r="ES49" s="27"/>
      <c r="ET49" s="27"/>
      <c r="EU49" s="27"/>
      <c r="EV49" s="27"/>
      <c r="EW49" s="27"/>
      <c r="EX49" s="27"/>
      <c r="EY49" s="27"/>
      <c r="EZ49" s="27"/>
      <c r="FA49" s="27"/>
      <c r="FB49" s="27"/>
      <c r="FC49" s="27"/>
      <c r="FD49" s="27"/>
      <c r="FE49" s="27"/>
      <c r="FF49" s="27"/>
      <c r="FG49" s="27"/>
      <c r="FH49" s="27"/>
      <c r="FI49" s="27"/>
      <c r="FJ49" s="27"/>
      <c r="FK49" s="27"/>
      <c r="FL49" s="27"/>
      <c r="FM49" s="27"/>
      <c r="FN49" s="27"/>
      <c r="FO49" s="27"/>
      <c r="FP49" s="27"/>
      <c r="FQ49" s="27"/>
      <c r="FR49" s="27"/>
      <c r="FS49" s="27"/>
      <c r="FT49" s="27"/>
      <c r="FU49" s="27"/>
      <c r="FV49" s="27"/>
      <c r="FW49" s="27"/>
      <c r="FX49" s="27"/>
      <c r="FY49" s="27"/>
      <c r="FZ49" s="27"/>
      <c r="GA49" s="27"/>
      <c r="GB49" s="27"/>
      <c r="GC49" s="27"/>
      <c r="GD49" s="27"/>
      <c r="GE49" s="27"/>
      <c r="GF49" s="27"/>
      <c r="GG49" s="27"/>
      <c r="GH49" s="27"/>
      <c r="GI49" s="27"/>
      <c r="GJ49" s="27"/>
      <c r="GK49" s="27"/>
      <c r="GL49" s="27"/>
      <c r="GM49" s="27"/>
      <c r="GN49" s="27"/>
      <c r="GO49" s="27"/>
      <c r="GP49" s="27"/>
      <c r="GQ49" s="27"/>
      <c r="GR49" s="27"/>
      <c r="GS49" s="27"/>
      <c r="GT49" s="27"/>
      <c r="GU49" s="27"/>
      <c r="GV49" s="27"/>
      <c r="GW49" s="27"/>
      <c r="GX49" s="27"/>
      <c r="GY49" s="27"/>
      <c r="GZ49" s="27"/>
      <c r="HA49" s="27"/>
      <c r="HB49" s="27"/>
      <c r="HC49" s="27"/>
      <c r="HD49" s="27"/>
      <c r="HE49" s="27"/>
      <c r="HF49" s="27"/>
      <c r="HG49" s="27"/>
      <c r="HH49" s="27"/>
      <c r="HI49" s="27"/>
      <c r="HJ49" s="27"/>
      <c r="HK49" s="27"/>
      <c r="HL49" s="27"/>
      <c r="HM49" s="27"/>
      <c r="HN49" s="27"/>
      <c r="HO49" s="27"/>
      <c r="HP49" s="27"/>
      <c r="HQ49" s="27"/>
      <c r="HR49" s="27"/>
      <c r="HS49" s="27"/>
      <c r="HT49" s="27"/>
      <c r="HU49" s="27"/>
      <c r="HV49" s="27"/>
      <c r="HW49" s="27"/>
      <c r="HX49" s="27"/>
      <c r="HY49" s="27"/>
      <c r="HZ49" s="27"/>
      <c r="IA49" s="27"/>
      <c r="IB49" s="27"/>
      <c r="IC49" s="27"/>
      <c r="ID49" s="27"/>
      <c r="IE49" s="27"/>
      <c r="IF49" s="27"/>
      <c r="IG49" s="27"/>
      <c r="IH49" s="27"/>
      <c r="II49" s="27"/>
      <c r="IJ49" s="27"/>
      <c r="IK49" s="27"/>
      <c r="IL49" s="27"/>
      <c r="IM49" s="27"/>
      <c r="IN49" s="27"/>
      <c r="IO49" s="27"/>
      <c r="IP49" s="27"/>
      <c r="IQ49" s="27"/>
      <c r="IR49" s="27"/>
      <c r="IS49" s="27"/>
    </row>
    <row r="50" spans="1:253" ht="15.6" x14ac:dyDescent="0.3">
      <c r="A50" s="41"/>
      <c r="B50" s="33" t="s">
        <v>158</v>
      </c>
      <c r="C50" s="33"/>
      <c r="D50" s="33"/>
      <c r="E50" s="1723"/>
      <c r="F50" s="1726">
        <v>0</v>
      </c>
      <c r="G50" s="1726">
        <v>0</v>
      </c>
      <c r="H50" s="683">
        <f>SUM(F50:G50)</f>
        <v>0</v>
      </c>
      <c r="I50" s="1726"/>
      <c r="J50" s="44"/>
      <c r="K50" s="27"/>
      <c r="L50" s="180"/>
      <c r="M50" s="27"/>
      <c r="N50" s="27"/>
      <c r="O50" s="27"/>
      <c r="P50" s="27"/>
      <c r="Q50" s="27"/>
      <c r="R50" s="27"/>
      <c r="S50" s="27"/>
      <c r="T50" s="27"/>
      <c r="U50" s="27"/>
      <c r="V50" s="27"/>
      <c r="W50" s="27"/>
      <c r="X50" s="27"/>
      <c r="Y50" s="27"/>
      <c r="Z50" s="27"/>
      <c r="AA50" s="27"/>
      <c r="AB50" s="27"/>
      <c r="AC50" s="27"/>
      <c r="AD50" s="27"/>
      <c r="AE50" s="27"/>
      <c r="AF50" s="27"/>
      <c r="AG50" s="27"/>
      <c r="AH50" s="27"/>
      <c r="AI50" s="27"/>
      <c r="AJ50" s="27"/>
      <c r="AK50" s="27"/>
      <c r="AL50" s="27"/>
      <c r="AM50" s="27"/>
      <c r="AN50" s="27"/>
      <c r="AO50" s="27"/>
      <c r="AP50" s="27"/>
      <c r="AQ50" s="27"/>
      <c r="AR50" s="27"/>
      <c r="AS50" s="27"/>
      <c r="AT50" s="27"/>
      <c r="AU50" s="27"/>
      <c r="AV50" s="27"/>
      <c r="AW50" s="27"/>
      <c r="AX50" s="27"/>
      <c r="AY50" s="27"/>
      <c r="AZ50" s="27"/>
      <c r="BA50" s="27"/>
      <c r="BB50" s="27"/>
      <c r="BC50" s="27"/>
      <c r="BD50" s="27"/>
      <c r="BE50" s="27"/>
      <c r="BF50" s="27"/>
      <c r="BG50" s="27"/>
      <c r="BH50" s="27"/>
      <c r="BI50" s="27"/>
      <c r="BJ50" s="27"/>
      <c r="BK50" s="27"/>
      <c r="BL50" s="27"/>
      <c r="BM50" s="27"/>
      <c r="BN50" s="27"/>
      <c r="BO50" s="27"/>
      <c r="BP50" s="27"/>
      <c r="BQ50" s="27"/>
      <c r="BR50" s="27"/>
      <c r="BS50" s="27"/>
      <c r="BT50" s="27"/>
      <c r="BU50" s="27"/>
      <c r="BV50" s="27"/>
      <c r="BW50" s="27"/>
      <c r="BX50" s="27"/>
      <c r="BY50" s="27"/>
      <c r="BZ50" s="27"/>
      <c r="CA50" s="27"/>
      <c r="CB50" s="27"/>
      <c r="CC50" s="27"/>
      <c r="CD50" s="27"/>
      <c r="CE50" s="27"/>
      <c r="CF50" s="27"/>
      <c r="CG50" s="27"/>
      <c r="CH50" s="27"/>
      <c r="CI50" s="27"/>
      <c r="CJ50" s="27"/>
      <c r="CK50" s="27"/>
      <c r="CL50" s="27"/>
      <c r="CM50" s="27"/>
      <c r="CN50" s="27"/>
      <c r="CO50" s="27"/>
      <c r="CP50" s="27"/>
      <c r="CQ50" s="27"/>
      <c r="CR50" s="27"/>
      <c r="CS50" s="27"/>
      <c r="CT50" s="27"/>
      <c r="CU50" s="27"/>
      <c r="CV50" s="27"/>
      <c r="CW50" s="27"/>
      <c r="CX50" s="27"/>
      <c r="CY50" s="27"/>
      <c r="CZ50" s="27"/>
      <c r="DA50" s="27"/>
      <c r="DB50" s="27"/>
      <c r="DC50" s="27"/>
      <c r="DD50" s="27"/>
      <c r="DE50" s="27"/>
      <c r="DF50" s="27"/>
      <c r="DG50" s="27"/>
      <c r="DH50" s="27"/>
      <c r="DI50" s="27"/>
      <c r="DJ50" s="27"/>
      <c r="DK50" s="27"/>
      <c r="DL50" s="27"/>
      <c r="DM50" s="27"/>
      <c r="DN50" s="27"/>
      <c r="DO50" s="27"/>
      <c r="DP50" s="27"/>
      <c r="DQ50" s="27"/>
      <c r="DR50" s="27"/>
      <c r="DS50" s="27"/>
      <c r="DT50" s="27"/>
      <c r="DU50" s="27"/>
      <c r="DV50" s="27"/>
      <c r="DW50" s="27"/>
      <c r="DX50" s="27"/>
      <c r="DY50" s="27"/>
      <c r="DZ50" s="27"/>
      <c r="EA50" s="27"/>
      <c r="EB50" s="27"/>
      <c r="EC50" s="27"/>
      <c r="ED50" s="27"/>
      <c r="EE50" s="27"/>
      <c r="EF50" s="27"/>
      <c r="EG50" s="27"/>
      <c r="EH50" s="27"/>
      <c r="EI50" s="27"/>
      <c r="EJ50" s="27"/>
      <c r="EK50" s="27"/>
      <c r="EL50" s="27"/>
      <c r="EM50" s="27"/>
      <c r="EN50" s="27"/>
      <c r="EO50" s="27"/>
      <c r="EP50" s="27"/>
      <c r="EQ50" s="27"/>
      <c r="ER50" s="27"/>
      <c r="ES50" s="27"/>
      <c r="ET50" s="27"/>
      <c r="EU50" s="27"/>
      <c r="EV50" s="27"/>
      <c r="EW50" s="27"/>
      <c r="EX50" s="27"/>
      <c r="EY50" s="27"/>
      <c r="EZ50" s="27"/>
      <c r="FA50" s="27"/>
      <c r="FB50" s="27"/>
      <c r="FC50" s="27"/>
      <c r="FD50" s="27"/>
      <c r="FE50" s="27"/>
      <c r="FF50" s="27"/>
      <c r="FG50" s="27"/>
      <c r="FH50" s="27"/>
      <c r="FI50" s="27"/>
      <c r="FJ50" s="27"/>
      <c r="FK50" s="27"/>
      <c r="FL50" s="27"/>
      <c r="FM50" s="27"/>
      <c r="FN50" s="27"/>
      <c r="FO50" s="27"/>
      <c r="FP50" s="27"/>
      <c r="FQ50" s="27"/>
      <c r="FR50" s="27"/>
      <c r="FS50" s="27"/>
      <c r="FT50" s="27"/>
      <c r="FU50" s="27"/>
      <c r="FV50" s="27"/>
      <c r="FW50" s="27"/>
      <c r="FX50" s="27"/>
      <c r="FY50" s="27"/>
      <c r="FZ50" s="27"/>
      <c r="GA50" s="27"/>
      <c r="GB50" s="27"/>
      <c r="GC50" s="27"/>
      <c r="GD50" s="27"/>
      <c r="GE50" s="27"/>
      <c r="GF50" s="27"/>
      <c r="GG50" s="27"/>
      <c r="GH50" s="27"/>
      <c r="GI50" s="27"/>
      <c r="GJ50" s="27"/>
      <c r="GK50" s="27"/>
      <c r="GL50" s="27"/>
      <c r="GM50" s="27"/>
      <c r="GN50" s="27"/>
      <c r="GO50" s="27"/>
      <c r="GP50" s="27"/>
      <c r="GQ50" s="27"/>
      <c r="GR50" s="27"/>
      <c r="GS50" s="27"/>
      <c r="GT50" s="27"/>
      <c r="GU50" s="27"/>
      <c r="GV50" s="27"/>
      <c r="GW50" s="27"/>
      <c r="GX50" s="27"/>
      <c r="GY50" s="27"/>
      <c r="GZ50" s="27"/>
      <c r="HA50" s="27"/>
      <c r="HB50" s="27"/>
      <c r="HC50" s="27"/>
      <c r="HD50" s="27"/>
      <c r="HE50" s="27"/>
      <c r="HF50" s="27"/>
      <c r="HG50" s="27"/>
      <c r="HH50" s="27"/>
      <c r="HI50" s="27"/>
      <c r="HJ50" s="27"/>
      <c r="HK50" s="27"/>
      <c r="HL50" s="27"/>
      <c r="HM50" s="27"/>
      <c r="HN50" s="27"/>
      <c r="HO50" s="27"/>
      <c r="HP50" s="27"/>
      <c r="HQ50" s="27"/>
      <c r="HR50" s="27"/>
      <c r="HS50" s="27"/>
      <c r="HT50" s="27"/>
      <c r="HU50" s="27"/>
      <c r="HV50" s="27"/>
      <c r="HW50" s="27"/>
      <c r="HX50" s="27"/>
      <c r="HY50" s="27"/>
      <c r="HZ50" s="27"/>
      <c r="IA50" s="27"/>
      <c r="IB50" s="27"/>
      <c r="IC50" s="27"/>
      <c r="ID50" s="27"/>
      <c r="IE50" s="27"/>
      <c r="IF50" s="27"/>
      <c r="IG50" s="27"/>
      <c r="IH50" s="27"/>
      <c r="II50" s="27"/>
      <c r="IJ50" s="27"/>
      <c r="IK50" s="27"/>
      <c r="IL50" s="27"/>
      <c r="IM50" s="27"/>
      <c r="IN50" s="27"/>
      <c r="IO50" s="27"/>
      <c r="IP50" s="27"/>
      <c r="IQ50" s="27"/>
      <c r="IR50" s="27"/>
      <c r="IS50" s="27"/>
    </row>
    <row r="51" spans="1:253" ht="15.6" x14ac:dyDescent="0.3">
      <c r="A51" s="41"/>
      <c r="B51" s="75" t="s">
        <v>85</v>
      </c>
      <c r="C51" s="33"/>
      <c r="D51" s="33"/>
      <c r="E51" s="1723"/>
      <c r="F51" s="45">
        <v>0</v>
      </c>
      <c r="G51" s="45">
        <v>0</v>
      </c>
      <c r="H51" s="46">
        <f>SUM(F51:G51)</f>
        <v>0</v>
      </c>
      <c r="I51" s="1726"/>
      <c r="J51" s="44"/>
      <c r="K51" s="27"/>
      <c r="L51" s="180"/>
      <c r="M51" s="27"/>
      <c r="N51" s="27"/>
      <c r="O51" s="27"/>
      <c r="P51" s="27"/>
      <c r="Q51" s="27"/>
      <c r="R51" s="27"/>
      <c r="S51" s="27"/>
      <c r="T51" s="27"/>
      <c r="U51" s="27"/>
      <c r="V51" s="27"/>
      <c r="W51" s="27"/>
      <c r="X51" s="27"/>
      <c r="Y51" s="27"/>
      <c r="Z51" s="27"/>
      <c r="AA51" s="27"/>
      <c r="AB51" s="27"/>
      <c r="AC51" s="27"/>
      <c r="AD51" s="27"/>
      <c r="AE51" s="27"/>
      <c r="AF51" s="27"/>
      <c r="AG51" s="27"/>
      <c r="AH51" s="27"/>
      <c r="AI51" s="27"/>
      <c r="AJ51" s="27"/>
      <c r="AK51" s="27"/>
      <c r="AL51" s="27"/>
      <c r="AM51" s="27"/>
      <c r="AN51" s="27"/>
      <c r="AO51" s="27"/>
      <c r="AP51" s="27"/>
      <c r="AQ51" s="27"/>
      <c r="AR51" s="27"/>
      <c r="AS51" s="27"/>
      <c r="AT51" s="27"/>
      <c r="AU51" s="27"/>
      <c r="AV51" s="27"/>
      <c r="AW51" s="27"/>
      <c r="AX51" s="27"/>
      <c r="AY51" s="27"/>
      <c r="AZ51" s="27"/>
      <c r="BA51" s="27"/>
      <c r="BB51" s="27"/>
      <c r="BC51" s="27"/>
      <c r="BD51" s="27"/>
      <c r="BE51" s="27"/>
      <c r="BF51" s="27"/>
      <c r="BG51" s="27"/>
      <c r="BH51" s="27"/>
      <c r="BI51" s="27"/>
      <c r="BJ51" s="27"/>
      <c r="BK51" s="27"/>
      <c r="BL51" s="27"/>
      <c r="BM51" s="27"/>
      <c r="BN51" s="27"/>
      <c r="BO51" s="27"/>
      <c r="BP51" s="27"/>
      <c r="BQ51" s="27"/>
      <c r="BR51" s="27"/>
      <c r="BS51" s="27"/>
      <c r="BT51" s="27"/>
      <c r="BU51" s="27"/>
      <c r="BV51" s="27"/>
      <c r="BW51" s="27"/>
      <c r="BX51" s="27"/>
      <c r="BY51" s="27"/>
      <c r="BZ51" s="27"/>
      <c r="CA51" s="27"/>
      <c r="CB51" s="27"/>
      <c r="CC51" s="27"/>
      <c r="CD51" s="27"/>
      <c r="CE51" s="27"/>
      <c r="CF51" s="27"/>
      <c r="CG51" s="27"/>
      <c r="CH51" s="27"/>
      <c r="CI51" s="27"/>
      <c r="CJ51" s="27"/>
      <c r="CK51" s="27"/>
      <c r="CL51" s="27"/>
      <c r="CM51" s="27"/>
      <c r="CN51" s="27"/>
      <c r="CO51" s="27"/>
      <c r="CP51" s="27"/>
      <c r="CQ51" s="27"/>
      <c r="CR51" s="27"/>
      <c r="CS51" s="27"/>
      <c r="CT51" s="27"/>
      <c r="CU51" s="27"/>
      <c r="CV51" s="27"/>
      <c r="CW51" s="27"/>
      <c r="CX51" s="27"/>
      <c r="CY51" s="27"/>
      <c r="CZ51" s="27"/>
      <c r="DA51" s="27"/>
      <c r="DB51" s="27"/>
      <c r="DC51" s="27"/>
      <c r="DD51" s="27"/>
      <c r="DE51" s="27"/>
      <c r="DF51" s="27"/>
      <c r="DG51" s="27"/>
      <c r="DH51" s="27"/>
      <c r="DI51" s="27"/>
      <c r="DJ51" s="27"/>
      <c r="DK51" s="27"/>
      <c r="DL51" s="27"/>
      <c r="DM51" s="27"/>
      <c r="DN51" s="27"/>
      <c r="DO51" s="27"/>
      <c r="DP51" s="27"/>
      <c r="DQ51" s="27"/>
      <c r="DR51" s="27"/>
      <c r="DS51" s="27"/>
      <c r="DT51" s="27"/>
      <c r="DU51" s="27"/>
      <c r="DV51" s="27"/>
      <c r="DW51" s="27"/>
      <c r="DX51" s="27"/>
      <c r="DY51" s="27"/>
      <c r="DZ51" s="27"/>
      <c r="EA51" s="27"/>
      <c r="EB51" s="27"/>
      <c r="EC51" s="27"/>
      <c r="ED51" s="27"/>
      <c r="EE51" s="27"/>
      <c r="EF51" s="27"/>
      <c r="EG51" s="27"/>
      <c r="EH51" s="27"/>
      <c r="EI51" s="27"/>
      <c r="EJ51" s="27"/>
      <c r="EK51" s="27"/>
      <c r="EL51" s="27"/>
      <c r="EM51" s="27"/>
      <c r="EN51" s="27"/>
      <c r="EO51" s="27"/>
      <c r="EP51" s="27"/>
      <c r="EQ51" s="27"/>
      <c r="ER51" s="27"/>
      <c r="ES51" s="27"/>
      <c r="ET51" s="27"/>
      <c r="EU51" s="27"/>
      <c r="EV51" s="27"/>
      <c r="EW51" s="27"/>
      <c r="EX51" s="27"/>
      <c r="EY51" s="27"/>
      <c r="EZ51" s="27"/>
      <c r="FA51" s="27"/>
      <c r="FB51" s="27"/>
      <c r="FC51" s="27"/>
      <c r="FD51" s="27"/>
      <c r="FE51" s="27"/>
      <c r="FF51" s="27"/>
      <c r="FG51" s="27"/>
      <c r="FH51" s="27"/>
      <c r="FI51" s="27"/>
      <c r="FJ51" s="27"/>
      <c r="FK51" s="27"/>
      <c r="FL51" s="27"/>
      <c r="FM51" s="27"/>
      <c r="FN51" s="27"/>
      <c r="FO51" s="27"/>
      <c r="FP51" s="27"/>
      <c r="FQ51" s="27"/>
      <c r="FR51" s="27"/>
      <c r="FS51" s="27"/>
      <c r="FT51" s="27"/>
      <c r="FU51" s="27"/>
      <c r="FV51" s="27"/>
      <c r="FW51" s="27"/>
      <c r="FX51" s="27"/>
      <c r="FY51" s="27"/>
      <c r="FZ51" s="27"/>
      <c r="GA51" s="27"/>
      <c r="GB51" s="27"/>
      <c r="GC51" s="27"/>
      <c r="GD51" s="27"/>
      <c r="GE51" s="27"/>
      <c r="GF51" s="27"/>
      <c r="GG51" s="27"/>
      <c r="GH51" s="27"/>
      <c r="GI51" s="27"/>
      <c r="GJ51" s="27"/>
      <c r="GK51" s="27"/>
      <c r="GL51" s="27"/>
      <c r="GM51" s="27"/>
      <c r="GN51" s="27"/>
      <c r="GO51" s="27"/>
      <c r="GP51" s="27"/>
      <c r="GQ51" s="27"/>
      <c r="GR51" s="27"/>
      <c r="GS51" s="27"/>
      <c r="GT51" s="27"/>
      <c r="GU51" s="27"/>
      <c r="GV51" s="27"/>
      <c r="GW51" s="27"/>
      <c r="GX51" s="27"/>
      <c r="GY51" s="27"/>
      <c r="GZ51" s="27"/>
      <c r="HA51" s="27"/>
      <c r="HB51" s="27"/>
      <c r="HC51" s="27"/>
      <c r="HD51" s="27"/>
      <c r="HE51" s="27"/>
      <c r="HF51" s="27"/>
      <c r="HG51" s="27"/>
      <c r="HH51" s="27"/>
      <c r="HI51" s="27"/>
      <c r="HJ51" s="27"/>
      <c r="HK51" s="27"/>
      <c r="HL51" s="27"/>
      <c r="HM51" s="27"/>
      <c r="HN51" s="27"/>
      <c r="HO51" s="27"/>
      <c r="HP51" s="27"/>
      <c r="HQ51" s="27"/>
      <c r="HR51" s="27"/>
      <c r="HS51" s="27"/>
      <c r="HT51" s="27"/>
      <c r="HU51" s="27"/>
      <c r="HV51" s="27"/>
      <c r="HW51" s="27"/>
      <c r="HX51" s="27"/>
      <c r="HY51" s="27"/>
      <c r="HZ51" s="27"/>
      <c r="IA51" s="27"/>
      <c r="IB51" s="27"/>
      <c r="IC51" s="27"/>
      <c r="ID51" s="27"/>
      <c r="IE51" s="27"/>
      <c r="IF51" s="27"/>
      <c r="IG51" s="27"/>
      <c r="IH51" s="27"/>
      <c r="II51" s="27"/>
      <c r="IJ51" s="27"/>
      <c r="IK51" s="27"/>
      <c r="IL51" s="27"/>
      <c r="IM51" s="27"/>
      <c r="IN51" s="27"/>
      <c r="IO51" s="27"/>
      <c r="IP51" s="27"/>
      <c r="IQ51" s="27"/>
      <c r="IR51" s="27"/>
      <c r="IS51" s="27"/>
    </row>
    <row r="52" spans="1:253" x14ac:dyDescent="0.25">
      <c r="A52" s="41"/>
      <c r="B52" s="33" t="s">
        <v>161</v>
      </c>
      <c r="C52" s="33"/>
      <c r="D52" s="33"/>
      <c r="E52" s="1723"/>
      <c r="F52" s="1726">
        <f>SUM(F49:F51)</f>
        <v>0</v>
      </c>
      <c r="G52" s="1726">
        <f>SUM(G49:G51)</f>
        <v>0</v>
      </c>
      <c r="H52" s="683">
        <f>SUM(F52:G52)</f>
        <v>0</v>
      </c>
      <c r="I52" s="1726"/>
      <c r="J52" s="44"/>
      <c r="K52" s="27"/>
      <c r="L52" s="27"/>
      <c r="M52" s="27"/>
      <c r="N52" s="27"/>
      <c r="O52" s="27"/>
      <c r="P52" s="27"/>
      <c r="Q52" s="27"/>
      <c r="R52" s="27"/>
      <c r="S52" s="27"/>
      <c r="T52" s="27"/>
      <c r="U52" s="27"/>
      <c r="V52" s="27"/>
      <c r="W52" s="27"/>
      <c r="X52" s="27"/>
      <c r="Y52" s="27"/>
      <c r="Z52" s="27"/>
      <c r="AA52" s="27"/>
      <c r="AB52" s="27"/>
      <c r="AC52" s="27"/>
      <c r="AD52" s="27"/>
      <c r="AE52" s="27"/>
      <c r="AF52" s="27"/>
      <c r="AG52" s="27"/>
      <c r="AH52" s="27"/>
      <c r="AI52" s="27"/>
      <c r="AJ52" s="27"/>
      <c r="AK52" s="27"/>
      <c r="AL52" s="27"/>
      <c r="AM52" s="27"/>
      <c r="AN52" s="27"/>
      <c r="AO52" s="27"/>
      <c r="AP52" s="27"/>
      <c r="AQ52" s="27"/>
      <c r="AR52" s="27"/>
      <c r="AS52" s="27"/>
      <c r="AT52" s="27"/>
      <c r="AU52" s="27"/>
      <c r="AV52" s="27"/>
      <c r="AW52" s="27"/>
      <c r="AX52" s="27"/>
      <c r="AY52" s="27"/>
      <c r="AZ52" s="27"/>
      <c r="BA52" s="27"/>
      <c r="BB52" s="27"/>
      <c r="BC52" s="27"/>
      <c r="BD52" s="27"/>
      <c r="BE52" s="27"/>
      <c r="BF52" s="27"/>
      <c r="BG52" s="27"/>
      <c r="BH52" s="27"/>
      <c r="BI52" s="27"/>
      <c r="BJ52" s="27"/>
      <c r="BK52" s="27"/>
      <c r="BL52" s="27"/>
      <c r="BM52" s="27"/>
      <c r="BN52" s="27"/>
      <c r="BO52" s="27"/>
      <c r="BP52" s="27"/>
      <c r="BQ52" s="27"/>
      <c r="BR52" s="27"/>
      <c r="BS52" s="27"/>
      <c r="BT52" s="27"/>
      <c r="BU52" s="27"/>
      <c r="BV52" s="27"/>
      <c r="BW52" s="27"/>
      <c r="BX52" s="27"/>
      <c r="BY52" s="27"/>
      <c r="BZ52" s="27"/>
      <c r="CA52" s="27"/>
      <c r="CB52" s="27"/>
      <c r="CC52" s="27"/>
      <c r="CD52" s="27"/>
      <c r="CE52" s="27"/>
      <c r="CF52" s="27"/>
      <c r="CG52" s="27"/>
      <c r="CH52" s="27"/>
      <c r="CI52" s="27"/>
      <c r="CJ52" s="27"/>
      <c r="CK52" s="27"/>
      <c r="CL52" s="27"/>
      <c r="CM52" s="27"/>
      <c r="CN52" s="27"/>
      <c r="CO52" s="27"/>
      <c r="CP52" s="27"/>
      <c r="CQ52" s="27"/>
      <c r="CR52" s="27"/>
      <c r="CS52" s="27"/>
      <c r="CT52" s="27"/>
      <c r="CU52" s="27"/>
      <c r="CV52" s="27"/>
      <c r="CW52" s="27"/>
      <c r="CX52" s="27"/>
      <c r="CY52" s="27"/>
      <c r="CZ52" s="27"/>
      <c r="DA52" s="27"/>
      <c r="DB52" s="27"/>
      <c r="DC52" s="27"/>
      <c r="DD52" s="27"/>
      <c r="DE52" s="27"/>
      <c r="DF52" s="27"/>
      <c r="DG52" s="27"/>
      <c r="DH52" s="27"/>
      <c r="DI52" s="27"/>
      <c r="DJ52" s="27"/>
      <c r="DK52" s="27"/>
      <c r="DL52" s="27"/>
      <c r="DM52" s="27"/>
      <c r="DN52" s="27"/>
      <c r="DO52" s="27"/>
      <c r="DP52" s="27"/>
      <c r="DQ52" s="27"/>
      <c r="DR52" s="27"/>
      <c r="DS52" s="27"/>
      <c r="DT52" s="27"/>
      <c r="DU52" s="27"/>
      <c r="DV52" s="27"/>
      <c r="DW52" s="27"/>
      <c r="DX52" s="27"/>
      <c r="DY52" s="27"/>
      <c r="DZ52" s="27"/>
      <c r="EA52" s="27"/>
      <c r="EB52" s="27"/>
      <c r="EC52" s="27"/>
      <c r="ED52" s="27"/>
      <c r="EE52" s="27"/>
      <c r="EF52" s="27"/>
      <c r="EG52" s="27"/>
      <c r="EH52" s="27"/>
      <c r="EI52" s="27"/>
      <c r="EJ52" s="27"/>
      <c r="EK52" s="27"/>
      <c r="EL52" s="27"/>
      <c r="EM52" s="27"/>
      <c r="EN52" s="27"/>
      <c r="EO52" s="27"/>
      <c r="EP52" s="27"/>
      <c r="EQ52" s="27"/>
      <c r="ER52" s="27"/>
      <c r="ES52" s="27"/>
      <c r="ET52" s="27"/>
      <c r="EU52" s="27"/>
      <c r="EV52" s="27"/>
      <c r="EW52" s="27"/>
      <c r="EX52" s="27"/>
      <c r="EY52" s="27"/>
      <c r="EZ52" s="27"/>
      <c r="FA52" s="27"/>
      <c r="FB52" s="27"/>
      <c r="FC52" s="27"/>
      <c r="FD52" s="27"/>
      <c r="FE52" s="27"/>
      <c r="FF52" s="27"/>
      <c r="FG52" s="27"/>
      <c r="FH52" s="27"/>
      <c r="FI52" s="27"/>
      <c r="FJ52" s="27"/>
      <c r="FK52" s="27"/>
      <c r="FL52" s="27"/>
      <c r="FM52" s="27"/>
      <c r="FN52" s="27"/>
      <c r="FO52" s="27"/>
      <c r="FP52" s="27"/>
      <c r="FQ52" s="27"/>
      <c r="FR52" s="27"/>
      <c r="FS52" s="27"/>
      <c r="FT52" s="27"/>
      <c r="FU52" s="27"/>
      <c r="FV52" s="27"/>
      <c r="FW52" s="27"/>
      <c r="FX52" s="27"/>
      <c r="FY52" s="27"/>
      <c r="FZ52" s="27"/>
      <c r="GA52" s="27"/>
      <c r="GB52" s="27"/>
      <c r="GC52" s="27"/>
      <c r="GD52" s="27"/>
      <c r="GE52" s="27"/>
      <c r="GF52" s="27"/>
      <c r="GG52" s="27"/>
      <c r="GH52" s="27"/>
      <c r="GI52" s="27"/>
      <c r="GJ52" s="27"/>
      <c r="GK52" s="27"/>
      <c r="GL52" s="27"/>
      <c r="GM52" s="27"/>
      <c r="GN52" s="27"/>
      <c r="GO52" s="27"/>
      <c r="GP52" s="27"/>
      <c r="GQ52" s="27"/>
      <c r="GR52" s="27"/>
      <c r="GS52" s="27"/>
      <c r="GT52" s="27"/>
      <c r="GU52" s="27"/>
      <c r="GV52" s="27"/>
      <c r="GW52" s="27"/>
      <c r="GX52" s="27"/>
      <c r="GY52" s="27"/>
      <c r="GZ52" s="27"/>
      <c r="HA52" s="27"/>
      <c r="HB52" s="27"/>
      <c r="HC52" s="27"/>
      <c r="HD52" s="27"/>
      <c r="HE52" s="27"/>
      <c r="HF52" s="27"/>
      <c r="HG52" s="27"/>
      <c r="HH52" s="27"/>
      <c r="HI52" s="27"/>
      <c r="HJ52" s="27"/>
      <c r="HK52" s="27"/>
      <c r="HL52" s="27"/>
      <c r="HM52" s="27"/>
      <c r="HN52" s="27"/>
      <c r="HO52" s="27"/>
      <c r="HP52" s="27"/>
      <c r="HQ52" s="27"/>
      <c r="HR52" s="27"/>
      <c r="HS52" s="27"/>
      <c r="HT52" s="27"/>
      <c r="HU52" s="27"/>
      <c r="HV52" s="27"/>
      <c r="HW52" s="27"/>
      <c r="HX52" s="27"/>
      <c r="HY52" s="27"/>
      <c r="HZ52" s="27"/>
      <c r="IA52" s="27"/>
      <c r="IB52" s="27"/>
      <c r="IC52" s="27"/>
      <c r="ID52" s="27"/>
      <c r="IE52" s="27"/>
      <c r="IF52" s="27"/>
      <c r="IG52" s="27"/>
      <c r="IH52" s="27"/>
      <c r="II52" s="27"/>
      <c r="IJ52" s="27"/>
      <c r="IK52" s="27"/>
      <c r="IL52" s="27"/>
      <c r="IM52" s="27"/>
      <c r="IN52" s="27"/>
      <c r="IO52" s="27"/>
      <c r="IP52" s="27"/>
      <c r="IQ52" s="27"/>
      <c r="IR52" s="27"/>
      <c r="IS52" s="27"/>
    </row>
    <row r="53" spans="1:253" x14ac:dyDescent="0.25">
      <c r="A53" s="41"/>
      <c r="B53" s="33"/>
      <c r="C53" s="33"/>
      <c r="D53" s="33"/>
      <c r="E53" s="1723"/>
      <c r="F53" s="1726"/>
      <c r="G53" s="1726"/>
      <c r="H53" s="683"/>
      <c r="I53" s="1726"/>
      <c r="J53" s="44"/>
      <c r="K53" s="27"/>
      <c r="L53" s="27"/>
      <c r="M53" s="27"/>
      <c r="N53" s="27"/>
      <c r="O53" s="27"/>
      <c r="P53" s="27"/>
      <c r="Q53" s="27"/>
      <c r="R53" s="27"/>
      <c r="S53" s="27"/>
      <c r="T53" s="27"/>
      <c r="U53" s="27"/>
      <c r="V53" s="27"/>
      <c r="W53" s="27"/>
      <c r="X53" s="27"/>
      <c r="Y53" s="27"/>
      <c r="Z53" s="27"/>
      <c r="AA53" s="27"/>
      <c r="AB53" s="27"/>
      <c r="AC53" s="27"/>
      <c r="AD53" s="27"/>
      <c r="AE53" s="27"/>
      <c r="AF53" s="27"/>
      <c r="AG53" s="27"/>
      <c r="AH53" s="27"/>
      <c r="AI53" s="27"/>
      <c r="AJ53" s="27"/>
      <c r="AK53" s="27"/>
      <c r="AL53" s="27"/>
      <c r="AM53" s="27"/>
      <c r="AN53" s="27"/>
      <c r="AO53" s="27"/>
      <c r="AP53" s="27"/>
      <c r="AQ53" s="27"/>
      <c r="AR53" s="27"/>
      <c r="AS53" s="27"/>
      <c r="AT53" s="27"/>
      <c r="AU53" s="27"/>
      <c r="AV53" s="27"/>
      <c r="AW53" s="27"/>
      <c r="AX53" s="27"/>
      <c r="AY53" s="27"/>
      <c r="AZ53" s="27"/>
      <c r="BA53" s="27"/>
      <c r="BB53" s="27"/>
      <c r="BC53" s="27"/>
      <c r="BD53" s="27"/>
      <c r="BE53" s="27"/>
      <c r="BF53" s="27"/>
      <c r="BG53" s="27"/>
      <c r="BH53" s="27"/>
      <c r="BI53" s="27"/>
      <c r="BJ53" s="27"/>
      <c r="BK53" s="27"/>
      <c r="BL53" s="27"/>
      <c r="BM53" s="27"/>
      <c r="BN53" s="27"/>
      <c r="BO53" s="27"/>
      <c r="BP53" s="27"/>
      <c r="BQ53" s="27"/>
      <c r="BR53" s="27"/>
      <c r="BS53" s="27"/>
      <c r="BT53" s="27"/>
      <c r="BU53" s="27"/>
      <c r="BV53" s="27"/>
      <c r="BW53" s="27"/>
      <c r="BX53" s="27"/>
      <c r="BY53" s="27"/>
      <c r="BZ53" s="27"/>
      <c r="CA53" s="27"/>
      <c r="CB53" s="27"/>
      <c r="CC53" s="27"/>
      <c r="CD53" s="27"/>
      <c r="CE53" s="27"/>
      <c r="CF53" s="27"/>
      <c r="CG53" s="27"/>
      <c r="CH53" s="27"/>
      <c r="CI53" s="27"/>
      <c r="CJ53" s="27"/>
      <c r="CK53" s="27"/>
      <c r="CL53" s="27"/>
      <c r="CM53" s="27"/>
      <c r="CN53" s="27"/>
      <c r="CO53" s="27"/>
      <c r="CP53" s="27"/>
      <c r="CQ53" s="27"/>
      <c r="CR53" s="27"/>
      <c r="CS53" s="27"/>
      <c r="CT53" s="27"/>
      <c r="CU53" s="27"/>
      <c r="CV53" s="27"/>
      <c r="CW53" s="27"/>
      <c r="CX53" s="27"/>
      <c r="CY53" s="27"/>
      <c r="CZ53" s="27"/>
      <c r="DA53" s="27"/>
      <c r="DB53" s="27"/>
      <c r="DC53" s="27"/>
      <c r="DD53" s="27"/>
      <c r="DE53" s="27"/>
      <c r="DF53" s="27"/>
      <c r="DG53" s="27"/>
      <c r="DH53" s="27"/>
      <c r="DI53" s="27"/>
      <c r="DJ53" s="27"/>
      <c r="DK53" s="27"/>
      <c r="DL53" s="27"/>
      <c r="DM53" s="27"/>
      <c r="DN53" s="27"/>
      <c r="DO53" s="27"/>
      <c r="DP53" s="27"/>
      <c r="DQ53" s="27"/>
      <c r="DR53" s="27"/>
      <c r="DS53" s="27"/>
      <c r="DT53" s="27"/>
      <c r="DU53" s="27"/>
      <c r="DV53" s="27"/>
      <c r="DW53" s="27"/>
      <c r="DX53" s="27"/>
      <c r="DY53" s="27"/>
      <c r="DZ53" s="27"/>
      <c r="EA53" s="27"/>
      <c r="EB53" s="27"/>
      <c r="EC53" s="27"/>
      <c r="ED53" s="27"/>
      <c r="EE53" s="27"/>
      <c r="EF53" s="27"/>
      <c r="EG53" s="27"/>
      <c r="EH53" s="27"/>
      <c r="EI53" s="27"/>
      <c r="EJ53" s="27"/>
      <c r="EK53" s="27"/>
      <c r="EL53" s="27"/>
      <c r="EM53" s="27"/>
      <c r="EN53" s="27"/>
      <c r="EO53" s="27"/>
      <c r="EP53" s="27"/>
      <c r="EQ53" s="27"/>
      <c r="ER53" s="27"/>
      <c r="ES53" s="27"/>
      <c r="ET53" s="27"/>
      <c r="EU53" s="27"/>
      <c r="EV53" s="27"/>
      <c r="EW53" s="27"/>
      <c r="EX53" s="27"/>
      <c r="EY53" s="27"/>
      <c r="EZ53" s="27"/>
      <c r="FA53" s="27"/>
      <c r="FB53" s="27"/>
      <c r="FC53" s="27"/>
      <c r="FD53" s="27"/>
      <c r="FE53" s="27"/>
      <c r="FF53" s="27"/>
      <c r="FG53" s="27"/>
      <c r="FH53" s="27"/>
      <c r="FI53" s="27"/>
      <c r="FJ53" s="27"/>
      <c r="FK53" s="27"/>
      <c r="FL53" s="27"/>
      <c r="FM53" s="27"/>
      <c r="FN53" s="27"/>
      <c r="FO53" s="27"/>
      <c r="FP53" s="27"/>
      <c r="FQ53" s="27"/>
      <c r="FR53" s="27"/>
      <c r="FS53" s="27"/>
      <c r="FT53" s="27"/>
      <c r="FU53" s="27"/>
      <c r="FV53" s="27"/>
      <c r="FW53" s="27"/>
      <c r="FX53" s="27"/>
      <c r="FY53" s="27"/>
      <c r="FZ53" s="27"/>
      <c r="GA53" s="27"/>
      <c r="GB53" s="27"/>
      <c r="GC53" s="27"/>
      <c r="GD53" s="27"/>
      <c r="GE53" s="27"/>
      <c r="GF53" s="27"/>
      <c r="GG53" s="27"/>
      <c r="GH53" s="27"/>
      <c r="GI53" s="27"/>
      <c r="GJ53" s="27"/>
      <c r="GK53" s="27"/>
      <c r="GL53" s="27"/>
      <c r="GM53" s="27"/>
      <c r="GN53" s="27"/>
      <c r="GO53" s="27"/>
      <c r="GP53" s="27"/>
      <c r="GQ53" s="27"/>
      <c r="GR53" s="27"/>
      <c r="GS53" s="27"/>
      <c r="GT53" s="27"/>
      <c r="GU53" s="27"/>
      <c r="GV53" s="27"/>
      <c r="GW53" s="27"/>
      <c r="GX53" s="27"/>
      <c r="GY53" s="27"/>
      <c r="GZ53" s="27"/>
      <c r="HA53" s="27"/>
      <c r="HB53" s="27"/>
      <c r="HC53" s="27"/>
      <c r="HD53" s="27"/>
      <c r="HE53" s="27"/>
      <c r="HF53" s="27"/>
      <c r="HG53" s="27"/>
      <c r="HH53" s="27"/>
      <c r="HI53" s="27"/>
      <c r="HJ53" s="27"/>
      <c r="HK53" s="27"/>
      <c r="HL53" s="27"/>
      <c r="HM53" s="27"/>
      <c r="HN53" s="27"/>
      <c r="HO53" s="27"/>
      <c r="HP53" s="27"/>
      <c r="HQ53" s="27"/>
      <c r="HR53" s="27"/>
      <c r="HS53" s="27"/>
      <c r="HT53" s="27"/>
      <c r="HU53" s="27"/>
      <c r="HV53" s="27"/>
      <c r="HW53" s="27"/>
      <c r="HX53" s="27"/>
      <c r="HY53" s="27"/>
      <c r="HZ53" s="27"/>
      <c r="IA53" s="27"/>
      <c r="IB53" s="27"/>
      <c r="IC53" s="27"/>
      <c r="ID53" s="27"/>
      <c r="IE53" s="27"/>
      <c r="IF53" s="27"/>
      <c r="IG53" s="27"/>
      <c r="IH53" s="27"/>
      <c r="II53" s="27"/>
      <c r="IJ53" s="27"/>
      <c r="IK53" s="27"/>
      <c r="IL53" s="27"/>
      <c r="IM53" s="27"/>
      <c r="IN53" s="27"/>
      <c r="IO53" s="27"/>
      <c r="IP53" s="27"/>
      <c r="IQ53" s="27"/>
      <c r="IR53" s="27"/>
      <c r="IS53" s="27"/>
    </row>
    <row r="54" spans="1:253" x14ac:dyDescent="0.25">
      <c r="A54" s="49" t="s">
        <v>89</v>
      </c>
      <c r="B54" s="39" t="s">
        <v>91</v>
      </c>
      <c r="C54" s="33"/>
      <c r="D54" s="33"/>
      <c r="E54" s="1723"/>
      <c r="F54" s="1726"/>
      <c r="G54" s="1726"/>
      <c r="H54" s="683"/>
      <c r="I54" s="1726"/>
      <c r="J54" s="44"/>
      <c r="K54" s="27"/>
      <c r="L54" s="27"/>
      <c r="M54" s="27"/>
      <c r="N54" s="27"/>
      <c r="O54" s="27"/>
      <c r="P54" s="27"/>
      <c r="Q54" s="27"/>
      <c r="R54" s="27"/>
      <c r="S54" s="27"/>
      <c r="T54" s="27"/>
      <c r="U54" s="27"/>
      <c r="V54" s="27"/>
      <c r="W54" s="27"/>
      <c r="X54" s="27"/>
      <c r="Y54" s="27"/>
      <c r="Z54" s="27"/>
      <c r="AA54" s="27"/>
      <c r="AB54" s="27"/>
      <c r="AC54" s="27"/>
      <c r="AD54" s="27"/>
      <c r="AE54" s="27"/>
      <c r="AF54" s="27"/>
      <c r="AG54" s="27"/>
      <c r="AH54" s="27"/>
      <c r="AI54" s="27"/>
      <c r="AJ54" s="27"/>
      <c r="AK54" s="27"/>
      <c r="AL54" s="27"/>
      <c r="AM54" s="27"/>
      <c r="AN54" s="27"/>
      <c r="AO54" s="27"/>
      <c r="AP54" s="27"/>
      <c r="AQ54" s="27"/>
      <c r="AR54" s="27"/>
      <c r="AS54" s="27"/>
      <c r="AT54" s="27"/>
      <c r="AU54" s="27"/>
      <c r="AV54" s="27"/>
      <c r="AW54" s="27"/>
      <c r="AX54" s="27"/>
      <c r="AY54" s="27"/>
      <c r="AZ54" s="27"/>
      <c r="BA54" s="27"/>
      <c r="BB54" s="27"/>
      <c r="BC54" s="27"/>
      <c r="BD54" s="27"/>
      <c r="BE54" s="27"/>
      <c r="BF54" s="27"/>
      <c r="BG54" s="27"/>
      <c r="BH54" s="27"/>
      <c r="BI54" s="27"/>
      <c r="BJ54" s="27"/>
      <c r="BK54" s="27"/>
      <c r="BL54" s="27"/>
      <c r="BM54" s="27"/>
      <c r="BN54" s="27"/>
      <c r="BO54" s="27"/>
      <c r="BP54" s="27"/>
      <c r="BQ54" s="27"/>
      <c r="BR54" s="27"/>
      <c r="BS54" s="27"/>
      <c r="BT54" s="27"/>
      <c r="BU54" s="27"/>
      <c r="BV54" s="27"/>
      <c r="BW54" s="27"/>
      <c r="BX54" s="27"/>
      <c r="BY54" s="27"/>
      <c r="BZ54" s="27"/>
      <c r="CA54" s="27"/>
      <c r="CB54" s="27"/>
      <c r="CC54" s="27"/>
      <c r="CD54" s="27"/>
      <c r="CE54" s="27"/>
      <c r="CF54" s="27"/>
      <c r="CG54" s="27"/>
      <c r="CH54" s="27"/>
      <c r="CI54" s="27"/>
      <c r="CJ54" s="27"/>
      <c r="CK54" s="27"/>
      <c r="CL54" s="27"/>
      <c r="CM54" s="27"/>
      <c r="CN54" s="27"/>
      <c r="CO54" s="27"/>
      <c r="CP54" s="27"/>
      <c r="CQ54" s="27"/>
      <c r="CR54" s="27"/>
      <c r="CS54" s="27"/>
      <c r="CT54" s="27"/>
      <c r="CU54" s="27"/>
      <c r="CV54" s="27"/>
      <c r="CW54" s="27"/>
      <c r="CX54" s="27"/>
      <c r="CY54" s="27"/>
      <c r="CZ54" s="27"/>
      <c r="DA54" s="27"/>
      <c r="DB54" s="27"/>
      <c r="DC54" s="27"/>
      <c r="DD54" s="27"/>
      <c r="DE54" s="27"/>
      <c r="DF54" s="27"/>
      <c r="DG54" s="27"/>
      <c r="DH54" s="27"/>
      <c r="DI54" s="27"/>
      <c r="DJ54" s="27"/>
      <c r="DK54" s="27"/>
      <c r="DL54" s="27"/>
      <c r="DM54" s="27"/>
      <c r="DN54" s="27"/>
      <c r="DO54" s="27"/>
      <c r="DP54" s="27"/>
      <c r="DQ54" s="27"/>
      <c r="DR54" s="27"/>
      <c r="DS54" s="27"/>
      <c r="DT54" s="27"/>
      <c r="DU54" s="27"/>
      <c r="DV54" s="27"/>
      <c r="DW54" s="27"/>
      <c r="DX54" s="27"/>
      <c r="DY54" s="27"/>
      <c r="DZ54" s="27"/>
      <c r="EA54" s="27"/>
      <c r="EB54" s="27"/>
      <c r="EC54" s="27"/>
      <c r="ED54" s="27"/>
      <c r="EE54" s="27"/>
      <c r="EF54" s="27"/>
      <c r="EG54" s="27"/>
      <c r="EH54" s="27"/>
      <c r="EI54" s="27"/>
      <c r="EJ54" s="27"/>
      <c r="EK54" s="27"/>
      <c r="EL54" s="27"/>
      <c r="EM54" s="27"/>
      <c r="EN54" s="27"/>
      <c r="EO54" s="27"/>
      <c r="EP54" s="27"/>
      <c r="EQ54" s="27"/>
      <c r="ER54" s="27"/>
      <c r="ES54" s="27"/>
      <c r="ET54" s="27"/>
      <c r="EU54" s="27"/>
      <c r="EV54" s="27"/>
      <c r="EW54" s="27"/>
      <c r="EX54" s="27"/>
      <c r="EY54" s="27"/>
      <c r="EZ54" s="27"/>
      <c r="FA54" s="27"/>
      <c r="FB54" s="27"/>
      <c r="FC54" s="27"/>
      <c r="FD54" s="27"/>
      <c r="FE54" s="27"/>
      <c r="FF54" s="27"/>
      <c r="FG54" s="27"/>
      <c r="FH54" s="27"/>
      <c r="FI54" s="27"/>
      <c r="FJ54" s="27"/>
      <c r="FK54" s="27"/>
      <c r="FL54" s="27"/>
      <c r="FM54" s="27"/>
      <c r="FN54" s="27"/>
      <c r="FO54" s="27"/>
      <c r="FP54" s="27"/>
      <c r="FQ54" s="27"/>
      <c r="FR54" s="27"/>
      <c r="FS54" s="27"/>
      <c r="FT54" s="27"/>
      <c r="FU54" s="27"/>
      <c r="FV54" s="27"/>
      <c r="FW54" s="27"/>
      <c r="FX54" s="27"/>
      <c r="FY54" s="27"/>
      <c r="FZ54" s="27"/>
      <c r="GA54" s="27"/>
      <c r="GB54" s="27"/>
      <c r="GC54" s="27"/>
      <c r="GD54" s="27"/>
      <c r="GE54" s="27"/>
      <c r="GF54" s="27"/>
      <c r="GG54" s="27"/>
      <c r="GH54" s="27"/>
      <c r="GI54" s="27"/>
      <c r="GJ54" s="27"/>
      <c r="GK54" s="27"/>
      <c r="GL54" s="27"/>
      <c r="GM54" s="27"/>
      <c r="GN54" s="27"/>
      <c r="GO54" s="27"/>
      <c r="GP54" s="27"/>
      <c r="GQ54" s="27"/>
      <c r="GR54" s="27"/>
      <c r="GS54" s="27"/>
      <c r="GT54" s="27"/>
      <c r="GU54" s="27"/>
      <c r="GV54" s="27"/>
      <c r="GW54" s="27"/>
      <c r="GX54" s="27"/>
      <c r="GY54" s="27"/>
      <c r="GZ54" s="27"/>
      <c r="HA54" s="27"/>
      <c r="HB54" s="27"/>
      <c r="HC54" s="27"/>
      <c r="HD54" s="27"/>
      <c r="HE54" s="27"/>
      <c r="HF54" s="27"/>
      <c r="HG54" s="27"/>
      <c r="HH54" s="27"/>
      <c r="HI54" s="27"/>
      <c r="HJ54" s="27"/>
      <c r="HK54" s="27"/>
      <c r="HL54" s="27"/>
      <c r="HM54" s="27"/>
      <c r="HN54" s="27"/>
      <c r="HO54" s="27"/>
      <c r="HP54" s="27"/>
      <c r="HQ54" s="27"/>
      <c r="HR54" s="27"/>
      <c r="HS54" s="27"/>
      <c r="HT54" s="27"/>
      <c r="HU54" s="27"/>
      <c r="HV54" s="27"/>
      <c r="HW54" s="27"/>
      <c r="HX54" s="27"/>
      <c r="HY54" s="27"/>
      <c r="HZ54" s="27"/>
      <c r="IA54" s="27"/>
      <c r="IB54" s="27"/>
      <c r="IC54" s="27"/>
      <c r="ID54" s="27"/>
      <c r="IE54" s="27"/>
      <c r="IF54" s="27"/>
      <c r="IG54" s="27"/>
      <c r="IH54" s="27"/>
      <c r="II54" s="27"/>
      <c r="IJ54" s="27"/>
      <c r="IK54" s="27"/>
      <c r="IL54" s="27"/>
      <c r="IM54" s="27"/>
      <c r="IN54" s="27"/>
      <c r="IO54" s="27"/>
      <c r="IP54" s="27"/>
      <c r="IQ54" s="27"/>
      <c r="IR54" s="27"/>
      <c r="IS54" s="27"/>
    </row>
    <row r="55" spans="1:253" x14ac:dyDescent="0.25">
      <c r="A55" s="41"/>
      <c r="B55" s="33" t="s">
        <v>223</v>
      </c>
      <c r="C55" s="33"/>
      <c r="D55" s="33"/>
      <c r="E55" s="1723"/>
      <c r="F55" s="1726">
        <f>F46-F52</f>
        <v>3283377.8417457473</v>
      </c>
      <c r="G55" s="1726">
        <f>G46-G52</f>
        <v>198295.29934428559</v>
      </c>
      <c r="H55" s="683">
        <f>SUM(F55:G55)</f>
        <v>3481673.1410900326</v>
      </c>
      <c r="I55" s="1726"/>
      <c r="J55" s="44"/>
      <c r="K55" s="27"/>
      <c r="L55" s="168"/>
      <c r="M55" s="27"/>
      <c r="N55" s="27"/>
      <c r="O55" s="27"/>
      <c r="P55" s="27"/>
      <c r="Q55" s="27"/>
      <c r="R55" s="27"/>
      <c r="S55" s="27"/>
      <c r="T55" s="27"/>
      <c r="U55" s="27"/>
      <c r="V55" s="27"/>
      <c r="W55" s="27"/>
      <c r="X55" s="27"/>
      <c r="Y55" s="27"/>
      <c r="Z55" s="27"/>
      <c r="AA55" s="27"/>
      <c r="AB55" s="27"/>
      <c r="AC55" s="27"/>
      <c r="AD55" s="27"/>
      <c r="AE55" s="27"/>
      <c r="AF55" s="27"/>
      <c r="AG55" s="27"/>
      <c r="AH55" s="27"/>
      <c r="AI55" s="27"/>
      <c r="AJ55" s="27"/>
      <c r="AK55" s="27"/>
      <c r="AL55" s="27"/>
      <c r="AM55" s="27"/>
      <c r="AN55" s="27"/>
      <c r="AO55" s="27"/>
      <c r="AP55" s="27"/>
      <c r="AQ55" s="27"/>
      <c r="AR55" s="27"/>
      <c r="AS55" s="27"/>
      <c r="AT55" s="27"/>
      <c r="AU55" s="27"/>
      <c r="AV55" s="27"/>
      <c r="AW55" s="27"/>
      <c r="AX55" s="27"/>
      <c r="AY55" s="27"/>
      <c r="AZ55" s="27"/>
      <c r="BA55" s="27"/>
      <c r="BB55" s="27"/>
      <c r="BC55" s="27"/>
      <c r="BD55" s="27"/>
      <c r="BE55" s="27"/>
      <c r="BF55" s="27"/>
      <c r="BG55" s="27"/>
      <c r="BH55" s="27"/>
      <c r="BI55" s="27"/>
      <c r="BJ55" s="27"/>
      <c r="BK55" s="27"/>
      <c r="BL55" s="27"/>
      <c r="BM55" s="27"/>
      <c r="BN55" s="27"/>
      <c r="BO55" s="27"/>
      <c r="BP55" s="27"/>
      <c r="BQ55" s="27"/>
      <c r="BR55" s="27"/>
      <c r="BS55" s="27"/>
      <c r="BT55" s="27"/>
      <c r="BU55" s="27"/>
      <c r="BV55" s="27"/>
      <c r="BW55" s="27"/>
      <c r="BX55" s="27"/>
      <c r="BY55" s="27"/>
      <c r="BZ55" s="27"/>
      <c r="CA55" s="27"/>
      <c r="CB55" s="27"/>
      <c r="CC55" s="27"/>
      <c r="CD55" s="27"/>
      <c r="CE55" s="27"/>
      <c r="CF55" s="27"/>
      <c r="CG55" s="27"/>
      <c r="CH55" s="27"/>
      <c r="CI55" s="27"/>
      <c r="CJ55" s="27"/>
      <c r="CK55" s="27"/>
      <c r="CL55" s="27"/>
      <c r="CM55" s="27"/>
      <c r="CN55" s="27"/>
      <c r="CO55" s="27"/>
      <c r="CP55" s="27"/>
      <c r="CQ55" s="27"/>
      <c r="CR55" s="27"/>
      <c r="CS55" s="27"/>
      <c r="CT55" s="27"/>
      <c r="CU55" s="27"/>
      <c r="CV55" s="27"/>
      <c r="CW55" s="27"/>
      <c r="CX55" s="27"/>
      <c r="CY55" s="27"/>
      <c r="CZ55" s="27"/>
      <c r="DA55" s="27"/>
      <c r="DB55" s="27"/>
      <c r="DC55" s="27"/>
      <c r="DD55" s="27"/>
      <c r="DE55" s="27"/>
      <c r="DF55" s="27"/>
      <c r="DG55" s="27"/>
      <c r="DH55" s="27"/>
      <c r="DI55" s="27"/>
      <c r="DJ55" s="27"/>
      <c r="DK55" s="27"/>
      <c r="DL55" s="27"/>
      <c r="DM55" s="27"/>
      <c r="DN55" s="27"/>
      <c r="DO55" s="27"/>
      <c r="DP55" s="27"/>
      <c r="DQ55" s="27"/>
      <c r="DR55" s="27"/>
      <c r="DS55" s="27"/>
      <c r="DT55" s="27"/>
      <c r="DU55" s="27"/>
      <c r="DV55" s="27"/>
      <c r="DW55" s="27"/>
      <c r="DX55" s="27"/>
      <c r="DY55" s="27"/>
      <c r="DZ55" s="27"/>
      <c r="EA55" s="27"/>
      <c r="EB55" s="27"/>
      <c r="EC55" s="27"/>
      <c r="ED55" s="27"/>
      <c r="EE55" s="27"/>
      <c r="EF55" s="27"/>
      <c r="EG55" s="27"/>
      <c r="EH55" s="27"/>
      <c r="EI55" s="27"/>
      <c r="EJ55" s="27"/>
      <c r="EK55" s="27"/>
      <c r="EL55" s="27"/>
      <c r="EM55" s="27"/>
      <c r="EN55" s="27"/>
      <c r="EO55" s="27"/>
      <c r="EP55" s="27"/>
      <c r="EQ55" s="27"/>
      <c r="ER55" s="27"/>
      <c r="ES55" s="27"/>
      <c r="ET55" s="27"/>
      <c r="EU55" s="27"/>
      <c r="EV55" s="27"/>
      <c r="EW55" s="27"/>
      <c r="EX55" s="27"/>
      <c r="EY55" s="27"/>
      <c r="EZ55" s="27"/>
      <c r="FA55" s="27"/>
      <c r="FB55" s="27"/>
      <c r="FC55" s="27"/>
      <c r="FD55" s="27"/>
      <c r="FE55" s="27"/>
      <c r="FF55" s="27"/>
      <c r="FG55" s="27"/>
      <c r="FH55" s="27"/>
      <c r="FI55" s="27"/>
      <c r="FJ55" s="27"/>
      <c r="FK55" s="27"/>
      <c r="FL55" s="27"/>
      <c r="FM55" s="27"/>
      <c r="FN55" s="27"/>
      <c r="FO55" s="27"/>
      <c r="FP55" s="27"/>
      <c r="FQ55" s="27"/>
      <c r="FR55" s="27"/>
      <c r="FS55" s="27"/>
      <c r="FT55" s="27"/>
      <c r="FU55" s="27"/>
      <c r="FV55" s="27"/>
      <c r="FW55" s="27"/>
      <c r="FX55" s="27"/>
      <c r="FY55" s="27"/>
      <c r="FZ55" s="27"/>
      <c r="GA55" s="27"/>
      <c r="GB55" s="27"/>
      <c r="GC55" s="27"/>
      <c r="GD55" s="27"/>
      <c r="GE55" s="27"/>
      <c r="GF55" s="27"/>
      <c r="GG55" s="27"/>
      <c r="GH55" s="27"/>
      <c r="GI55" s="27"/>
      <c r="GJ55" s="27"/>
      <c r="GK55" s="27"/>
      <c r="GL55" s="27"/>
      <c r="GM55" s="27"/>
      <c r="GN55" s="27"/>
      <c r="GO55" s="27"/>
      <c r="GP55" s="27"/>
      <c r="GQ55" s="27"/>
      <c r="GR55" s="27"/>
      <c r="GS55" s="27"/>
      <c r="GT55" s="27"/>
      <c r="GU55" s="27"/>
      <c r="GV55" s="27"/>
      <c r="GW55" s="27"/>
      <c r="GX55" s="27"/>
      <c r="GY55" s="27"/>
      <c r="GZ55" s="27"/>
      <c r="HA55" s="27"/>
      <c r="HB55" s="27"/>
      <c r="HC55" s="27"/>
      <c r="HD55" s="27"/>
      <c r="HE55" s="27"/>
      <c r="HF55" s="27"/>
      <c r="HG55" s="27"/>
      <c r="HH55" s="27"/>
      <c r="HI55" s="27"/>
      <c r="HJ55" s="27"/>
      <c r="HK55" s="27"/>
      <c r="HL55" s="27"/>
      <c r="HM55" s="27"/>
      <c r="HN55" s="27"/>
      <c r="HO55" s="27"/>
      <c r="HP55" s="27"/>
      <c r="HQ55" s="27"/>
      <c r="HR55" s="27"/>
      <c r="HS55" s="27"/>
      <c r="HT55" s="27"/>
      <c r="HU55" s="27"/>
      <c r="HV55" s="27"/>
      <c r="HW55" s="27"/>
      <c r="HX55" s="27"/>
      <c r="HY55" s="27"/>
      <c r="HZ55" s="27"/>
      <c r="IA55" s="27"/>
      <c r="IB55" s="27"/>
      <c r="IC55" s="27"/>
      <c r="ID55" s="27"/>
      <c r="IE55" s="27"/>
      <c r="IF55" s="27"/>
      <c r="IG55" s="27"/>
      <c r="IH55" s="27"/>
      <c r="II55" s="27"/>
      <c r="IJ55" s="27"/>
      <c r="IK55" s="27"/>
      <c r="IL55" s="27"/>
      <c r="IM55" s="27"/>
      <c r="IN55" s="27"/>
      <c r="IO55" s="27"/>
      <c r="IP55" s="27"/>
      <c r="IQ55" s="27"/>
      <c r="IR55" s="27"/>
      <c r="IS55" s="27"/>
    </row>
    <row r="56" spans="1:253" x14ac:dyDescent="0.25">
      <c r="A56" s="41"/>
      <c r="B56" s="33" t="s">
        <v>178</v>
      </c>
      <c r="C56" s="33"/>
      <c r="D56" s="33"/>
      <c r="E56" s="1723"/>
      <c r="F56" s="45">
        <f>ROUND(F55*0.18,2)+0.01</f>
        <v>591008.02</v>
      </c>
      <c r="G56" s="45">
        <f>ROUND(G55*0.18,2)</f>
        <v>35693.15</v>
      </c>
      <c r="H56" s="46">
        <f>SUM(F56:G56)</f>
        <v>626701.17000000004</v>
      </c>
      <c r="I56" s="1726"/>
      <c r="J56" s="44"/>
      <c r="K56" s="167"/>
      <c r="M56" s="27"/>
      <c r="N56" s="27"/>
      <c r="O56" s="27"/>
      <c r="P56" s="27"/>
      <c r="Q56" s="27"/>
      <c r="R56" s="27"/>
      <c r="S56" s="27"/>
      <c r="T56" s="27"/>
      <c r="U56" s="27"/>
      <c r="V56" s="27"/>
      <c r="W56" s="27"/>
      <c r="X56" s="27"/>
      <c r="Y56" s="27"/>
      <c r="Z56" s="27"/>
      <c r="AA56" s="27"/>
      <c r="AB56" s="27"/>
      <c r="AC56" s="27"/>
      <c r="AD56" s="27"/>
      <c r="AE56" s="27"/>
      <c r="AF56" s="27"/>
      <c r="AG56" s="27"/>
      <c r="AH56" s="27"/>
      <c r="AI56" s="27"/>
      <c r="AJ56" s="27"/>
      <c r="AK56" s="27"/>
      <c r="AL56" s="27"/>
      <c r="AM56" s="27"/>
      <c r="AN56" s="27"/>
      <c r="AO56" s="27"/>
      <c r="AP56" s="27"/>
      <c r="AQ56" s="27"/>
      <c r="AR56" s="27"/>
      <c r="AS56" s="27"/>
      <c r="AT56" s="27"/>
      <c r="AU56" s="27"/>
      <c r="AV56" s="27"/>
      <c r="AW56" s="27"/>
      <c r="AX56" s="27"/>
      <c r="AY56" s="27"/>
      <c r="AZ56" s="27"/>
      <c r="BA56" s="27"/>
      <c r="BB56" s="27"/>
      <c r="BC56" s="27"/>
      <c r="BD56" s="27"/>
      <c r="BE56" s="27"/>
      <c r="BF56" s="27"/>
      <c r="BG56" s="27"/>
      <c r="BH56" s="27"/>
      <c r="BI56" s="27"/>
      <c r="BJ56" s="27"/>
      <c r="BK56" s="27"/>
      <c r="BL56" s="27"/>
      <c r="BM56" s="27"/>
      <c r="BN56" s="27"/>
      <c r="BO56" s="27"/>
      <c r="BP56" s="27"/>
      <c r="BQ56" s="27"/>
      <c r="BR56" s="27"/>
      <c r="BS56" s="27"/>
      <c r="BT56" s="27"/>
      <c r="BU56" s="27"/>
      <c r="BV56" s="27"/>
      <c r="BW56" s="27"/>
      <c r="BX56" s="27"/>
      <c r="BY56" s="27"/>
      <c r="BZ56" s="27"/>
      <c r="CA56" s="27"/>
      <c r="CB56" s="27"/>
      <c r="CC56" s="27"/>
      <c r="CD56" s="27"/>
      <c r="CE56" s="27"/>
      <c r="CF56" s="27"/>
      <c r="CG56" s="27"/>
      <c r="CH56" s="27"/>
      <c r="CI56" s="27"/>
      <c r="CJ56" s="27"/>
      <c r="CK56" s="27"/>
      <c r="CL56" s="27"/>
      <c r="CM56" s="27"/>
      <c r="CN56" s="27"/>
      <c r="CO56" s="27"/>
      <c r="CP56" s="27"/>
      <c r="CQ56" s="27"/>
      <c r="CR56" s="27"/>
      <c r="CS56" s="27"/>
      <c r="CT56" s="27"/>
      <c r="CU56" s="27"/>
      <c r="CV56" s="27"/>
      <c r="CW56" s="27"/>
      <c r="CX56" s="27"/>
      <c r="CY56" s="27"/>
      <c r="CZ56" s="27"/>
      <c r="DA56" s="27"/>
      <c r="DB56" s="27"/>
      <c r="DC56" s="27"/>
      <c r="DD56" s="27"/>
      <c r="DE56" s="27"/>
      <c r="DF56" s="27"/>
      <c r="DG56" s="27"/>
      <c r="DH56" s="27"/>
      <c r="DI56" s="27"/>
      <c r="DJ56" s="27"/>
      <c r="DK56" s="27"/>
      <c r="DL56" s="27"/>
      <c r="DM56" s="27"/>
      <c r="DN56" s="27"/>
      <c r="DO56" s="27"/>
      <c r="DP56" s="27"/>
      <c r="DQ56" s="27"/>
      <c r="DR56" s="27"/>
      <c r="DS56" s="27"/>
      <c r="DT56" s="27"/>
      <c r="DU56" s="27"/>
      <c r="DV56" s="27"/>
      <c r="DW56" s="27"/>
      <c r="DX56" s="27"/>
      <c r="DY56" s="27"/>
      <c r="DZ56" s="27"/>
      <c r="EA56" s="27"/>
      <c r="EB56" s="27"/>
      <c r="EC56" s="27"/>
      <c r="ED56" s="27"/>
      <c r="EE56" s="27"/>
      <c r="EF56" s="27"/>
      <c r="EG56" s="27"/>
      <c r="EH56" s="27"/>
      <c r="EI56" s="27"/>
      <c r="EJ56" s="27"/>
      <c r="EK56" s="27"/>
      <c r="EL56" s="27"/>
      <c r="EM56" s="27"/>
      <c r="EN56" s="27"/>
      <c r="EO56" s="27"/>
      <c r="EP56" s="27"/>
      <c r="EQ56" s="27"/>
      <c r="ER56" s="27"/>
      <c r="ES56" s="27"/>
      <c r="ET56" s="27"/>
      <c r="EU56" s="27"/>
      <c r="EV56" s="27"/>
      <c r="EW56" s="27"/>
      <c r="EX56" s="27"/>
      <c r="EY56" s="27"/>
      <c r="EZ56" s="27"/>
      <c r="FA56" s="27"/>
      <c r="FB56" s="27"/>
      <c r="FC56" s="27"/>
      <c r="FD56" s="27"/>
      <c r="FE56" s="27"/>
      <c r="FF56" s="27"/>
      <c r="FG56" s="27"/>
      <c r="FH56" s="27"/>
      <c r="FI56" s="27"/>
      <c r="FJ56" s="27"/>
      <c r="FK56" s="27"/>
      <c r="FL56" s="27"/>
      <c r="FM56" s="27"/>
      <c r="FN56" s="27"/>
      <c r="FO56" s="27"/>
      <c r="FP56" s="27"/>
      <c r="FQ56" s="27"/>
      <c r="FR56" s="27"/>
      <c r="FS56" s="27"/>
      <c r="FT56" s="27"/>
      <c r="FU56" s="27"/>
      <c r="FV56" s="27"/>
      <c r="FW56" s="27"/>
      <c r="FX56" s="27"/>
      <c r="FY56" s="27"/>
      <c r="FZ56" s="27"/>
      <c r="GA56" s="27"/>
      <c r="GB56" s="27"/>
      <c r="GC56" s="27"/>
      <c r="GD56" s="27"/>
      <c r="GE56" s="27"/>
      <c r="GF56" s="27"/>
      <c r="GG56" s="27"/>
      <c r="GH56" s="27"/>
      <c r="GI56" s="27"/>
      <c r="GJ56" s="27"/>
      <c r="GK56" s="27"/>
      <c r="GL56" s="27"/>
      <c r="GM56" s="27"/>
      <c r="GN56" s="27"/>
      <c r="GO56" s="27"/>
      <c r="GP56" s="27"/>
      <c r="GQ56" s="27"/>
      <c r="GR56" s="27"/>
      <c r="GS56" s="27"/>
      <c r="GT56" s="27"/>
      <c r="GU56" s="27"/>
      <c r="GV56" s="27"/>
      <c r="GW56" s="27"/>
      <c r="GX56" s="27"/>
      <c r="GY56" s="27"/>
      <c r="GZ56" s="27"/>
      <c r="HA56" s="27"/>
      <c r="HB56" s="27"/>
      <c r="HC56" s="27"/>
      <c r="HD56" s="27"/>
      <c r="HE56" s="27"/>
      <c r="HF56" s="27"/>
      <c r="HG56" s="27"/>
      <c r="HH56" s="27"/>
      <c r="HI56" s="27"/>
      <c r="HJ56" s="27"/>
      <c r="HK56" s="27"/>
      <c r="HL56" s="27"/>
      <c r="HM56" s="27"/>
      <c r="HN56" s="27"/>
      <c r="HO56" s="27"/>
      <c r="HP56" s="27"/>
      <c r="HQ56" s="27"/>
      <c r="HR56" s="27"/>
      <c r="HS56" s="27"/>
      <c r="HT56" s="27"/>
      <c r="HU56" s="27"/>
      <c r="HV56" s="27"/>
      <c r="HW56" s="27"/>
      <c r="HX56" s="27"/>
      <c r="HY56" s="27"/>
      <c r="HZ56" s="27"/>
      <c r="IA56" s="27"/>
      <c r="IB56" s="27"/>
      <c r="IC56" s="27"/>
      <c r="ID56" s="27"/>
      <c r="IE56" s="27"/>
      <c r="IF56" s="27"/>
      <c r="IG56" s="27"/>
      <c r="IH56" s="27"/>
      <c r="II56" s="27"/>
      <c r="IJ56" s="27"/>
      <c r="IK56" s="27"/>
      <c r="IL56" s="27"/>
      <c r="IM56" s="27"/>
      <c r="IN56" s="27"/>
      <c r="IO56" s="27"/>
      <c r="IP56" s="27"/>
      <c r="IQ56" s="27"/>
      <c r="IR56" s="27"/>
      <c r="IS56" s="27"/>
    </row>
    <row r="57" spans="1:253" x14ac:dyDescent="0.25">
      <c r="A57" s="41"/>
      <c r="B57" s="33" t="s">
        <v>90</v>
      </c>
      <c r="C57" s="33"/>
      <c r="D57" s="33"/>
      <c r="E57" s="50"/>
      <c r="F57" s="1585">
        <f>SUM(F55:F56)</f>
        <v>3874385.8617457473</v>
      </c>
      <c r="G57" s="1734">
        <f>SUM(G55:G56)</f>
        <v>233988.44934428559</v>
      </c>
      <c r="H57" s="1586">
        <f>SUM(F57:G57)</f>
        <v>4108374.311090033</v>
      </c>
      <c r="I57" s="51"/>
      <c r="J57" s="52"/>
      <c r="K57" s="140"/>
      <c r="L57" s="27"/>
      <c r="M57" s="27"/>
      <c r="N57" s="27"/>
      <c r="O57" s="27"/>
      <c r="P57" s="27"/>
      <c r="Q57" s="27"/>
      <c r="R57" s="27"/>
      <c r="S57" s="27"/>
      <c r="T57" s="27"/>
      <c r="U57" s="27"/>
      <c r="V57" s="27"/>
      <c r="W57" s="27"/>
      <c r="X57" s="27"/>
      <c r="Y57" s="27"/>
      <c r="Z57" s="27"/>
      <c r="AA57" s="27"/>
      <c r="AB57" s="27"/>
      <c r="AC57" s="27"/>
      <c r="AD57" s="27"/>
      <c r="AE57" s="27"/>
      <c r="AF57" s="27"/>
      <c r="AG57" s="27"/>
      <c r="AH57" s="27"/>
      <c r="AI57" s="27"/>
      <c r="AJ57" s="27"/>
      <c r="AK57" s="27"/>
      <c r="AL57" s="27"/>
      <c r="AM57" s="27"/>
      <c r="AN57" s="27"/>
      <c r="AO57" s="27"/>
      <c r="AP57" s="27"/>
      <c r="AQ57" s="27"/>
      <c r="AR57" s="27"/>
      <c r="AS57" s="27"/>
      <c r="AT57" s="27"/>
      <c r="AU57" s="27"/>
      <c r="AV57" s="27"/>
      <c r="AW57" s="27"/>
      <c r="AX57" s="27"/>
      <c r="AY57" s="27"/>
      <c r="AZ57" s="27"/>
      <c r="BA57" s="27"/>
      <c r="BB57" s="27"/>
      <c r="BC57" s="27"/>
      <c r="BD57" s="27"/>
      <c r="BE57" s="27"/>
      <c r="BF57" s="27"/>
      <c r="BG57" s="27"/>
      <c r="BH57" s="27"/>
      <c r="BI57" s="27"/>
      <c r="BJ57" s="27"/>
      <c r="BK57" s="27"/>
      <c r="BL57" s="27"/>
      <c r="BM57" s="27"/>
      <c r="BN57" s="27"/>
      <c r="BO57" s="27"/>
      <c r="BP57" s="27"/>
      <c r="BQ57" s="27"/>
      <c r="BR57" s="27"/>
      <c r="BS57" s="27"/>
      <c r="BT57" s="27"/>
      <c r="BU57" s="27"/>
      <c r="BV57" s="27"/>
      <c r="BW57" s="27"/>
      <c r="BX57" s="27"/>
      <c r="BY57" s="27"/>
      <c r="BZ57" s="27"/>
      <c r="CA57" s="27"/>
      <c r="CB57" s="27"/>
      <c r="CC57" s="27"/>
      <c r="CD57" s="27"/>
      <c r="CE57" s="27"/>
      <c r="CF57" s="27"/>
      <c r="CG57" s="27"/>
      <c r="CH57" s="27"/>
      <c r="CI57" s="27"/>
      <c r="CJ57" s="27"/>
      <c r="CK57" s="27"/>
      <c r="CL57" s="27"/>
      <c r="CM57" s="27"/>
      <c r="CN57" s="27"/>
      <c r="CO57" s="27"/>
      <c r="CP57" s="27"/>
      <c r="CQ57" s="27"/>
      <c r="CR57" s="27"/>
      <c r="CS57" s="27"/>
      <c r="CT57" s="27"/>
      <c r="CU57" s="27"/>
      <c r="CV57" s="27"/>
      <c r="CW57" s="27"/>
      <c r="CX57" s="27"/>
      <c r="CY57" s="27"/>
      <c r="CZ57" s="27"/>
      <c r="DA57" s="27"/>
      <c r="DB57" s="27"/>
      <c r="DC57" s="27"/>
      <c r="DD57" s="27"/>
      <c r="DE57" s="27"/>
      <c r="DF57" s="27"/>
      <c r="DG57" s="27"/>
      <c r="DH57" s="27"/>
      <c r="DI57" s="27"/>
      <c r="DJ57" s="27"/>
      <c r="DK57" s="27"/>
      <c r="DL57" s="27"/>
      <c r="DM57" s="27"/>
      <c r="DN57" s="27"/>
      <c r="DO57" s="27"/>
      <c r="DP57" s="27"/>
      <c r="DQ57" s="27"/>
      <c r="DR57" s="27"/>
      <c r="DS57" s="27"/>
      <c r="DT57" s="27"/>
      <c r="DU57" s="27"/>
      <c r="DV57" s="27"/>
      <c r="DW57" s="27"/>
      <c r="DX57" s="27"/>
      <c r="DY57" s="27"/>
      <c r="DZ57" s="27"/>
      <c r="EA57" s="27"/>
      <c r="EB57" s="27"/>
      <c r="EC57" s="27"/>
      <c r="ED57" s="27"/>
      <c r="EE57" s="27"/>
      <c r="EF57" s="27"/>
      <c r="EG57" s="27"/>
      <c r="EH57" s="27"/>
      <c r="EI57" s="27"/>
      <c r="EJ57" s="27"/>
      <c r="EK57" s="27"/>
      <c r="EL57" s="27"/>
      <c r="EM57" s="27"/>
      <c r="EN57" s="27"/>
      <c r="EO57" s="27"/>
      <c r="EP57" s="27"/>
      <c r="EQ57" s="27"/>
      <c r="ER57" s="27"/>
      <c r="ES57" s="27"/>
      <c r="ET57" s="27"/>
      <c r="EU57" s="27"/>
      <c r="EV57" s="27"/>
      <c r="EW57" s="27"/>
      <c r="EX57" s="27"/>
      <c r="EY57" s="27"/>
      <c r="EZ57" s="27"/>
      <c r="FA57" s="27"/>
      <c r="FB57" s="27"/>
      <c r="FC57" s="27"/>
      <c r="FD57" s="27"/>
      <c r="FE57" s="27"/>
      <c r="FF57" s="27"/>
      <c r="FG57" s="27"/>
      <c r="FH57" s="27"/>
      <c r="FI57" s="27"/>
      <c r="FJ57" s="27"/>
      <c r="FK57" s="27"/>
      <c r="FL57" s="27"/>
      <c r="FM57" s="27"/>
      <c r="FN57" s="27"/>
      <c r="FO57" s="27"/>
      <c r="FP57" s="27"/>
      <c r="FQ57" s="27"/>
      <c r="FR57" s="27"/>
      <c r="FS57" s="27"/>
      <c r="FT57" s="27"/>
      <c r="FU57" s="27"/>
      <c r="FV57" s="27"/>
      <c r="FW57" s="27"/>
      <c r="FX57" s="27"/>
      <c r="FY57" s="27"/>
      <c r="FZ57" s="27"/>
      <c r="GA57" s="27"/>
      <c r="GB57" s="27"/>
      <c r="GC57" s="27"/>
      <c r="GD57" s="27"/>
      <c r="GE57" s="27"/>
      <c r="GF57" s="27"/>
      <c r="GG57" s="27"/>
      <c r="GH57" s="27"/>
      <c r="GI57" s="27"/>
      <c r="GJ57" s="27"/>
      <c r="GK57" s="27"/>
      <c r="GL57" s="27"/>
      <c r="GM57" s="27"/>
      <c r="GN57" s="27"/>
      <c r="GO57" s="27"/>
      <c r="GP57" s="27"/>
      <c r="GQ57" s="27"/>
      <c r="GR57" s="27"/>
      <c r="GS57" s="27"/>
      <c r="GT57" s="27"/>
      <c r="GU57" s="27"/>
      <c r="GV57" s="27"/>
      <c r="GW57" s="27"/>
      <c r="GX57" s="27"/>
      <c r="GY57" s="27"/>
      <c r="GZ57" s="27"/>
      <c r="HA57" s="27"/>
      <c r="HB57" s="27"/>
      <c r="HC57" s="27"/>
      <c r="HD57" s="27"/>
      <c r="HE57" s="27"/>
      <c r="HF57" s="27"/>
      <c r="HG57" s="27"/>
      <c r="HH57" s="27"/>
      <c r="HI57" s="27"/>
      <c r="HJ57" s="27"/>
      <c r="HK57" s="27"/>
      <c r="HL57" s="27"/>
      <c r="HM57" s="27"/>
      <c r="HN57" s="27"/>
      <c r="HO57" s="27"/>
      <c r="HP57" s="27"/>
      <c r="HQ57" s="27"/>
      <c r="HR57" s="27"/>
      <c r="HS57" s="27"/>
      <c r="HT57" s="27"/>
      <c r="HU57" s="27"/>
      <c r="HV57" s="27"/>
      <c r="HW57" s="27"/>
      <c r="HX57" s="27"/>
      <c r="HY57" s="27"/>
      <c r="HZ57" s="27"/>
      <c r="IA57" s="27"/>
      <c r="IB57" s="27"/>
      <c r="IC57" s="27"/>
      <c r="ID57" s="27"/>
      <c r="IE57" s="27"/>
      <c r="IF57" s="27"/>
      <c r="IG57" s="27"/>
      <c r="IH57" s="27"/>
      <c r="II57" s="27"/>
      <c r="IJ57" s="27"/>
      <c r="IK57" s="27"/>
      <c r="IL57" s="27"/>
      <c r="IM57" s="27"/>
      <c r="IN57" s="27"/>
      <c r="IO57" s="27"/>
      <c r="IP57" s="27"/>
      <c r="IQ57" s="27"/>
      <c r="IR57" s="27"/>
      <c r="IS57" s="27"/>
    </row>
    <row r="58" spans="1:253" ht="13.8" thickBot="1" x14ac:dyDescent="0.3">
      <c r="A58" s="41"/>
      <c r="B58" s="33"/>
      <c r="C58" s="33"/>
      <c r="D58" s="33"/>
      <c r="E58" s="1723"/>
      <c r="F58" s="53"/>
      <c r="G58" s="1726"/>
      <c r="H58" s="683"/>
      <c r="I58" s="1735"/>
      <c r="J58" s="54"/>
      <c r="K58" s="168"/>
      <c r="L58" s="27"/>
      <c r="M58" s="27"/>
      <c r="N58" s="27"/>
      <c r="O58" s="27"/>
      <c r="P58" s="27"/>
      <c r="Q58" s="27"/>
      <c r="R58" s="27"/>
      <c r="S58" s="27"/>
      <c r="T58" s="27"/>
      <c r="U58" s="27"/>
      <c r="V58" s="27"/>
      <c r="W58" s="27"/>
      <c r="X58" s="27"/>
      <c r="Y58" s="27"/>
      <c r="Z58" s="27"/>
      <c r="AA58" s="27"/>
      <c r="AB58" s="27"/>
      <c r="AC58" s="27"/>
      <c r="AD58" s="27"/>
      <c r="AE58" s="27"/>
      <c r="AF58" s="27"/>
      <c r="AG58" s="27"/>
      <c r="AH58" s="27"/>
      <c r="AI58" s="27"/>
      <c r="AJ58" s="27"/>
      <c r="AK58" s="27"/>
      <c r="AL58" s="27"/>
      <c r="AM58" s="27"/>
      <c r="AN58" s="27"/>
      <c r="AO58" s="27"/>
      <c r="AP58" s="27"/>
      <c r="AQ58" s="27"/>
      <c r="AR58" s="27"/>
      <c r="AS58" s="27"/>
      <c r="AT58" s="27"/>
      <c r="AU58" s="27"/>
      <c r="AV58" s="27"/>
      <c r="AW58" s="27"/>
      <c r="AX58" s="27"/>
      <c r="AY58" s="27"/>
      <c r="AZ58" s="27"/>
      <c r="BA58" s="27"/>
      <c r="BB58" s="27"/>
      <c r="BC58" s="27"/>
      <c r="BD58" s="27"/>
      <c r="BE58" s="27"/>
      <c r="BF58" s="27"/>
      <c r="BG58" s="27"/>
      <c r="BH58" s="27"/>
      <c r="BI58" s="27"/>
      <c r="BJ58" s="27"/>
      <c r="BK58" s="27"/>
      <c r="BL58" s="27"/>
      <c r="BM58" s="27"/>
      <c r="BN58" s="27"/>
      <c r="BO58" s="27"/>
      <c r="BP58" s="27"/>
      <c r="BQ58" s="27"/>
      <c r="BR58" s="27"/>
      <c r="BS58" s="27"/>
      <c r="BT58" s="27"/>
      <c r="BU58" s="27"/>
      <c r="BV58" s="27"/>
      <c r="BW58" s="27"/>
      <c r="BX58" s="27"/>
      <c r="BY58" s="27"/>
      <c r="BZ58" s="27"/>
      <c r="CA58" s="27"/>
      <c r="CB58" s="27"/>
      <c r="CC58" s="27"/>
      <c r="CD58" s="27"/>
      <c r="CE58" s="27"/>
      <c r="CF58" s="27"/>
      <c r="CG58" s="27"/>
      <c r="CH58" s="27"/>
      <c r="CI58" s="27"/>
      <c r="CJ58" s="27"/>
      <c r="CK58" s="27"/>
      <c r="CL58" s="27"/>
      <c r="CM58" s="27"/>
      <c r="CN58" s="27"/>
      <c r="CO58" s="27"/>
      <c r="CP58" s="27"/>
      <c r="CQ58" s="27"/>
      <c r="CR58" s="27"/>
      <c r="CS58" s="27"/>
      <c r="CT58" s="27"/>
      <c r="CU58" s="27"/>
      <c r="CV58" s="27"/>
      <c r="CW58" s="27"/>
      <c r="CX58" s="27"/>
      <c r="CY58" s="27"/>
      <c r="CZ58" s="27"/>
      <c r="DA58" s="27"/>
      <c r="DB58" s="27"/>
      <c r="DC58" s="27"/>
      <c r="DD58" s="27"/>
      <c r="DE58" s="27"/>
      <c r="DF58" s="27"/>
      <c r="DG58" s="27"/>
      <c r="DH58" s="27"/>
      <c r="DI58" s="27"/>
      <c r="DJ58" s="27"/>
      <c r="DK58" s="27"/>
      <c r="DL58" s="27"/>
      <c r="DM58" s="27"/>
      <c r="DN58" s="27"/>
      <c r="DO58" s="27"/>
      <c r="DP58" s="27"/>
      <c r="DQ58" s="27"/>
      <c r="DR58" s="27"/>
      <c r="DS58" s="27"/>
      <c r="DT58" s="27"/>
      <c r="DU58" s="27"/>
      <c r="DV58" s="27"/>
      <c r="DW58" s="27"/>
      <c r="DX58" s="27"/>
      <c r="DY58" s="27"/>
      <c r="DZ58" s="27"/>
      <c r="EA58" s="27"/>
      <c r="EB58" s="27"/>
      <c r="EC58" s="27"/>
      <c r="ED58" s="27"/>
      <c r="EE58" s="27"/>
      <c r="EF58" s="27"/>
      <c r="EG58" s="27"/>
      <c r="EH58" s="27"/>
      <c r="EI58" s="27"/>
      <c r="EJ58" s="27"/>
      <c r="EK58" s="27"/>
      <c r="EL58" s="27"/>
      <c r="EM58" s="27"/>
      <c r="EN58" s="27"/>
      <c r="EO58" s="27"/>
      <c r="EP58" s="27"/>
      <c r="EQ58" s="27"/>
      <c r="ER58" s="27"/>
      <c r="ES58" s="27"/>
      <c r="ET58" s="27"/>
      <c r="EU58" s="27"/>
      <c r="EV58" s="27"/>
      <c r="EW58" s="27"/>
      <c r="EX58" s="27"/>
      <c r="EY58" s="27"/>
      <c r="EZ58" s="27"/>
      <c r="FA58" s="27"/>
      <c r="FB58" s="27"/>
      <c r="FC58" s="27"/>
      <c r="FD58" s="27"/>
      <c r="FE58" s="27"/>
      <c r="FF58" s="27"/>
      <c r="FG58" s="27"/>
      <c r="FH58" s="27"/>
      <c r="FI58" s="27"/>
      <c r="FJ58" s="27"/>
      <c r="FK58" s="27"/>
      <c r="FL58" s="27"/>
      <c r="FM58" s="27"/>
      <c r="FN58" s="27"/>
      <c r="FO58" s="27"/>
      <c r="FP58" s="27"/>
      <c r="FQ58" s="27"/>
      <c r="FR58" s="27"/>
      <c r="FS58" s="27"/>
      <c r="FT58" s="27"/>
      <c r="FU58" s="27"/>
      <c r="FV58" s="27"/>
      <c r="FW58" s="27"/>
      <c r="FX58" s="27"/>
      <c r="FY58" s="27"/>
      <c r="FZ58" s="27"/>
      <c r="GA58" s="27"/>
      <c r="GB58" s="27"/>
      <c r="GC58" s="27"/>
      <c r="GD58" s="27"/>
      <c r="GE58" s="27"/>
      <c r="GF58" s="27"/>
      <c r="GG58" s="27"/>
      <c r="GH58" s="27"/>
      <c r="GI58" s="27"/>
      <c r="GJ58" s="27"/>
      <c r="GK58" s="27"/>
      <c r="GL58" s="27"/>
      <c r="GM58" s="27"/>
      <c r="GN58" s="27"/>
      <c r="GO58" s="27"/>
      <c r="GP58" s="27"/>
      <c r="GQ58" s="27"/>
      <c r="GR58" s="27"/>
      <c r="GS58" s="27"/>
      <c r="GT58" s="27"/>
      <c r="GU58" s="27"/>
      <c r="GV58" s="27"/>
      <c r="GW58" s="27"/>
      <c r="GX58" s="27"/>
      <c r="GY58" s="27"/>
      <c r="GZ58" s="27"/>
      <c r="HA58" s="27"/>
      <c r="HB58" s="27"/>
      <c r="HC58" s="27"/>
      <c r="HD58" s="27"/>
      <c r="HE58" s="27"/>
      <c r="HF58" s="27"/>
      <c r="HG58" s="27"/>
      <c r="HH58" s="27"/>
      <c r="HI58" s="27"/>
      <c r="HJ58" s="27"/>
      <c r="HK58" s="27"/>
      <c r="HL58" s="27"/>
      <c r="HM58" s="27"/>
      <c r="HN58" s="27"/>
      <c r="HO58" s="27"/>
      <c r="HP58" s="27"/>
      <c r="HQ58" s="27"/>
      <c r="HR58" s="27"/>
      <c r="HS58" s="27"/>
      <c r="HT58" s="27"/>
      <c r="HU58" s="27"/>
      <c r="HV58" s="27"/>
      <c r="HW58" s="27"/>
      <c r="HX58" s="27"/>
      <c r="HY58" s="27"/>
      <c r="HZ58" s="27"/>
      <c r="IA58" s="27"/>
      <c r="IB58" s="27"/>
      <c r="IC58" s="27"/>
      <c r="ID58" s="27"/>
      <c r="IE58" s="27"/>
      <c r="IF58" s="27"/>
      <c r="IG58" s="27"/>
      <c r="IH58" s="27"/>
      <c r="II58" s="27"/>
      <c r="IJ58" s="27"/>
      <c r="IK58" s="27"/>
      <c r="IL58" s="27"/>
      <c r="IM58" s="27"/>
      <c r="IN58" s="27"/>
      <c r="IO58" s="27"/>
      <c r="IP58" s="27"/>
      <c r="IQ58" s="27"/>
      <c r="IR58" s="27"/>
      <c r="IS58" s="27"/>
    </row>
    <row r="59" spans="1:253" s="63" customFormat="1" ht="24" customHeight="1" thickBot="1" x14ac:dyDescent="0.3">
      <c r="A59" s="55"/>
      <c r="B59" s="56" t="s">
        <v>1491</v>
      </c>
      <c r="C59" s="57"/>
      <c r="D59" s="57"/>
      <c r="E59" s="58"/>
      <c r="F59" s="60">
        <f>F57+F49</f>
        <v>3874385.8617457473</v>
      </c>
      <c r="G59" s="59">
        <f>G57+G49</f>
        <v>233988.44934428559</v>
      </c>
      <c r="H59" s="60">
        <f>H57+H49</f>
        <v>4108374.311090033</v>
      </c>
      <c r="I59" s="61"/>
      <c r="J59" s="62"/>
    </row>
    <row r="60" spans="1:253" x14ac:dyDescent="0.25">
      <c r="E60" s="64"/>
      <c r="F60" s="64"/>
      <c r="G60" s="64"/>
      <c r="H60" s="64"/>
      <c r="I60" s="64"/>
      <c r="J60" s="64"/>
    </row>
    <row r="61" spans="1:253" x14ac:dyDescent="0.25">
      <c r="E61" s="64"/>
      <c r="F61" s="64"/>
      <c r="G61" s="64"/>
      <c r="H61" s="64"/>
      <c r="I61" s="64"/>
      <c r="J61" s="64"/>
      <c r="M61" s="345"/>
    </row>
    <row r="62" spans="1:253" ht="15.6" x14ac:dyDescent="0.25">
      <c r="E62" s="64"/>
      <c r="F62" s="64"/>
      <c r="G62" s="375"/>
      <c r="H62" s="154"/>
      <c r="I62" s="64"/>
      <c r="J62" s="64"/>
    </row>
    <row r="63" spans="1:253" ht="15.6" x14ac:dyDescent="0.25">
      <c r="E63" s="64"/>
      <c r="F63" s="64"/>
      <c r="G63" s="375"/>
      <c r="H63" s="64"/>
      <c r="I63" s="64"/>
      <c r="J63" s="64"/>
    </row>
    <row r="64" spans="1:253" x14ac:dyDescent="0.25">
      <c r="E64" s="64"/>
      <c r="F64" s="64"/>
      <c r="G64" s="64"/>
      <c r="H64" s="64"/>
      <c r="I64" s="64"/>
      <c r="J64" s="64"/>
    </row>
    <row r="65" spans="5:11" x14ac:dyDescent="0.25">
      <c r="E65" s="64"/>
      <c r="F65" s="64"/>
      <c r="G65" s="64">
        <v>464789.47325093334</v>
      </c>
      <c r="H65" s="64"/>
      <c r="I65" s="64"/>
      <c r="J65" s="64"/>
      <c r="K65" s="683"/>
    </row>
    <row r="66" spans="5:11" x14ac:dyDescent="0.25">
      <c r="E66" s="64"/>
      <c r="F66" s="64"/>
      <c r="G66" s="64">
        <v>517801.3884069334</v>
      </c>
      <c r="H66" s="64"/>
      <c r="I66" s="64"/>
      <c r="J66" s="64"/>
    </row>
    <row r="67" spans="5:11" x14ac:dyDescent="0.25">
      <c r="E67" s="64"/>
      <c r="F67" s="64"/>
      <c r="G67" s="64">
        <f>+G66-G65</f>
        <v>53011.915156000061</v>
      </c>
      <c r="H67" s="64">
        <v>2</v>
      </c>
      <c r="I67" s="64"/>
      <c r="J67" s="64"/>
      <c r="K67" s="681"/>
    </row>
    <row r="68" spans="5:11" x14ac:dyDescent="0.25">
      <c r="E68" s="64"/>
      <c r="F68" s="64"/>
      <c r="G68" s="64"/>
      <c r="H68" s="64">
        <f>+G67*H67</f>
        <v>106023.83031200012</v>
      </c>
      <c r="I68" s="64"/>
      <c r="J68" s="64"/>
    </row>
    <row r="69" spans="5:11" x14ac:dyDescent="0.25">
      <c r="E69" s="64"/>
      <c r="F69" s="64"/>
      <c r="G69" s="64"/>
      <c r="H69" s="64"/>
      <c r="I69" s="64"/>
      <c r="J69" s="64"/>
    </row>
    <row r="70" spans="5:11" x14ac:dyDescent="0.25">
      <c r="E70" s="64"/>
      <c r="F70" s="64"/>
      <c r="G70" s="64"/>
      <c r="H70" s="64"/>
      <c r="I70" s="64"/>
      <c r="J70" s="64"/>
    </row>
    <row r="71" spans="5:11" x14ac:dyDescent="0.25">
      <c r="E71" s="64"/>
      <c r="F71" s="64"/>
      <c r="G71" s="64"/>
      <c r="H71" s="64"/>
      <c r="I71" s="64"/>
      <c r="J71" s="64"/>
    </row>
    <row r="72" spans="5:11" x14ac:dyDescent="0.25">
      <c r="E72" s="64"/>
      <c r="F72" s="64"/>
      <c r="G72" s="64"/>
      <c r="H72" s="64"/>
      <c r="I72" s="64"/>
      <c r="J72" s="64"/>
    </row>
    <row r="73" spans="5:11" x14ac:dyDescent="0.25">
      <c r="E73" s="64"/>
      <c r="F73" s="64"/>
      <c r="G73" s="64"/>
      <c r="H73" s="64"/>
      <c r="I73" s="64"/>
      <c r="J73" s="64"/>
    </row>
    <row r="74" spans="5:11" x14ac:dyDescent="0.25">
      <c r="E74" s="64"/>
      <c r="F74" s="64"/>
      <c r="G74" s="64"/>
      <c r="H74" s="64"/>
      <c r="I74" s="64"/>
      <c r="J74" s="64"/>
    </row>
    <row r="75" spans="5:11" x14ac:dyDescent="0.25">
      <c r="E75" s="64"/>
      <c r="F75" s="64"/>
      <c r="G75" s="64"/>
      <c r="H75" s="64"/>
      <c r="I75" s="64"/>
      <c r="J75" s="64"/>
    </row>
    <row r="76" spans="5:11" x14ac:dyDescent="0.25">
      <c r="E76" s="64"/>
      <c r="F76" s="64"/>
      <c r="G76" s="64"/>
      <c r="H76" s="64"/>
      <c r="I76" s="64"/>
      <c r="J76" s="64"/>
    </row>
    <row r="77" spans="5:11" x14ac:dyDescent="0.25">
      <c r="E77" s="64"/>
      <c r="F77" s="64"/>
      <c r="G77" s="64"/>
      <c r="H77" s="64"/>
      <c r="I77" s="64"/>
      <c r="J77" s="64"/>
    </row>
    <row r="78" spans="5:11" x14ac:dyDescent="0.25">
      <c r="E78" s="64"/>
      <c r="F78" s="64"/>
      <c r="G78" s="64"/>
      <c r="H78" s="64"/>
      <c r="I78" s="64"/>
      <c r="J78" s="64"/>
    </row>
    <row r="79" spans="5:11" x14ac:dyDescent="0.25">
      <c r="E79" s="64"/>
      <c r="F79" s="64"/>
      <c r="G79" s="64"/>
      <c r="H79" s="64"/>
      <c r="I79" s="64"/>
      <c r="J79" s="64"/>
    </row>
    <row r="80" spans="5:11" x14ac:dyDescent="0.25">
      <c r="E80" s="64"/>
      <c r="F80" s="64"/>
      <c r="G80" s="64"/>
      <c r="H80" s="64"/>
      <c r="I80" s="64"/>
      <c r="J80" s="64"/>
    </row>
    <row r="81" spans="5:10" x14ac:dyDescent="0.25">
      <c r="E81" s="64"/>
      <c r="F81" s="64"/>
      <c r="G81" s="64"/>
      <c r="H81" s="64"/>
      <c r="I81" s="64"/>
      <c r="J81" s="64"/>
    </row>
    <row r="82" spans="5:10" x14ac:dyDescent="0.25">
      <c r="E82" s="64"/>
      <c r="F82" s="64"/>
      <c r="G82" s="64"/>
      <c r="H82" s="64"/>
      <c r="I82" s="64"/>
      <c r="J82" s="64"/>
    </row>
    <row r="83" spans="5:10" x14ac:dyDescent="0.25">
      <c r="E83" s="64"/>
      <c r="F83" s="64"/>
      <c r="G83" s="64"/>
      <c r="H83" s="64"/>
      <c r="I83" s="64"/>
      <c r="J83" s="64"/>
    </row>
  </sheetData>
  <mergeCells count="8">
    <mergeCell ref="A16:D16"/>
    <mergeCell ref="A1:E1"/>
    <mergeCell ref="A3:D3"/>
    <mergeCell ref="A4:J4"/>
    <mergeCell ref="D7:J8"/>
    <mergeCell ref="F14:H15"/>
    <mergeCell ref="A15:D15"/>
    <mergeCell ref="A2:E2"/>
  </mergeCells>
  <pageMargins left="0.62992125984251968" right="0.19685039370078741" top="0.78740157480314965" bottom="0.39370078740157483" header="0.51181102362204722" footer="0.51181102362204722"/>
  <pageSetup paperSize="9" scale="67" firstPageNumber="0" orientation="portrait" r:id="rId1"/>
  <headerFooter alignWithMargins="0"/>
</worksheet>
</file>

<file path=docProps/app.xml><?xml version="1.0" encoding="utf-8"?>
<Properties xmlns="http://schemas.openxmlformats.org/officeDocument/2006/extended-properties" xmlns:vt="http://schemas.openxmlformats.org/officeDocument/2006/docPropsVTypes">
  <Template/>
  <TotalTime>2</TotalTime>
  <Application>Microsoft Excel</Application>
  <DocSecurity>0</DocSecurity>
  <ScaleCrop>false</ScaleCrop>
  <HeadingPairs>
    <vt:vector size="4" baseType="variant">
      <vt:variant>
        <vt:lpstr>Hojas de cálculo</vt:lpstr>
      </vt:variant>
      <vt:variant>
        <vt:i4>29</vt:i4>
      </vt:variant>
      <vt:variant>
        <vt:lpstr>Rangos con nombre</vt:lpstr>
      </vt:variant>
      <vt:variant>
        <vt:i4>32</vt:i4>
      </vt:variant>
    </vt:vector>
  </HeadingPairs>
  <TitlesOfParts>
    <vt:vector size="61" baseType="lpstr">
      <vt:lpstr>CARAT_</vt:lpstr>
      <vt:lpstr>cronogramaSUP</vt:lpstr>
      <vt:lpstr>MODIF</vt:lpstr>
      <vt:lpstr>FIANZAS</vt:lpstr>
      <vt:lpstr>RIESGOS</vt:lpstr>
      <vt:lpstr>INTERFERENCIAS</vt:lpstr>
      <vt:lpstr>consultas</vt:lpstr>
      <vt:lpstr>FICHA</vt:lpstr>
      <vt:lpstr>Hoja1</vt:lpstr>
      <vt:lpstr>CALEND_</vt:lpstr>
      <vt:lpstr>CURVA S</vt:lpstr>
      <vt:lpstr>MT_VAL</vt:lpstr>
      <vt:lpstr>VAL_RES.</vt:lpstr>
      <vt:lpstr>PUENTE CCANCHI</vt:lpstr>
      <vt:lpstr>6. INST. MEC Y COM.</vt:lpstr>
      <vt:lpstr>7. EQUIP E IMPLE. </vt:lpstr>
      <vt:lpstr>8. CAPACITACIÓN</vt:lpstr>
      <vt:lpstr>9. CONTINGENCIA</vt:lpstr>
      <vt:lpstr>COE_REAJ_OB. PUENTE</vt:lpstr>
      <vt:lpstr>COE_REAJ_MECA-COMU.</vt:lpstr>
      <vt:lpstr>REINT_REAJ_</vt:lpstr>
      <vt:lpstr>REINT_REAJ_ (2)</vt:lpstr>
      <vt:lpstr>D_MAT</vt:lpstr>
      <vt:lpstr>D_DIRECTO</vt:lpstr>
      <vt:lpstr>AM_DIRECTO</vt:lpstr>
      <vt:lpstr>Hoja2</vt:lpstr>
      <vt:lpstr>AM_MAT_</vt:lpstr>
      <vt:lpstr>RESUM_VAL_</vt:lpstr>
      <vt:lpstr>R-ITEM I</vt:lpstr>
      <vt:lpstr>INTERFERENCIAS!_Hlk19203565</vt:lpstr>
      <vt:lpstr>'6. INST. MEC Y COM.'!Área_de_impresión</vt:lpstr>
      <vt:lpstr>'7. EQUIP E IMPLE. '!Área_de_impresión</vt:lpstr>
      <vt:lpstr>'8. CAPACITACIÓN'!Área_de_impresión</vt:lpstr>
      <vt:lpstr>'9. CONTINGENCIA'!Área_de_impresión</vt:lpstr>
      <vt:lpstr>AM_DIRECTO!Área_de_impresión</vt:lpstr>
      <vt:lpstr>AM_MAT_!Área_de_impresión</vt:lpstr>
      <vt:lpstr>CALEND_!Área_de_impresión</vt:lpstr>
      <vt:lpstr>CARAT_!Área_de_impresión</vt:lpstr>
      <vt:lpstr>'COE_REAJ_MECA-COMU.'!Área_de_impresión</vt:lpstr>
      <vt:lpstr>'COE_REAJ_OB. PUENTE'!Área_de_impresión</vt:lpstr>
      <vt:lpstr>'CURVA S'!Área_de_impresión</vt:lpstr>
      <vt:lpstr>D_DIRECTO!Área_de_impresión</vt:lpstr>
      <vt:lpstr>D_MAT!Área_de_impresión</vt:lpstr>
      <vt:lpstr>Hoja1!Área_de_impresión</vt:lpstr>
      <vt:lpstr>MT_VAL!Área_de_impresión</vt:lpstr>
      <vt:lpstr>'PUENTE CCANCHI'!Área_de_impresión</vt:lpstr>
      <vt:lpstr>REINT_REAJ_!Área_de_impresión</vt:lpstr>
      <vt:lpstr>'REINT_REAJ_ (2)'!Área_de_impresión</vt:lpstr>
      <vt:lpstr>RESUM_VAL_!Área_de_impresión</vt:lpstr>
      <vt:lpstr>'R-ITEM I'!Área_de_impresión</vt:lpstr>
      <vt:lpstr>VAL_RES.!Área_de_impresión</vt:lpstr>
      <vt:lpstr>'6. INST. MEC Y COM.'!Títulos_a_imprimir</vt:lpstr>
      <vt:lpstr>'7. EQUIP E IMPLE. '!Títulos_a_imprimir</vt:lpstr>
      <vt:lpstr>'8. CAPACITACIÓN'!Títulos_a_imprimir</vt:lpstr>
      <vt:lpstr>'9. CONTINGENCIA'!Títulos_a_imprimir</vt:lpstr>
      <vt:lpstr>CALEND_!Títulos_a_imprimir</vt:lpstr>
      <vt:lpstr>'CURVA S'!Títulos_a_imprimir</vt:lpstr>
      <vt:lpstr>D_DIRECTO!Títulos_a_imprimir</vt:lpstr>
      <vt:lpstr>D_MAT!Títulos_a_imprimir</vt:lpstr>
      <vt:lpstr>'PUENTE CCANCHI'!Títulos_a_imprimir</vt:lpstr>
      <vt:lpstr>CALEND_!valor1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desconocido</dc:creator>
  <cp:lastModifiedBy>Usuario de Windows</cp:lastModifiedBy>
  <cp:revision>2</cp:revision>
  <cp:lastPrinted>2023-01-04T22:45:32Z</cp:lastPrinted>
  <dcterms:created xsi:type="dcterms:W3CDTF">1997-06-17T10:59:28Z</dcterms:created>
  <dcterms:modified xsi:type="dcterms:W3CDTF">2023-03-13T23:16:22Z</dcterms:modified>
</cp:coreProperties>
</file>