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dpe\DOC_DIFUSION\ANUARIOS\ANUARIO 2023\09. Capitulo 9 Participacion Estatales y Privadas 2023\"/>
    </mc:Choice>
  </mc:AlternateContent>
  <xr:revisionPtr revIDLastSave="0" documentId="13_ncr:1_{A2DDE772-E49E-4760-9F65-FDD300659304}" xr6:coauthVersionLast="47" xr6:coauthVersionMax="47" xr10:uidLastSave="{00000000-0000-0000-0000-000000000000}"/>
  <bookViews>
    <workbookView xWindow="-120" yWindow="-120" windowWidth="38640" windowHeight="15840" tabRatio="704" xr2:uid="{00000000-000D-0000-FFFF-FFFF00000000}"/>
  </bookViews>
  <sheets>
    <sheet name="9.1" sheetId="4367" r:id="rId1"/>
    <sheet name="9.2" sheetId="4364" r:id="rId2"/>
    <sheet name="9.3" sheetId="4368" r:id="rId3"/>
    <sheet name="9.4" sheetId="4369" r:id="rId4"/>
  </sheets>
  <externalReferences>
    <externalReference r:id="rId5"/>
  </externalReferences>
  <definedNames>
    <definedName name="_xlnm._FilterDatabase" localSheetId="3" hidden="1">'9.4'!$T$3:$Z$31</definedName>
    <definedName name="AMAZONAS">#REF!</definedName>
    <definedName name="ANCASH">#REF!</definedName>
    <definedName name="APURIMAC">#REF!</definedName>
    <definedName name="_xlnm.Print_Area" localSheetId="0">'9.1'!$A$1:$J$68</definedName>
    <definedName name="_xlnm.Print_Area" localSheetId="1">'9.2'!$A$1:$Z$111</definedName>
    <definedName name="_xlnm.Print_Area" localSheetId="2">'9.3'!$A$1:$N$99</definedName>
    <definedName name="_xlnm.Print_Area" localSheetId="3">'9.4'!$A$1:$Q$41,'9.4'!$A$43:$Q$74</definedName>
    <definedName name="AREQUIPA">#REF!</definedName>
    <definedName name="AYACUCHO">[1]X_DEPA!#REF!</definedName>
    <definedName name="CAJAMARCA">#REF!</definedName>
    <definedName name="CUSCO">#REF!</definedName>
    <definedName name="ESTADO">#REF!</definedName>
    <definedName name="HUANCAVELICA">#REF!</definedName>
    <definedName name="HUANUCO">#REF!</definedName>
    <definedName name="ICA">#REF!</definedName>
    <definedName name="JUNIN">#REF!</definedName>
    <definedName name="LA_LIBERTAD">#REF!</definedName>
    <definedName name="LAMBAYEQUE">#REF!</definedName>
    <definedName name="LIMA">#REF!</definedName>
    <definedName name="LIMA_I">[1]X_DEPA!#REF!</definedName>
    <definedName name="LIMA_II">[1]X_DEPA!#REF!</definedName>
    <definedName name="LORETO">#REF!</definedName>
    <definedName name="MADRE_DIOS">#REF!</definedName>
    <definedName name="MOQUEGUA">#REF!</definedName>
    <definedName name="PARTICIP" localSheetId="2">'9.3'!$B$1:$M$54</definedName>
    <definedName name="PARTICIP">#REF!</definedName>
    <definedName name="PASCO">#REF!</definedName>
    <definedName name="PIURA">#REF!</definedName>
    <definedName name="PIURA_I">[1]X_DEPA!#REF!</definedName>
    <definedName name="PRINCIPALES" localSheetId="2">'9.3'!#REF!</definedName>
    <definedName name="PRINCIPALES">#REF!</definedName>
    <definedName name="PUNO">#REF!</definedName>
    <definedName name="SAN_MARTIN">#REF!</definedName>
    <definedName name="TACNA">#REF!</definedName>
    <definedName name="_xlnm.Print_Titles" localSheetId="1">'9.2'!$4:$5</definedName>
    <definedName name="TOTAL">#REF!</definedName>
    <definedName name="TUMBES">#REF!</definedName>
    <definedName name="UCAYALI">#REF!</definedName>
  </definedNames>
  <calcPr calcId="181029"/>
</workbook>
</file>

<file path=xl/calcChain.xml><?xml version="1.0" encoding="utf-8"?>
<calcChain xmlns="http://schemas.openxmlformats.org/spreadsheetml/2006/main">
  <c r="U88" i="4368" l="1"/>
  <c r="V65" i="4368" s="1"/>
  <c r="R66" i="4368"/>
  <c r="R67" i="4368"/>
  <c r="R68" i="4368"/>
  <c r="R69" i="4368"/>
  <c r="R70" i="4368"/>
  <c r="R71" i="4368"/>
  <c r="R72" i="4368"/>
  <c r="R73" i="4368"/>
  <c r="R74" i="4368"/>
  <c r="R75" i="4368"/>
  <c r="R65" i="4368"/>
  <c r="E32" i="4368"/>
  <c r="P8" i="4368"/>
  <c r="Y8" i="4368"/>
  <c r="Z8" i="4368" s="1"/>
  <c r="P9" i="4368"/>
  <c r="Y9" i="4368"/>
  <c r="Z9" i="4368"/>
  <c r="P10" i="4368"/>
  <c r="Y10" i="4368"/>
  <c r="Z10" i="4368" s="1"/>
  <c r="P11" i="4368"/>
  <c r="Y11" i="4368"/>
  <c r="Z11" i="4368"/>
  <c r="P12" i="4368"/>
  <c r="Y12" i="4368"/>
  <c r="Z12" i="4368"/>
  <c r="P13" i="4368"/>
  <c r="Y13" i="4368"/>
  <c r="Z13" i="4368" s="1"/>
  <c r="P14" i="4368"/>
  <c r="Y14" i="4368"/>
  <c r="Z14" i="4368" s="1"/>
  <c r="P15" i="4368"/>
  <c r="Y15" i="4368"/>
  <c r="Z15" i="4368"/>
  <c r="P16" i="4368"/>
  <c r="Y16" i="4368"/>
  <c r="Z16" i="4368" s="1"/>
  <c r="P17" i="4368"/>
  <c r="Y17" i="4368"/>
  <c r="Z17" i="4368" s="1"/>
  <c r="P18" i="4368"/>
  <c r="Y18" i="4368"/>
  <c r="Z18" i="4368" s="1"/>
  <c r="P19" i="4368"/>
  <c r="Y19" i="4368"/>
  <c r="Z19" i="4368" s="1"/>
  <c r="P20" i="4368"/>
  <c r="Y20" i="4368"/>
  <c r="Z20" i="4368" s="1"/>
  <c r="P21" i="4368"/>
  <c r="Y21" i="4368"/>
  <c r="Z21" i="4368" s="1"/>
  <c r="P22" i="4368"/>
  <c r="Y22" i="4368"/>
  <c r="Z22" i="4368"/>
  <c r="P23" i="4368"/>
  <c r="P24" i="4368"/>
  <c r="Y24" i="4368"/>
  <c r="Z24" i="4368" s="1"/>
  <c r="P25" i="4368"/>
  <c r="Y25" i="4368"/>
  <c r="Z25" i="4368" s="1"/>
  <c r="P26" i="4368"/>
  <c r="Y26" i="4368"/>
  <c r="Z26" i="4368" s="1"/>
  <c r="P27" i="4368"/>
  <c r="Y27" i="4368"/>
  <c r="Z27" i="4368" s="1"/>
  <c r="P28" i="4368"/>
  <c r="Y28" i="4368"/>
  <c r="Z28" i="4368" s="1"/>
  <c r="P30" i="4368"/>
  <c r="Y30" i="4368"/>
  <c r="Z30" i="4368"/>
  <c r="P31" i="4368"/>
  <c r="R37" i="4368"/>
  <c r="S37" i="4368" s="1"/>
  <c r="U37" i="4368"/>
  <c r="U36" i="4368" s="1"/>
  <c r="V37" i="4368"/>
  <c r="V36" i="4368" s="1"/>
  <c r="W37" i="4368"/>
  <c r="W36" i="4368" s="1"/>
  <c r="X37" i="4368"/>
  <c r="R38" i="4368"/>
  <c r="S36" i="4368" s="1"/>
  <c r="M29" i="4368"/>
  <c r="J29" i="4368"/>
  <c r="B28" i="4368"/>
  <c r="B29" i="4368" s="1"/>
  <c r="B30" i="4368" s="1"/>
  <c r="V66" i="4368" l="1"/>
  <c r="V67" i="4368"/>
  <c r="V68" i="4368"/>
  <c r="V69" i="4368"/>
  <c r="V70" i="4368"/>
  <c r="V74" i="4368"/>
  <c r="W74" i="4368" s="1"/>
  <c r="V73" i="4368"/>
  <c r="V72" i="4368"/>
  <c r="V71" i="4368"/>
  <c r="J23" i="4368" l="1"/>
  <c r="X83" i="4364" l="1"/>
  <c r="X90" i="4364" s="1"/>
  <c r="M36" i="4369" l="1"/>
  <c r="V76" i="4364" l="1"/>
  <c r="V77" i="4364"/>
  <c r="V78" i="4364"/>
  <c r="V79" i="4364"/>
  <c r="V80" i="4364"/>
  <c r="V81" i="4364"/>
  <c r="U69" i="4364"/>
  <c r="U68" i="4364"/>
  <c r="U54" i="4364"/>
  <c r="U53" i="4364"/>
  <c r="U47" i="4364"/>
  <c r="U46" i="4364"/>
  <c r="S80" i="4364"/>
  <c r="S73" i="4364"/>
  <c r="S67" i="4364"/>
  <c r="S65" i="4364"/>
  <c r="S64" i="4364"/>
  <c r="S47" i="4364"/>
  <c r="Q81" i="4364"/>
  <c r="Q78" i="4364"/>
  <c r="Q76" i="4364"/>
  <c r="Q75" i="4364"/>
  <c r="Q61" i="4364"/>
  <c r="Q59" i="4364"/>
  <c r="O79" i="4364"/>
  <c r="O77" i="4364"/>
  <c r="O70" i="4364"/>
  <c r="O63" i="4364"/>
  <c r="O61" i="4364"/>
  <c r="O60" i="4364"/>
  <c r="O56" i="4364"/>
  <c r="O50" i="4364"/>
  <c r="O49" i="4364"/>
  <c r="S44" i="4364"/>
  <c r="U42" i="4364"/>
  <c r="S42" i="4364"/>
  <c r="O42" i="4364"/>
  <c r="S28" i="4364"/>
  <c r="L83" i="4364"/>
  <c r="L76" i="4364"/>
  <c r="L77" i="4364"/>
  <c r="L78" i="4364"/>
  <c r="L79" i="4364"/>
  <c r="L80" i="4364"/>
  <c r="L81" i="4364"/>
  <c r="L16" i="4364"/>
  <c r="I80" i="4364"/>
  <c r="I73" i="4364"/>
  <c r="K69" i="4364"/>
  <c r="K68" i="4364"/>
  <c r="I67" i="4364"/>
  <c r="I65" i="4364"/>
  <c r="I64" i="4364"/>
  <c r="K54" i="4364"/>
  <c r="K53" i="4364"/>
  <c r="I47" i="4364"/>
  <c r="K47" i="4364"/>
  <c r="K46" i="4364"/>
  <c r="K45" i="4364"/>
  <c r="E79" i="4364"/>
  <c r="E77" i="4364"/>
  <c r="E70" i="4364"/>
  <c r="E63" i="4364"/>
  <c r="E61" i="4364"/>
  <c r="E60" i="4364"/>
  <c r="E56" i="4364"/>
  <c r="E50" i="4364"/>
  <c r="E49" i="4364"/>
  <c r="E42" i="4364"/>
  <c r="M19" i="4369"/>
  <c r="M18" i="4369"/>
  <c r="O20" i="4369"/>
  <c r="K20" i="4369"/>
  <c r="I20" i="4369"/>
  <c r="G19" i="4369"/>
  <c r="G18" i="4369"/>
  <c r="E20" i="4369"/>
  <c r="C20" i="4369"/>
  <c r="J30" i="4368" l="1"/>
  <c r="J28" i="4368"/>
  <c r="J27" i="4368" l="1"/>
  <c r="J26" i="4368"/>
  <c r="J25" i="4368"/>
  <c r="J24" i="4368"/>
  <c r="J22" i="4368"/>
  <c r="J21" i="4368"/>
  <c r="J20" i="4368"/>
  <c r="J19" i="4368"/>
  <c r="J18" i="4368"/>
  <c r="J17" i="4368"/>
  <c r="J16" i="4368"/>
  <c r="J15" i="4368"/>
  <c r="J14" i="4368"/>
  <c r="J13" i="4368"/>
  <c r="J12" i="4368"/>
  <c r="J11" i="4368"/>
  <c r="J10" i="4368"/>
  <c r="J9" i="4368"/>
  <c r="J8" i="4368"/>
  <c r="J32" i="4368" l="1"/>
  <c r="D83" i="4364"/>
  <c r="AF100" i="4364" s="1"/>
  <c r="K23" i="4368" l="1"/>
  <c r="K29" i="4368"/>
  <c r="K8" i="4368"/>
  <c r="K30" i="4368"/>
  <c r="K28" i="4368"/>
  <c r="V75" i="4364"/>
  <c r="L75" i="4364"/>
  <c r="G16" i="4369" l="1"/>
  <c r="M16" i="4369"/>
  <c r="V69" i="4364" l="1"/>
  <c r="V70" i="4364"/>
  <c r="V71" i="4364"/>
  <c r="V72" i="4364"/>
  <c r="V73" i="4364"/>
  <c r="V74" i="4364"/>
  <c r="L69" i="4364"/>
  <c r="L70" i="4364"/>
  <c r="L71" i="4364"/>
  <c r="L72" i="4364"/>
  <c r="L73" i="4364"/>
  <c r="L74" i="4364"/>
  <c r="L10" i="4364"/>
  <c r="M30" i="4369" l="1"/>
  <c r="M31" i="4369"/>
  <c r="M32" i="4369"/>
  <c r="M33" i="4369"/>
  <c r="M34" i="4369"/>
  <c r="M35" i="4369"/>
  <c r="G30" i="4369"/>
  <c r="G31" i="4369"/>
  <c r="G32" i="4369"/>
  <c r="G33" i="4369"/>
  <c r="G34" i="4369"/>
  <c r="G35" i="4369"/>
  <c r="G36" i="4369"/>
  <c r="M17" i="4369"/>
  <c r="G17" i="4369"/>
  <c r="L32" i="4368" l="1"/>
  <c r="M23" i="4368" s="1"/>
  <c r="H32" i="4368"/>
  <c r="F32" i="4368"/>
  <c r="D32" i="4368"/>
  <c r="E18" i="4368" s="1"/>
  <c r="T11" i="4364"/>
  <c r="R11" i="4364"/>
  <c r="P11" i="4364"/>
  <c r="AG104" i="4364" s="1"/>
  <c r="N11" i="4364"/>
  <c r="J11" i="4364"/>
  <c r="H11" i="4364"/>
  <c r="F11" i="4364"/>
  <c r="D11" i="4364"/>
  <c r="AF99" i="4364" s="1"/>
  <c r="V66" i="4364"/>
  <c r="V67" i="4364"/>
  <c r="V68" i="4364"/>
  <c r="T83" i="4364"/>
  <c r="R83" i="4364"/>
  <c r="P83" i="4364"/>
  <c r="N83" i="4364"/>
  <c r="AF105" i="4364" s="1"/>
  <c r="J83" i="4364"/>
  <c r="H83" i="4364"/>
  <c r="F83" i="4364"/>
  <c r="L18" i="4364"/>
  <c r="L19" i="4364"/>
  <c r="L20" i="4364"/>
  <c r="L21" i="4364"/>
  <c r="L22" i="4364"/>
  <c r="L23" i="4364"/>
  <c r="L24" i="4364"/>
  <c r="L25" i="4364"/>
  <c r="L26" i="4364"/>
  <c r="L27" i="4364"/>
  <c r="L28" i="4364"/>
  <c r="L29" i="4364"/>
  <c r="L30" i="4364"/>
  <c r="L31" i="4364"/>
  <c r="L32" i="4364"/>
  <c r="L33" i="4364"/>
  <c r="L34" i="4364"/>
  <c r="L35" i="4364"/>
  <c r="L36" i="4364"/>
  <c r="L37" i="4364"/>
  <c r="L38" i="4364"/>
  <c r="L39" i="4364"/>
  <c r="L40" i="4364"/>
  <c r="L41" i="4364"/>
  <c r="L42" i="4364"/>
  <c r="L43" i="4364"/>
  <c r="L44" i="4364"/>
  <c r="L45" i="4364"/>
  <c r="L46" i="4364"/>
  <c r="L47" i="4364"/>
  <c r="L48" i="4364"/>
  <c r="L49" i="4364"/>
  <c r="L50" i="4364"/>
  <c r="L51" i="4364"/>
  <c r="L52" i="4364"/>
  <c r="L53" i="4364"/>
  <c r="L54" i="4364"/>
  <c r="L55" i="4364"/>
  <c r="L56" i="4364"/>
  <c r="L57" i="4364"/>
  <c r="L58" i="4364"/>
  <c r="L59" i="4364"/>
  <c r="L60" i="4364"/>
  <c r="L61" i="4364"/>
  <c r="L62" i="4364"/>
  <c r="L63" i="4364"/>
  <c r="L64" i="4364"/>
  <c r="L65" i="4364"/>
  <c r="L66" i="4364"/>
  <c r="L67" i="4364"/>
  <c r="L68" i="4364"/>
  <c r="L82" i="4364"/>
  <c r="L9" i="4364"/>
  <c r="L8" i="4364"/>
  <c r="L7" i="4364"/>
  <c r="L6" i="4364"/>
  <c r="G23" i="4368" l="1"/>
  <c r="G29" i="4368"/>
  <c r="I26" i="4368"/>
  <c r="I18" i="4368"/>
  <c r="I16" i="4368"/>
  <c r="I30" i="4368"/>
  <c r="G28" i="4368"/>
  <c r="G30" i="4368"/>
  <c r="G24" i="4368"/>
  <c r="M28" i="4368"/>
  <c r="M30" i="4368"/>
  <c r="M24" i="4368"/>
  <c r="I15" i="4368"/>
  <c r="I11" i="4368"/>
  <c r="I27" i="4368"/>
  <c r="G13" i="4368"/>
  <c r="I24" i="4368"/>
  <c r="I21" i="4368"/>
  <c r="E8" i="4368"/>
  <c r="M9" i="4368"/>
  <c r="M26" i="4368"/>
  <c r="M27" i="4368"/>
  <c r="G17" i="4368"/>
  <c r="G27" i="4368"/>
  <c r="E57" i="4364"/>
  <c r="E41" i="4364"/>
  <c r="E66" i="4364"/>
  <c r="E62" i="4364"/>
  <c r="E19" i="4364"/>
  <c r="E47" i="4364"/>
  <c r="E58" i="4364"/>
  <c r="I12" i="4368"/>
  <c r="G16" i="4368"/>
  <c r="G25" i="4368"/>
  <c r="G21" i="4368"/>
  <c r="G10" i="4368"/>
  <c r="G18" i="4368"/>
  <c r="G9" i="4368"/>
  <c r="G11" i="4368"/>
  <c r="G20" i="4368"/>
  <c r="G22" i="4368"/>
  <c r="G15" i="4368"/>
  <c r="M20" i="4368"/>
  <c r="M14" i="4368"/>
  <c r="M21" i="4368"/>
  <c r="M15" i="4368"/>
  <c r="M22" i="4368"/>
  <c r="M16" i="4368"/>
  <c r="M10" i="4368"/>
  <c r="M17" i="4368"/>
  <c r="M25" i="4368"/>
  <c r="M11" i="4368"/>
  <c r="M12" i="4368"/>
  <c r="M18" i="4368"/>
  <c r="M13" i="4368"/>
  <c r="M19" i="4368"/>
  <c r="M8" i="4368"/>
  <c r="T90" i="4364"/>
  <c r="U45" i="4364" s="1"/>
  <c r="P90" i="4364"/>
  <c r="L11" i="4364"/>
  <c r="R90" i="4364"/>
  <c r="N90" i="4364"/>
  <c r="D90" i="4364"/>
  <c r="AF104" i="4364"/>
  <c r="E34" i="4364"/>
  <c r="E26" i="4364"/>
  <c r="E33" i="4364"/>
  <c r="E25" i="4364"/>
  <c r="E55" i="4364"/>
  <c r="E32" i="4364"/>
  <c r="E23" i="4364"/>
  <c r="E38" i="4364"/>
  <c r="E30" i="4364"/>
  <c r="E20" i="4364"/>
  <c r="E21" i="4364"/>
  <c r="E36" i="4364"/>
  <c r="E35" i="4364"/>
  <c r="E40" i="4364"/>
  <c r="E24" i="4364"/>
  <c r="E39" i="4364"/>
  <c r="E31" i="4364"/>
  <c r="E37" i="4364"/>
  <c r="E29" i="4364"/>
  <c r="Q43" i="4364" l="1"/>
  <c r="Q47" i="4364"/>
  <c r="Q51" i="4364"/>
  <c r="Q48" i="4364"/>
  <c r="Q6" i="4364"/>
  <c r="Q27" i="4364"/>
  <c r="O57" i="4364"/>
  <c r="O41" i="4364"/>
  <c r="O66" i="4364"/>
  <c r="O62" i="4364"/>
  <c r="U44" i="4364"/>
  <c r="Q42" i="4364"/>
  <c r="Q72" i="4364"/>
  <c r="E6" i="4364"/>
  <c r="Q8" i="4364"/>
  <c r="Q74" i="4364"/>
  <c r="Q71" i="4364"/>
  <c r="U6" i="4364"/>
  <c r="O6" i="4364"/>
  <c r="O58" i="4364"/>
  <c r="O47" i="4364"/>
  <c r="S6" i="4364"/>
  <c r="E7" i="4364"/>
  <c r="E8" i="4364"/>
  <c r="E9" i="4364"/>
  <c r="E10" i="4364"/>
  <c r="K9" i="4368" l="1"/>
  <c r="B9" i="4368"/>
  <c r="B10" i="4368" s="1"/>
  <c r="B11" i="4368" s="1"/>
  <c r="B12" i="4368" s="1"/>
  <c r="B13" i="4368" s="1"/>
  <c r="B14" i="4368" s="1"/>
  <c r="B15" i="4368" s="1"/>
  <c r="B16" i="4368" s="1"/>
  <c r="B17" i="4368" s="1"/>
  <c r="B18" i="4368" s="1"/>
  <c r="B19" i="4368" s="1"/>
  <c r="B20" i="4368" s="1"/>
  <c r="B21" i="4368" s="1"/>
  <c r="B22" i="4368" s="1"/>
  <c r="B23" i="4368" l="1"/>
  <c r="B24" i="4368" s="1"/>
  <c r="B25" i="4368" s="1"/>
  <c r="B26" i="4368" s="1"/>
  <c r="B27" i="4368" s="1"/>
  <c r="K26" i="4368"/>
  <c r="K27" i="4368"/>
  <c r="K22" i="4368"/>
  <c r="K24" i="4368"/>
  <c r="K21" i="4368"/>
  <c r="K10" i="4368"/>
  <c r="K18" i="4368"/>
  <c r="K12" i="4368"/>
  <c r="K15" i="4368"/>
  <c r="K11" i="4368"/>
  <c r="K16" i="4368"/>
  <c r="K14" i="4368"/>
  <c r="K25" i="4368"/>
  <c r="K19" i="4368"/>
  <c r="K17" i="4368"/>
  <c r="K20" i="4368"/>
  <c r="K13" i="4368"/>
  <c r="E12" i="4367"/>
  <c r="AI100" i="4364"/>
  <c r="AH100" i="4364"/>
  <c r="AG100" i="4364"/>
  <c r="AH104" i="4364"/>
  <c r="AI105" i="4364" l="1"/>
  <c r="AH105" i="4364"/>
  <c r="AG105" i="4364"/>
  <c r="AA34" i="4367" l="1"/>
  <c r="AH107" i="4364"/>
  <c r="AL105" i="4364" s="1"/>
  <c r="AC100" i="4364"/>
  <c r="AL104" i="4364" l="1"/>
  <c r="V82" i="4364" l="1"/>
  <c r="V65" i="4364"/>
  <c r="V64" i="4364"/>
  <c r="G8" i="4368"/>
  <c r="V62" i="4364"/>
  <c r="G29" i="4369"/>
  <c r="M29" i="4369"/>
  <c r="V27" i="4364"/>
  <c r="V42" i="4364"/>
  <c r="V43" i="4364"/>
  <c r="V44" i="4364"/>
  <c r="V45" i="4364"/>
  <c r="V46" i="4364"/>
  <c r="V47" i="4364"/>
  <c r="V48" i="4364"/>
  <c r="V49" i="4364"/>
  <c r="V50" i="4364"/>
  <c r="V51" i="4364"/>
  <c r="V52" i="4364"/>
  <c r="V53" i="4364"/>
  <c r="V54" i="4364"/>
  <c r="V55" i="4364"/>
  <c r="V56" i="4364"/>
  <c r="V57" i="4364"/>
  <c r="V58" i="4364"/>
  <c r="V59" i="4364"/>
  <c r="V60" i="4364"/>
  <c r="V61" i="4364"/>
  <c r="V63" i="4364"/>
  <c r="V41" i="4364"/>
  <c r="V17" i="4364"/>
  <c r="V18" i="4364"/>
  <c r="V19" i="4364"/>
  <c r="V20" i="4364"/>
  <c r="V21" i="4364"/>
  <c r="V22" i="4364"/>
  <c r="V23" i="4364"/>
  <c r="V24" i="4364"/>
  <c r="V25" i="4364"/>
  <c r="V26" i="4364"/>
  <c r="V28" i="4364"/>
  <c r="V29" i="4364"/>
  <c r="V30" i="4364"/>
  <c r="V31" i="4364"/>
  <c r="V32" i="4364"/>
  <c r="V33" i="4364"/>
  <c r="V34" i="4364"/>
  <c r="V35" i="4364"/>
  <c r="V36" i="4364"/>
  <c r="V37" i="4364"/>
  <c r="V38" i="4364"/>
  <c r="V39" i="4364"/>
  <c r="V40" i="4364"/>
  <c r="V16" i="4364"/>
  <c r="V7" i="4364"/>
  <c r="V9" i="4364"/>
  <c r="V10" i="4364"/>
  <c r="V8" i="4364"/>
  <c r="V6" i="4364"/>
  <c r="AI104" i="4364"/>
  <c r="AC104" i="4364" s="1"/>
  <c r="K38" i="4369"/>
  <c r="Y62" i="4369" s="1"/>
  <c r="I38" i="4369"/>
  <c r="X62" i="4369" s="1"/>
  <c r="Y61" i="4369"/>
  <c r="M8" i="4369"/>
  <c r="M7" i="4369"/>
  <c r="M15" i="4369"/>
  <c r="X61" i="4369"/>
  <c r="E38" i="4369"/>
  <c r="Y56" i="4369" s="1"/>
  <c r="C38" i="4369"/>
  <c r="X56" i="4369" s="1"/>
  <c r="G10" i="4369"/>
  <c r="M28" i="4369"/>
  <c r="M14" i="4369"/>
  <c r="M9" i="4369"/>
  <c r="M13" i="4369"/>
  <c r="M6" i="4369"/>
  <c r="M10" i="4369"/>
  <c r="M11" i="4369"/>
  <c r="G28" i="4369"/>
  <c r="G15" i="4369"/>
  <c r="G9" i="4369"/>
  <c r="G7" i="4369"/>
  <c r="G8" i="4369"/>
  <c r="G6" i="4369"/>
  <c r="G13" i="4369"/>
  <c r="G11" i="4369"/>
  <c r="G12" i="4369"/>
  <c r="G14" i="4369"/>
  <c r="M12" i="4369"/>
  <c r="L17" i="4364"/>
  <c r="L90" i="4364" s="1"/>
  <c r="AF101" i="4364"/>
  <c r="AH99" i="4364"/>
  <c r="AI99" i="4364"/>
  <c r="AG99" i="4364"/>
  <c r="U7" i="4364"/>
  <c r="X11" i="4364"/>
  <c r="H90" i="4364"/>
  <c r="M76" i="4364" l="1"/>
  <c r="M80" i="4364"/>
  <c r="M77" i="4364"/>
  <c r="M78" i="4364"/>
  <c r="M79" i="4364"/>
  <c r="M81" i="4364"/>
  <c r="I42" i="4364"/>
  <c r="I28" i="4364"/>
  <c r="G20" i="4369"/>
  <c r="M20" i="4369"/>
  <c r="E90" i="4364"/>
  <c r="M75" i="4364"/>
  <c r="M10" i="4364"/>
  <c r="M74" i="4364"/>
  <c r="M71" i="4364"/>
  <c r="M70" i="4364"/>
  <c r="M73" i="4364"/>
  <c r="M69" i="4364"/>
  <c r="M72" i="4364"/>
  <c r="V83" i="4364"/>
  <c r="M6" i="4364"/>
  <c r="M16" i="4364"/>
  <c r="V11" i="4364"/>
  <c r="AM99" i="4364"/>
  <c r="AI101" i="4364"/>
  <c r="AM100" i="4364" s="1"/>
  <c r="I6" i="4364"/>
  <c r="I90" i="4364"/>
  <c r="AL99" i="4364"/>
  <c r="AH101" i="4364"/>
  <c r="AL100" i="4364" s="1"/>
  <c r="AG101" i="4364"/>
  <c r="AK100" i="4364" s="1"/>
  <c r="S10" i="4364"/>
  <c r="U10" i="4364"/>
  <c r="I8" i="4364"/>
  <c r="F90" i="4364"/>
  <c r="AI107" i="4364"/>
  <c r="AM105" i="4364" s="1"/>
  <c r="AJ99" i="4364"/>
  <c r="AC99" i="4364"/>
  <c r="AC101" i="4364" s="1"/>
  <c r="AG107" i="4364"/>
  <c r="AK104" i="4364" s="1"/>
  <c r="I7" i="4364"/>
  <c r="J90" i="4364"/>
  <c r="K42" i="4364" s="1"/>
  <c r="AF107" i="4364"/>
  <c r="AJ104" i="4364" s="1"/>
  <c r="AC105" i="4364"/>
  <c r="K46" i="4369"/>
  <c r="I9" i="4364"/>
  <c r="I10" i="4364"/>
  <c r="U8" i="4364"/>
  <c r="U9" i="4364"/>
  <c r="U55" i="4369"/>
  <c r="S9" i="4364"/>
  <c r="S8" i="4364"/>
  <c r="S7" i="4364"/>
  <c r="G38" i="4369"/>
  <c r="Y64" i="4369"/>
  <c r="AA62" i="4369" s="1"/>
  <c r="Y55" i="4369"/>
  <c r="E46" i="4369"/>
  <c r="X64" i="4369"/>
  <c r="Z62" i="4369" s="1"/>
  <c r="I46" i="4369"/>
  <c r="M38" i="4369"/>
  <c r="U62" i="4369" s="1"/>
  <c r="X55" i="4369"/>
  <c r="C46" i="4369"/>
  <c r="O38" i="4369"/>
  <c r="G32" i="4368"/>
  <c r="I32" i="4368"/>
  <c r="Y76" i="4364" l="1"/>
  <c r="Y77" i="4364"/>
  <c r="Y78" i="4364"/>
  <c r="Y79" i="4364"/>
  <c r="Y80" i="4364"/>
  <c r="Y81" i="4364"/>
  <c r="G81" i="4364"/>
  <c r="G48" i="4364"/>
  <c r="G61" i="4364"/>
  <c r="G47" i="4364"/>
  <c r="G59" i="4364"/>
  <c r="G43" i="4364"/>
  <c r="G52" i="4364"/>
  <c r="G27" i="4364"/>
  <c r="G78" i="4364"/>
  <c r="G51" i="4364"/>
  <c r="G76" i="4364"/>
  <c r="F35" i="4369"/>
  <c r="F34" i="4369"/>
  <c r="L35" i="4369"/>
  <c r="L34" i="4369"/>
  <c r="J16" i="4369"/>
  <c r="J18" i="4369"/>
  <c r="J19" i="4369"/>
  <c r="L36" i="4369"/>
  <c r="L16" i="4369"/>
  <c r="L18" i="4369"/>
  <c r="L19" i="4369"/>
  <c r="D16" i="4369"/>
  <c r="D18" i="4369"/>
  <c r="D19" i="4369"/>
  <c r="F36" i="4369"/>
  <c r="F19" i="4369"/>
  <c r="M46" i="4369"/>
  <c r="G42" i="4364"/>
  <c r="G72" i="4364"/>
  <c r="Y75" i="4364"/>
  <c r="F17" i="4369"/>
  <c r="F15" i="4369"/>
  <c r="Y70" i="4364"/>
  <c r="Y71" i="4364"/>
  <c r="Y73" i="4364"/>
  <c r="Y72" i="4364"/>
  <c r="Y74" i="4364"/>
  <c r="Y69" i="4364"/>
  <c r="G74" i="4364"/>
  <c r="G71" i="4364"/>
  <c r="AK99" i="4364"/>
  <c r="Y10" i="4364"/>
  <c r="Y23" i="4364"/>
  <c r="Y31" i="4364"/>
  <c r="Y39" i="4364"/>
  <c r="Y47" i="4364"/>
  <c r="Y55" i="4364"/>
  <c r="Y61" i="4364"/>
  <c r="Y35" i="4364"/>
  <c r="Y65" i="4364"/>
  <c r="Y37" i="4364"/>
  <c r="Y67" i="4364"/>
  <c r="Y38" i="4364"/>
  <c r="Y24" i="4364"/>
  <c r="Y32" i="4364"/>
  <c r="Y40" i="4364"/>
  <c r="Y48" i="4364"/>
  <c r="Y56" i="4364"/>
  <c r="Y62" i="4364"/>
  <c r="Y17" i="4364"/>
  <c r="Y43" i="4364"/>
  <c r="Y20" i="4364"/>
  <c r="Y36" i="4364"/>
  <c r="Y44" i="4364"/>
  <c r="Y52" i="4364"/>
  <c r="Y60" i="4364"/>
  <c r="Y66" i="4364"/>
  <c r="Y21" i="4364"/>
  <c r="Y45" i="4364"/>
  <c r="Y30" i="4364"/>
  <c r="Y54" i="4364"/>
  <c r="Y82" i="4364"/>
  <c r="Y25" i="4364"/>
  <c r="Y33" i="4364"/>
  <c r="Y41" i="4364"/>
  <c r="Y49" i="4364"/>
  <c r="Y57" i="4364"/>
  <c r="Y63" i="4364"/>
  <c r="Y27" i="4364"/>
  <c r="Y18" i="4364"/>
  <c r="Y26" i="4364"/>
  <c r="Y34" i="4364"/>
  <c r="Y42" i="4364"/>
  <c r="Y50" i="4364"/>
  <c r="Y58" i="4364"/>
  <c r="Y64" i="4364"/>
  <c r="Y51" i="4364"/>
  <c r="Y59" i="4364"/>
  <c r="Y28" i="4364"/>
  <c r="Y53" i="4364"/>
  <c r="Y22" i="4364"/>
  <c r="Y46" i="4364"/>
  <c r="Y68" i="4364"/>
  <c r="Y19" i="4364"/>
  <c r="Y29" i="4364"/>
  <c r="J17" i="4369"/>
  <c r="J34" i="4369"/>
  <c r="J36" i="4369"/>
  <c r="J31" i="4369"/>
  <c r="J33" i="4369"/>
  <c r="J30" i="4369"/>
  <c r="J32" i="4369"/>
  <c r="J35" i="4369"/>
  <c r="D17" i="4369"/>
  <c r="D36" i="4369"/>
  <c r="D31" i="4369"/>
  <c r="D32" i="4369"/>
  <c r="D33" i="4369"/>
  <c r="D34" i="4369"/>
  <c r="D35" i="4369"/>
  <c r="D30" i="4369"/>
  <c r="L28" i="4369"/>
  <c r="L15" i="4369"/>
  <c r="L17" i="4369"/>
  <c r="Y7" i="4364"/>
  <c r="Y9" i="4364"/>
  <c r="AJ101" i="4364"/>
  <c r="Y16" i="4364"/>
  <c r="Y6" i="4364"/>
  <c r="V90" i="4364"/>
  <c r="K6" i="4364"/>
  <c r="K90" i="4364"/>
  <c r="G8" i="4364"/>
  <c r="G9" i="4364"/>
  <c r="G6" i="4364"/>
  <c r="G7" i="4364"/>
  <c r="G90" i="4364"/>
  <c r="Q17" i="4364"/>
  <c r="Q82" i="4364"/>
  <c r="Q18" i="4364"/>
  <c r="Q16" i="4364"/>
  <c r="Q22" i="4364"/>
  <c r="G17" i="4364"/>
  <c r="O23" i="4364"/>
  <c r="O31" i="4364"/>
  <c r="O39" i="4364"/>
  <c r="O24" i="4364"/>
  <c r="O32" i="4364"/>
  <c r="O40" i="4364"/>
  <c r="O55" i="4364"/>
  <c r="O25" i="4364"/>
  <c r="O33" i="4364"/>
  <c r="O26" i="4364"/>
  <c r="O34" i="4364"/>
  <c r="O29" i="4364"/>
  <c r="O37" i="4364"/>
  <c r="O21" i="4364"/>
  <c r="O38" i="4364"/>
  <c r="O19" i="4364"/>
  <c r="O35" i="4364"/>
  <c r="O36" i="4364"/>
  <c r="O20" i="4364"/>
  <c r="O30" i="4364"/>
  <c r="O7" i="4364"/>
  <c r="G41" i="4364"/>
  <c r="G18" i="4364"/>
  <c r="G82" i="4364"/>
  <c r="G22" i="4364"/>
  <c r="G16" i="4364"/>
  <c r="K10" i="4364"/>
  <c r="Y8" i="4364"/>
  <c r="AM104" i="4364"/>
  <c r="K9" i="4364"/>
  <c r="Q7" i="4364"/>
  <c r="K8" i="4364"/>
  <c r="L30" i="4369"/>
  <c r="L11" i="4369"/>
  <c r="L12" i="4369"/>
  <c r="L10" i="4369"/>
  <c r="L46" i="4369"/>
  <c r="L6" i="4369"/>
  <c r="L13" i="4369"/>
  <c r="AJ105" i="4364"/>
  <c r="AD99" i="4364"/>
  <c r="AD100" i="4364"/>
  <c r="AJ100" i="4364"/>
  <c r="AJ107" i="4364"/>
  <c r="AK105" i="4364"/>
  <c r="K7" i="4364"/>
  <c r="AC107" i="4364"/>
  <c r="AD104" i="4364" s="1"/>
  <c r="L8" i="4369"/>
  <c r="L9" i="4369"/>
  <c r="L7" i="4369"/>
  <c r="L14" i="4369"/>
  <c r="AA61" i="4369"/>
  <c r="O46" i="4369"/>
  <c r="F12" i="4367"/>
  <c r="Z61" i="4369"/>
  <c r="K32" i="4368"/>
  <c r="U56" i="4369"/>
  <c r="G46" i="4369"/>
  <c r="O8" i="4364"/>
  <c r="O9" i="4364"/>
  <c r="O10" i="4364"/>
  <c r="U61" i="4369"/>
  <c r="D9" i="4369"/>
  <c r="D29" i="4369"/>
  <c r="D8" i="4369"/>
  <c r="D7" i="4369"/>
  <c r="D46" i="4369"/>
  <c r="D11" i="4369"/>
  <c r="D13" i="4369"/>
  <c r="D14" i="4369"/>
  <c r="D12" i="4369"/>
  <c r="D6" i="4369"/>
  <c r="D15" i="4369"/>
  <c r="D28" i="4369"/>
  <c r="D10" i="4369"/>
  <c r="G5" i="4367"/>
  <c r="M32" i="4368"/>
  <c r="X57" i="4369"/>
  <c r="Z56" i="4369" s="1"/>
  <c r="J13" i="4369"/>
  <c r="J14" i="4369"/>
  <c r="J7" i="4369"/>
  <c r="J10" i="4369"/>
  <c r="J12" i="4369"/>
  <c r="J8" i="4369"/>
  <c r="J15" i="4369"/>
  <c r="J11" i="4369"/>
  <c r="J29" i="4369"/>
  <c r="J9" i="4369"/>
  <c r="J6" i="4369"/>
  <c r="J46" i="4369"/>
  <c r="J28" i="4369"/>
  <c r="F30" i="4369"/>
  <c r="F8" i="4369"/>
  <c r="F28" i="4369"/>
  <c r="F11" i="4369"/>
  <c r="F9" i="4369"/>
  <c r="F46" i="4369"/>
  <c r="F10" i="4369"/>
  <c r="F13" i="4369"/>
  <c r="F12" i="4369"/>
  <c r="F6" i="4369"/>
  <c r="G9" i="4367"/>
  <c r="G7" i="4367"/>
  <c r="F8" i="4367" s="1"/>
  <c r="Y57" i="4369"/>
  <c r="AA56" i="4369" s="1"/>
  <c r="W76" i="4364" l="1"/>
  <c r="W80" i="4364"/>
  <c r="W79" i="4364"/>
  <c r="W78" i="4364"/>
  <c r="W77" i="4364"/>
  <c r="W81" i="4364"/>
  <c r="M90" i="4364"/>
  <c r="P16" i="4369"/>
  <c r="P19" i="4369"/>
  <c r="P18" i="4369"/>
  <c r="N16" i="4369"/>
  <c r="N19" i="4369"/>
  <c r="N18" i="4369"/>
  <c r="H16" i="4369"/>
  <c r="H19" i="4369"/>
  <c r="H18" i="4369"/>
  <c r="W46" i="4364"/>
  <c r="W75" i="4364"/>
  <c r="W65" i="4364"/>
  <c r="W34" i="4364"/>
  <c r="W74" i="4364"/>
  <c r="W70" i="4364"/>
  <c r="W73" i="4364"/>
  <c r="W71" i="4364"/>
  <c r="W72" i="4364"/>
  <c r="W69" i="4364"/>
  <c r="W41" i="4364"/>
  <c r="W82" i="4364"/>
  <c r="Y83" i="4364"/>
  <c r="P30" i="4369"/>
  <c r="P31" i="4369"/>
  <c r="P35" i="4369"/>
  <c r="P32" i="4369"/>
  <c r="P34" i="4369"/>
  <c r="P36" i="4369"/>
  <c r="P33" i="4369"/>
  <c r="N17" i="4369"/>
  <c r="AA55" i="4369"/>
  <c r="H17" i="4369"/>
  <c r="P13" i="4369"/>
  <c r="P14" i="4369"/>
  <c r="P8" i="4369"/>
  <c r="P11" i="4369"/>
  <c r="P12" i="4369"/>
  <c r="P15" i="4369"/>
  <c r="P17" i="4369"/>
  <c r="P7" i="4369"/>
  <c r="P9" i="4369"/>
  <c r="P10" i="4369"/>
  <c r="W17" i="4364"/>
  <c r="W32" i="4364"/>
  <c r="W31" i="4364"/>
  <c r="W25" i="4364"/>
  <c r="W8" i="4364"/>
  <c r="W7" i="4364"/>
  <c r="W37" i="4364"/>
  <c r="W10" i="4364"/>
  <c r="W29" i="4364"/>
  <c r="W24" i="4364"/>
  <c r="W40" i="4364"/>
  <c r="W60" i="4364"/>
  <c r="W64" i="4364"/>
  <c r="W38" i="4364"/>
  <c r="W43" i="4364"/>
  <c r="W48" i="4364"/>
  <c r="W19" i="4364"/>
  <c r="W50" i="4364"/>
  <c r="W23" i="4364"/>
  <c r="W58" i="4364"/>
  <c r="W53" i="4364"/>
  <c r="W45" i="4364"/>
  <c r="W26" i="4364"/>
  <c r="W51" i="4364"/>
  <c r="W52" i="4364"/>
  <c r="W20" i="4364"/>
  <c r="W44" i="4364"/>
  <c r="W36" i="4364"/>
  <c r="W63" i="4364"/>
  <c r="W28" i="4364"/>
  <c r="W56" i="4364"/>
  <c r="W30" i="4364"/>
  <c r="W39" i="4364"/>
  <c r="Y11" i="4364"/>
  <c r="S90" i="4364"/>
  <c r="W67" i="4364"/>
  <c r="W66" i="4364"/>
  <c r="U90" i="4364"/>
  <c r="W68" i="4364"/>
  <c r="Q90" i="4364"/>
  <c r="O90" i="4364"/>
  <c r="W16" i="4364"/>
  <c r="W6" i="4364"/>
  <c r="W47" i="4364"/>
  <c r="W18" i="4364"/>
  <c r="W9" i="4364"/>
  <c r="W35" i="4364"/>
  <c r="W54" i="4364"/>
  <c r="W61" i="4364"/>
  <c r="M25" i="4364"/>
  <c r="M66" i="4364"/>
  <c r="M67" i="4364"/>
  <c r="M68" i="4364"/>
  <c r="W49" i="4364"/>
  <c r="W27" i="4364"/>
  <c r="W21" i="4364"/>
  <c r="W62" i="4364"/>
  <c r="W57" i="4364"/>
  <c r="W59" i="4364"/>
  <c r="W42" i="4364"/>
  <c r="W22" i="4364"/>
  <c r="W33" i="4364"/>
  <c r="W55" i="4364"/>
  <c r="M36" i="4364"/>
  <c r="M34" i="4364"/>
  <c r="M42" i="4364"/>
  <c r="M9" i="4364"/>
  <c r="M41" i="4364"/>
  <c r="M19" i="4364"/>
  <c r="M46" i="4364"/>
  <c r="M26" i="4364"/>
  <c r="M7" i="4364"/>
  <c r="M37" i="4364"/>
  <c r="M17" i="4364"/>
  <c r="M48" i="4364"/>
  <c r="M20" i="4364"/>
  <c r="M23" i="4364"/>
  <c r="M38" i="4364"/>
  <c r="M35" i="4364"/>
  <c r="M55" i="4364"/>
  <c r="M39" i="4364"/>
  <c r="M28" i="4364"/>
  <c r="M53" i="4364"/>
  <c r="M50" i="4364"/>
  <c r="M47" i="4364"/>
  <c r="M32" i="4364"/>
  <c r="M63" i="4364"/>
  <c r="M8" i="4364"/>
  <c r="M40" i="4364"/>
  <c r="M60" i="4364"/>
  <c r="M61" i="4364"/>
  <c r="M45" i="4364"/>
  <c r="M27" i="4364"/>
  <c r="M33" i="4364"/>
  <c r="M59" i="4364"/>
  <c r="M58" i="4364"/>
  <c r="M24" i="4364"/>
  <c r="M18" i="4364"/>
  <c r="M54" i="4364"/>
  <c r="M22" i="4364"/>
  <c r="M30" i="4364"/>
  <c r="M44" i="4364"/>
  <c r="M51" i="4364"/>
  <c r="M56" i="4364"/>
  <c r="M57" i="4364"/>
  <c r="M62" i="4364"/>
  <c r="M49" i="4364"/>
  <c r="M64" i="4364"/>
  <c r="M65" i="4364"/>
  <c r="M43" i="4364"/>
  <c r="M29" i="4364"/>
  <c r="M21" i="4364"/>
  <c r="M31" i="4364"/>
  <c r="M52" i="4364"/>
  <c r="M82" i="4364"/>
  <c r="AD105" i="4364"/>
  <c r="M23" i="4367"/>
  <c r="N23" i="4367"/>
  <c r="F10" i="4367"/>
  <c r="M26" i="4367"/>
  <c r="N26" i="4367"/>
  <c r="M20" i="4367"/>
  <c r="E6" i="4367"/>
  <c r="F6" i="4367"/>
  <c r="N20" i="4367"/>
  <c r="E10" i="4367"/>
  <c r="P28" i="4369"/>
  <c r="P6" i="4369"/>
  <c r="P29" i="4369"/>
  <c r="Z55" i="4369"/>
  <c r="P46" i="4369"/>
  <c r="N6" i="4369"/>
  <c r="N46" i="4369"/>
  <c r="N12" i="4369"/>
  <c r="N7" i="4369"/>
  <c r="N13" i="4369"/>
  <c r="N33" i="4369"/>
  <c r="N35" i="4369"/>
  <c r="N34" i="4369"/>
  <c r="N30" i="4369"/>
  <c r="N14" i="4369"/>
  <c r="N32" i="4369"/>
  <c r="N10" i="4369"/>
  <c r="N11" i="4369"/>
  <c r="N15" i="4369"/>
  <c r="N9" i="4369"/>
  <c r="N29" i="4369"/>
  <c r="N31" i="4369"/>
  <c r="N8" i="4369"/>
  <c r="N28" i="4369"/>
  <c r="N36" i="4369"/>
  <c r="U57" i="4369"/>
  <c r="V55" i="4369" s="1"/>
  <c r="G12" i="4367"/>
  <c r="AA35" i="4367" s="1"/>
  <c r="U64" i="4369"/>
  <c r="V62" i="4369" s="1"/>
  <c r="H12" i="4369"/>
  <c r="H28" i="4369"/>
  <c r="H8" i="4369"/>
  <c r="H30" i="4369"/>
  <c r="H36" i="4369"/>
  <c r="H33" i="4369"/>
  <c r="H35" i="4369"/>
  <c r="H11" i="4369"/>
  <c r="H13" i="4369"/>
  <c r="H10" i="4369"/>
  <c r="H6" i="4369"/>
  <c r="H46" i="4369"/>
  <c r="H32" i="4369"/>
  <c r="H15" i="4369"/>
  <c r="H7" i="4369"/>
  <c r="H31" i="4369"/>
  <c r="H34" i="4369"/>
  <c r="H14" i="4369"/>
  <c r="H29" i="4369"/>
  <c r="H9" i="4369"/>
  <c r="AA38" i="4367" l="1"/>
  <c r="AB35" i="4367"/>
  <c r="W83" i="4364"/>
  <c r="M83" i="4364"/>
  <c r="H20" i="4369"/>
  <c r="P20" i="4369"/>
  <c r="N20" i="4369"/>
  <c r="W11" i="4364"/>
  <c r="W90" i="4364"/>
  <c r="M11" i="4364"/>
  <c r="O20" i="4367"/>
  <c r="P38" i="4369"/>
  <c r="O23" i="4367"/>
  <c r="G8" i="4367"/>
  <c r="E13" i="4367"/>
  <c r="O26" i="4367"/>
  <c r="G6" i="4367"/>
  <c r="G10" i="4367"/>
  <c r="H38" i="4369"/>
  <c r="V56" i="4369"/>
  <c r="F13" i="4367"/>
  <c r="V61" i="4369"/>
  <c r="N38" i="4369"/>
</calcChain>
</file>

<file path=xl/sharedStrings.xml><?xml version="1.0" encoding="utf-8"?>
<sst xmlns="http://schemas.openxmlformats.org/spreadsheetml/2006/main" count="469" uniqueCount="242">
  <si>
    <t>Hidráulica</t>
  </si>
  <si>
    <t>Térmica</t>
  </si>
  <si>
    <t>Total</t>
  </si>
  <si>
    <t>Estatal</t>
  </si>
  <si>
    <t>Privada</t>
  </si>
  <si>
    <t>N°</t>
  </si>
  <si>
    <t>Particp.</t>
  </si>
  <si>
    <t>ESTATAL</t>
  </si>
  <si>
    <t>Nombre de la empresa</t>
  </si>
  <si>
    <t>PRIVADA</t>
  </si>
  <si>
    <t>Total empresas  estatales y privadas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</si>
  <si>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</si>
  <si>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</si>
  <si>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</si>
  <si>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</si>
  <si>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</si>
  <si>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</si>
  <si>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</si>
  <si>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</si>
  <si>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</si>
  <si>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</si>
  <si>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Set</t>
  </si>
  <si>
    <t>Tipo de empresa</t>
  </si>
  <si>
    <t>Generadoras</t>
  </si>
  <si>
    <t>Transmisoras</t>
  </si>
  <si>
    <t>Distribuidoras</t>
  </si>
  <si>
    <t xml:space="preserve">miles US $ </t>
  </si>
  <si>
    <t>(millones US $)</t>
  </si>
  <si>
    <t>Dic</t>
  </si>
  <si>
    <t>Generadora de Energía del Perú S.A.</t>
  </si>
  <si>
    <t xml:space="preserve"> </t>
  </si>
  <si>
    <t>Longitud de linea (km) por nivel de tensión</t>
  </si>
  <si>
    <t>220 kV</t>
  </si>
  <si>
    <t>138 kV</t>
  </si>
  <si>
    <t>miles US $</t>
  </si>
  <si>
    <t>Consorcio Transmantaro S.A.</t>
  </si>
  <si>
    <t>Red Eléctrica del Sur S.A.</t>
  </si>
  <si>
    <t>EMP. PRIVADA</t>
  </si>
  <si>
    <t>REDESUR</t>
  </si>
  <si>
    <t>Mercado regulado</t>
  </si>
  <si>
    <t>Mercado libre</t>
  </si>
  <si>
    <t>Electrocentro S.A.</t>
  </si>
  <si>
    <t>Electronoroeste S.A.</t>
  </si>
  <si>
    <t>Electro Sur Este S.A.A.</t>
  </si>
  <si>
    <t>Electronorte S.A.</t>
  </si>
  <si>
    <t>Electro Oriente S.A.</t>
  </si>
  <si>
    <t>Electro Puno S.A.A.</t>
  </si>
  <si>
    <t>Electrosur S.A.</t>
  </si>
  <si>
    <t>Electro Ucayali S.A.</t>
  </si>
  <si>
    <t>Servicios Eléctricos Rioja S.A.</t>
  </si>
  <si>
    <t>Electro Pangoa S.A.</t>
  </si>
  <si>
    <t>Total distribuidoras del mercado eléctrico</t>
  </si>
  <si>
    <t>CLIENTES</t>
  </si>
  <si>
    <t>Mercado Regulado</t>
  </si>
  <si>
    <t>Mercado Libre</t>
  </si>
  <si>
    <t>VENTA DE ENERGÍA</t>
  </si>
  <si>
    <t>Solar</t>
  </si>
  <si>
    <t>Eléctrica Yanapampa S.A.C.</t>
  </si>
  <si>
    <t>Empresa de Generación Huanza S.A.</t>
  </si>
  <si>
    <t>500 kV</t>
  </si>
  <si>
    <t>REP</t>
  </si>
  <si>
    <t xml:space="preserve">         LÍNEAS DE TRANSMISIÓN EN 500kV, 220 kV y 138 kV</t>
  </si>
  <si>
    <t>ATN 1 S.A.</t>
  </si>
  <si>
    <t>Compañía Transmisora Andina S.A.</t>
  </si>
  <si>
    <t>TESUR</t>
  </si>
  <si>
    <t>9.1.   PARTICIPACIÓN DE LAS EMPRESAS* DEL MERCADO ELÉCTRICO SEGÚN SU FACTURACIÓN ** TOTAL</t>
  </si>
  <si>
    <t>Eólica</t>
  </si>
  <si>
    <t>Eólico</t>
  </si>
  <si>
    <t>ATN 2 S.A.</t>
  </si>
  <si>
    <t>Electroperú S. A.</t>
  </si>
  <si>
    <t>Emp. de Generación Eléctrica de Arequipa S. A.</t>
  </si>
  <si>
    <t>Emp. de Generación Eléctrica del Sur S. A.</t>
  </si>
  <si>
    <t>Empresa de Generación Eléctrica San Gabán S. A.</t>
  </si>
  <si>
    <t>Agro Industrial Paramonga S.A.A.</t>
  </si>
  <si>
    <t>Asociación Santa Lucia de Chacas</t>
  </si>
  <si>
    <t>Chinango S.A.C</t>
  </si>
  <si>
    <t>Compañia Eléctrica El Platanal S.A.</t>
  </si>
  <si>
    <t>Empresa de Generación Eléctrica Canchayllo S.A.C.</t>
  </si>
  <si>
    <t>Empresa de Generación Eléctrica Junín S.A.C.</t>
  </si>
  <si>
    <t>Empresa Eléctrica Rio Doble S.A.</t>
  </si>
  <si>
    <t>Energía Eólica S.A.</t>
  </si>
  <si>
    <t>Hidrocañete S.A.</t>
  </si>
  <si>
    <t>Hidroeléctrica Huanchor S.A.C.</t>
  </si>
  <si>
    <t>Maja Energía S.A.C.</t>
  </si>
  <si>
    <t>Moquegua FV S.A.C.</t>
  </si>
  <si>
    <t xml:space="preserve">9.3.   PARTICIPACIÓN DE LAS EMPRESAS* TRANSMISORAS** EN EL MERCADO ELÉCTRICO  SEGÚN LONGITUD DE </t>
  </si>
  <si>
    <t>Electro Dunas S.A.A.</t>
  </si>
  <si>
    <t>Empresa de Generación Huallaga S.A.</t>
  </si>
  <si>
    <t>Empresas</t>
  </si>
  <si>
    <t>Codigo</t>
  </si>
  <si>
    <t>ATN</t>
  </si>
  <si>
    <t>Centrales Santa Rosa S.A.C.</t>
  </si>
  <si>
    <t>Empresa de Interés Local Hidroeléctrica S.A. de Chacas</t>
  </si>
  <si>
    <t>Enel Distribución Perú S.A.A.</t>
  </si>
  <si>
    <t>Luz del Sur S.A.</t>
  </si>
  <si>
    <t>Proyecto Especial Chavimochic</t>
  </si>
  <si>
    <t>Sociedad Eléctrica del Sur Oeste S.A.</t>
  </si>
  <si>
    <t>Agroaurora S.A.C.</t>
  </si>
  <si>
    <t>Hidrandina S.A.</t>
  </si>
  <si>
    <t>Bioenergía del Chira S.A.</t>
  </si>
  <si>
    <t>Central Hidroeléctrica de Langui S.A.</t>
  </si>
  <si>
    <t>Compañia Hidroeléctrica Tingo S.A.</t>
  </si>
  <si>
    <t>E.A.W. Muller S.A.</t>
  </si>
  <si>
    <t>Empresa de Generación Eléctrica Rio Baños S.A.C.</t>
  </si>
  <si>
    <t>Enel Generación Perú S.A.A.</t>
  </si>
  <si>
    <t>Enel Generación Piura S.A.</t>
  </si>
  <si>
    <t>ENGIE EnergÍa Perú S.A.</t>
  </si>
  <si>
    <t>Fénix Power Perú S.A.</t>
  </si>
  <si>
    <t xml:space="preserve">Infraestructuras y Energías del Perú S.A.C. </t>
  </si>
  <si>
    <t>Kallpa Generación S.A.</t>
  </si>
  <si>
    <t>Panamericana Solar S.A.C.</t>
  </si>
  <si>
    <t>Parque Eolico Marcona S.A.C.</t>
  </si>
  <si>
    <t>Parque Eolico Tres Hermanas S.A.C.</t>
  </si>
  <si>
    <t>Planta de Reserva Fría de Generación Éten S.A.</t>
  </si>
  <si>
    <t>Samay I S.A.</t>
  </si>
  <si>
    <t>SDF Energía S.A.C.</t>
  </si>
  <si>
    <t>Shougang Generación Eléctrica S.A.A.</t>
  </si>
  <si>
    <t>Sindicato Energético S.A.</t>
  </si>
  <si>
    <t>Tacna Solar S.A.C.</t>
  </si>
  <si>
    <t>Termochilca S.A.</t>
  </si>
  <si>
    <t>Termoselva S.R.L.</t>
  </si>
  <si>
    <t>(*)</t>
  </si>
  <si>
    <t>9.4.    PARTICIPACIÓN DE LAS EMPRESAS* DISTRIBUIDORAS** EN EL MERCADO ELÉCTRICO</t>
  </si>
  <si>
    <t>Egepsa S.A.</t>
  </si>
  <si>
    <t>Empresa de Generacion Electrica Machupicchu S.A.</t>
  </si>
  <si>
    <t>Empresa Eléctrica Agua Azul S.A.</t>
  </si>
  <si>
    <t>Andean Power S.A.C.</t>
  </si>
  <si>
    <t>Electro Zaña S.A.C.</t>
  </si>
  <si>
    <t>Huaura Power Group S.A.</t>
  </si>
  <si>
    <t>Inland Energy S.A.C.</t>
  </si>
  <si>
    <t>Orazul Energy Perú S.A.</t>
  </si>
  <si>
    <t>Petramas S.A.C.</t>
  </si>
  <si>
    <t>POTENCIA</t>
  </si>
  <si>
    <t>total</t>
  </si>
  <si>
    <t>PRODUCCION</t>
  </si>
  <si>
    <t>Pomacocha Power S.A.C.</t>
  </si>
  <si>
    <t>Transmisora Eléctrica del Sur 2 S.A.C.</t>
  </si>
  <si>
    <t>Otros</t>
  </si>
  <si>
    <t>CCNCM</t>
  </si>
  <si>
    <t>Agroindustrias San Jacinto S.A.A.</t>
  </si>
  <si>
    <t>Celepsa Renovables S.R.L.</t>
  </si>
  <si>
    <t>ATN S.A.</t>
  </si>
  <si>
    <t>CONELSUR</t>
  </si>
  <si>
    <t>CONENHUA</t>
  </si>
  <si>
    <t xml:space="preserve">a. Empresas estatales </t>
  </si>
  <si>
    <t>b. Empresas privadas</t>
  </si>
  <si>
    <t>Generación Andina S.A.C.</t>
  </si>
  <si>
    <t>Genrent del Peru S.A.C.</t>
  </si>
  <si>
    <t>GR Paino S.A.C.</t>
  </si>
  <si>
    <t>GR Taruca S.A.C.</t>
  </si>
  <si>
    <t>Peruana de Inversiones en Energía Renovables S.A.</t>
  </si>
  <si>
    <t>Sociedad Minera Cerro Verde S.A.A.</t>
  </si>
  <si>
    <t>Transmisora Eléctrica del Sur 3 S.A.C.</t>
  </si>
  <si>
    <t>Transmisora Eléctrica del Sur S.A.C.</t>
  </si>
  <si>
    <t>ATLANTICA TRANSMISION</t>
  </si>
  <si>
    <t>ATN1</t>
  </si>
  <si>
    <t>ATN2</t>
  </si>
  <si>
    <t>TRANSMISORA ANDINA</t>
  </si>
  <si>
    <t>NORPERUANA</t>
  </si>
  <si>
    <t>TRANSMANTARO</t>
  </si>
  <si>
    <t>GUADALUPE</t>
  </si>
  <si>
    <t>ISAPERU</t>
  </si>
  <si>
    <t>POMACOCHA</t>
  </si>
  <si>
    <t>TESUR 2</t>
  </si>
  <si>
    <t>TESUR 3</t>
  </si>
  <si>
    <t>a. Empresas estatales</t>
  </si>
  <si>
    <t>c. Total participación de empresas* generadoras estatales y privadas</t>
  </si>
  <si>
    <t xml:space="preserve">c. Total participación de empresas* distribuidoras** </t>
  </si>
  <si>
    <t>Número de clientes</t>
  </si>
  <si>
    <t>Venta de energía   (GWh)</t>
  </si>
  <si>
    <t>Venta de energía (GWh)</t>
  </si>
  <si>
    <t>Venta de energía  (GWh)</t>
  </si>
  <si>
    <t>Colca Solar S.A.C.</t>
  </si>
  <si>
    <t>Majes Arcus S.A.C.</t>
  </si>
  <si>
    <t>Repartición Arcus S.A.C.</t>
  </si>
  <si>
    <t>Atlantica Transmisión Sur S.A.</t>
  </si>
  <si>
    <t>Compañía Transmisora Norperuana S.R.L.</t>
  </si>
  <si>
    <t>Concesionaria Línea de Transmisión CCNCM S.A.C.</t>
  </si>
  <si>
    <t>Conelsur Lt S.A.C.</t>
  </si>
  <si>
    <t>Consorcio Energético de Huancavelica S.A.</t>
  </si>
  <si>
    <t>Empresa de Transmisión Guadalupe S.A.C.</t>
  </si>
  <si>
    <t>Interconexión Eléctrica Isa Perú S.A.</t>
  </si>
  <si>
    <t>Red de Energía del Perú S.A.</t>
  </si>
  <si>
    <t>Terna Peru S.A.C.</t>
  </si>
  <si>
    <t>TERNA PERU</t>
  </si>
  <si>
    <t>OTROS</t>
  </si>
  <si>
    <t>(**) Sólo empresas cuya actividad principal es la distribución eléctrica.</t>
  </si>
  <si>
    <t>Compañía Transmisora Sur Andino S.A.C.</t>
  </si>
  <si>
    <t>Empresa de Transmisión Aymaraes S.A.C.</t>
  </si>
  <si>
    <t>Empresa Municipal de Servicio Eléctrico de Tocache S.A. 1/</t>
  </si>
  <si>
    <t>Empresa Municipal de Servicios Eléctricos Utcubamba S.A.C. 1/</t>
  </si>
  <si>
    <t>Consorcio Eléctrico de Villacuri S.A.C.</t>
  </si>
  <si>
    <t>Empresa de Distribución y Comercialización de Electricidad San Ramón S.A.</t>
  </si>
  <si>
    <t>1/ Empresas Municipales</t>
  </si>
  <si>
    <t>Atria Energía S.A.C.</t>
  </si>
  <si>
    <t>Empresa de Generación Eléctrica Santa Ana S.R.L.</t>
  </si>
  <si>
    <t>ENEL Green Power Perú S.A.</t>
  </si>
  <si>
    <t>Hydro Pátapo S.A.C.</t>
  </si>
  <si>
    <t>Potencia instalada  2023  (MW)</t>
  </si>
  <si>
    <t>Producción de energía eléctrica  2023  (GWh)</t>
  </si>
  <si>
    <t>Facturación total 2023</t>
  </si>
  <si>
    <t>(*) Sólo empresas que informan a la DGE a diciembre 2023.</t>
  </si>
  <si>
    <t>(**) Consolidado basado en la información declarada mensualmente a la Dirección General de Electricidad (aportes y facturación por energía) a diciembre 2023.</t>
  </si>
  <si>
    <t>FACTURACION MILLONES US$ 2023</t>
  </si>
  <si>
    <t>Sólo empresas cuya actividad principal es la generación de energía eléctrica e informan a la DGE al mes de diciembre 2023.</t>
  </si>
  <si>
    <t>(*) Sólo empresas que informan a la DGE a diciembre 2023. Incluye valores estimados basados en la información declarada mensualmente a la Dirección General de Electricidad por facturación por energía.</t>
  </si>
  <si>
    <t>Facturación total  2023</t>
  </si>
  <si>
    <t>2/ Facturación estimada a diciembre 2023</t>
  </si>
  <si>
    <t>GRÁFICO 2023</t>
  </si>
  <si>
    <t>01. Generación</t>
  </si>
  <si>
    <t>03. Transmisión</t>
  </si>
  <si>
    <t>02. Distribución</t>
  </si>
  <si>
    <t>Cogeneración Oquendo S.A.C.</t>
  </si>
  <si>
    <t>Energía Renovable del Sur S.A.</t>
  </si>
  <si>
    <t>GM Operaciones S.A.C.</t>
  </si>
  <si>
    <t>La Virgen S.A.C.</t>
  </si>
  <si>
    <t>Statkraft Perú S.A.</t>
  </si>
  <si>
    <t>9.2.  PARTICIPACIÓN DE LAS EMPRESAS* GENERADORAS DEL MERCADO ELÉCTRICO</t>
  </si>
  <si>
    <t xml:space="preserve">    Nombre de Empresa</t>
  </si>
  <si>
    <t xml:space="preserve">                            Tensión ( kV )</t>
  </si>
  <si>
    <t>Participación</t>
  </si>
  <si>
    <t>60 - 75</t>
  </si>
  <si>
    <t>30 - 50</t>
  </si>
  <si>
    <t>( km )</t>
  </si>
  <si>
    <t>%</t>
  </si>
  <si>
    <t>Puerto Maldonado Transmisora S.A.C.</t>
  </si>
  <si>
    <t>Atlantica Transmision Sur S.A.</t>
  </si>
  <si>
    <t xml:space="preserve">Compañía Transmisora Autonoma S.A.C. </t>
  </si>
  <si>
    <t>Compañía Transmisora Norperuana S.A.C.</t>
  </si>
  <si>
    <t>Concesionaria linea de Transmision CCNCM S.A.C.</t>
  </si>
  <si>
    <t>Conelsur LT S.A.C.</t>
  </si>
  <si>
    <t>Consorcio Energético Huancavelica S.A.</t>
  </si>
  <si>
    <t>Empresa de Transmision Aymaraes S.A.C.</t>
  </si>
  <si>
    <t>Empresa de Trasmisión Guadalupe S.A.C.</t>
  </si>
  <si>
    <t>Empresa Transmisora Electrica Catacaos S.A.C.</t>
  </si>
  <si>
    <t>Interconexión Eléctrica ISA Perú S.A.</t>
  </si>
  <si>
    <t xml:space="preserve">Red de Energía del Perú S.A. </t>
  </si>
  <si>
    <t>Terna Perú S.A.C.</t>
  </si>
  <si>
    <t>Puerto Maldonado Transmisora de Energía S.A.C.</t>
  </si>
  <si>
    <t>Transmisora Eléctrica del Sur 4 S.A.C.</t>
  </si>
  <si>
    <t>Empresa de Administración de Infraestructura Eléctrica S.A. 3/</t>
  </si>
  <si>
    <t>3/ Información estimada de los usuarios del servicio público de electricidad de la zona de concesión que fue de EMSEMSA, hoy administrada por ADINELSA.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</si>
</sst>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_(* #,##0.00_);_(* \(#,##0.00\);_(* &quot;-&quot;??_);_(@_)"/>
    <numFmt numFmtId="166" formatCode="_-* #,##0.00\ _P_t_s_-;\-* #,##0.00\ _P_t_s_-;_-* &quot;-&quot;??\ _P_t_s_-;_-@_-"/>
    <numFmt numFmtId="167" formatCode="0.0%"/>
    <numFmt numFmtId="168" formatCode="_ * #,##0_ ;_ * \-#,##0_ ;_ * &quot;-&quot;??_ ;_ @_ "/>
    <numFmt numFmtId="170" formatCode="#\ ###\ ##0.00"/>
    <numFmt numFmtId="171" formatCode="#\ ###\ ##0"/>
    <numFmt numFmtId="172" formatCode="#\ ##0.00"/>
    <numFmt numFmtId="173" formatCode="_-* #,##0\ _P_t_s_-;\-* #,##0\ _P_t_s_-;_-* &quot;-&quot;??\ _P_t_s_-;_-@_-"/>
    <numFmt numFmtId="174" formatCode="#,##0.0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3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sz val="10"/>
      <color rgb="FF9F9F9F"/>
      <name val="Century Gothic"/>
      <family val="2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sz val="8"/>
      <name val="Century Gothic"/>
      <family val="2"/>
    </font>
    <font>
      <b/>
      <i/>
      <sz val="8"/>
      <name val="Century Gothic"/>
      <family val="2"/>
    </font>
    <font>
      <b/>
      <sz val="12"/>
      <color rgb="FF9F9F9F"/>
      <name val="Century Gothic"/>
      <family val="2"/>
    </font>
    <font>
      <sz val="12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entury Gothic"/>
      <family val="2"/>
    </font>
    <font>
      <sz val="12"/>
      <color indexed="8"/>
      <name val="Century Gothic"/>
      <family val="2"/>
    </font>
    <font>
      <b/>
      <sz val="10"/>
      <color rgb="FF9F9F9F"/>
      <name val="Century Gothic"/>
      <family val="2"/>
    </font>
    <font>
      <b/>
      <sz val="9"/>
      <name val="Century Gothic"/>
      <family val="2"/>
    </font>
    <font>
      <b/>
      <sz val="10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b/>
      <i/>
      <sz val="9"/>
      <name val="Century Gothic"/>
      <family val="2"/>
    </font>
    <font>
      <vertAlign val="superscript"/>
      <sz val="9"/>
      <name val="Century Gothic"/>
      <family val="2"/>
    </font>
    <font>
      <b/>
      <i/>
      <sz val="10"/>
      <name val="Century Gothic"/>
      <family val="2"/>
    </font>
    <font>
      <b/>
      <sz val="10"/>
      <color indexed="9"/>
      <name val="Century Gothic"/>
      <family val="2"/>
    </font>
    <font>
      <b/>
      <sz val="11"/>
      <color rgb="FF9F9F9F"/>
      <name val="Century Gothic"/>
      <family val="2"/>
    </font>
    <font>
      <b/>
      <sz val="11"/>
      <color theme="1"/>
      <name val="Century Gothic"/>
      <family val="2"/>
    </font>
    <font>
      <vertAlign val="superscript"/>
      <sz val="8"/>
      <name val="Century Gothic"/>
      <family val="2"/>
    </font>
    <font>
      <i/>
      <sz val="10"/>
      <name val="Century Gothic"/>
      <family val="2"/>
    </font>
    <font>
      <b/>
      <sz val="14"/>
      <color rgb="FF9F9F9F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85858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hair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 style="medium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166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1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9" fillId="4" borderId="96" xfId="0" applyFont="1" applyFill="1" applyBorder="1" applyAlignment="1">
      <alignment horizontal="center" vertical="center"/>
    </xf>
    <xf numFmtId="0" fontId="9" fillId="4" borderId="97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5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5" xfId="0" applyFont="1" applyFill="1" applyBorder="1"/>
    <xf numFmtId="4" fontId="7" fillId="2" borderId="32" xfId="0" applyNumberFormat="1" applyFont="1" applyFill="1" applyBorder="1" applyAlignment="1">
      <alignment horizontal="right"/>
    </xf>
    <xf numFmtId="4" fontId="7" fillId="2" borderId="6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166" fontId="8" fillId="0" borderId="0" xfId="1" applyFont="1"/>
    <xf numFmtId="166" fontId="8" fillId="0" borderId="0" xfId="0" applyNumberFormat="1" applyFont="1"/>
    <xf numFmtId="0" fontId="10" fillId="2" borderId="7" xfId="0" applyFont="1" applyFill="1" applyBorder="1"/>
    <xf numFmtId="9" fontId="12" fillId="2" borderId="19" xfId="7" applyFont="1" applyFill="1" applyBorder="1" applyAlignment="1">
      <alignment horizontal="right"/>
    </xf>
    <xf numFmtId="9" fontId="12" fillId="2" borderId="9" xfId="7" applyFont="1" applyFill="1" applyBorder="1" applyAlignment="1">
      <alignment horizontal="right"/>
    </xf>
    <xf numFmtId="9" fontId="12" fillId="2" borderId="13" xfId="7" applyFont="1" applyFill="1" applyBorder="1" applyAlignment="1">
      <alignment horizontal="right"/>
    </xf>
    <xf numFmtId="168" fontId="7" fillId="0" borderId="0" xfId="1" applyNumberFormat="1" applyFont="1" applyBorder="1"/>
    <xf numFmtId="166" fontId="8" fillId="0" borderId="0" xfId="1" applyFont="1" applyAlignment="1">
      <alignment horizontal="left"/>
    </xf>
    <xf numFmtId="3" fontId="7" fillId="2" borderId="19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11" fillId="2" borderId="13" xfId="0" applyNumberFormat="1" applyFont="1" applyFill="1" applyBorder="1" applyAlignment="1">
      <alignment horizontal="right"/>
    </xf>
    <xf numFmtId="4" fontId="7" fillId="2" borderId="19" xfId="0" applyNumberFormat="1" applyFont="1" applyFill="1" applyBorder="1" applyAlignment="1">
      <alignment horizontal="right"/>
    </xf>
    <xf numFmtId="9" fontId="8" fillId="0" borderId="0" xfId="7" applyFont="1" applyAlignment="1">
      <alignment horizontal="left"/>
    </xf>
    <xf numFmtId="9" fontId="12" fillId="2" borderId="94" xfId="7" applyFont="1" applyFill="1" applyBorder="1" applyAlignment="1">
      <alignment horizontal="right"/>
    </xf>
    <xf numFmtId="9" fontId="12" fillId="2" borderId="11" xfId="7" applyFont="1" applyFill="1" applyBorder="1" applyAlignment="1">
      <alignment horizontal="right"/>
    </xf>
    <xf numFmtId="9" fontId="12" fillId="2" borderId="14" xfId="7" applyFont="1" applyFill="1" applyBorder="1" applyAlignment="1">
      <alignment horizontal="right"/>
    </xf>
    <xf numFmtId="0" fontId="7" fillId="2" borderId="15" xfId="0" applyFont="1" applyFill="1" applyBorder="1"/>
    <xf numFmtId="0" fontId="7" fillId="2" borderId="19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0" fillId="2" borderId="7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/>
    </xf>
    <xf numFmtId="4" fontId="11" fillId="2" borderId="0" xfId="0" applyNumberFormat="1" applyFont="1" applyFill="1" applyAlignment="1">
      <alignment horizontal="right"/>
    </xf>
    <xf numFmtId="4" fontId="13" fillId="2" borderId="13" xfId="0" applyNumberFormat="1" applyFont="1" applyFill="1" applyBorder="1" applyAlignment="1">
      <alignment horizontal="right"/>
    </xf>
    <xf numFmtId="4" fontId="7" fillId="2" borderId="0" xfId="0" applyNumberFormat="1" applyFont="1" applyFill="1"/>
    <xf numFmtId="0" fontId="7" fillId="2" borderId="16" xfId="0" applyFont="1" applyFill="1" applyBorder="1"/>
    <xf numFmtId="9" fontId="12" fillId="2" borderId="95" xfId="7" applyFont="1" applyFill="1" applyBorder="1" applyAlignment="1">
      <alignment horizontal="right"/>
    </xf>
    <xf numFmtId="9" fontId="12" fillId="2" borderId="4" xfId="7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14" fillId="2" borderId="0" xfId="0" applyFont="1" applyFill="1"/>
    <xf numFmtId="0" fontId="15" fillId="2" borderId="0" xfId="0" applyFont="1" applyFill="1"/>
    <xf numFmtId="1" fontId="8" fillId="0" borderId="0" xfId="0" applyNumberFormat="1" applyFont="1"/>
    <xf numFmtId="9" fontId="8" fillId="0" borderId="0" xfId="7" applyFont="1" applyBorder="1" applyAlignment="1">
      <alignment horizontal="center"/>
    </xf>
    <xf numFmtId="0" fontId="16" fillId="0" borderId="0" xfId="0" applyFont="1"/>
    <xf numFmtId="0" fontId="8" fillId="0" borderId="0" xfId="0" applyFont="1" applyAlignment="1">
      <alignment horizontal="center"/>
    </xf>
    <xf numFmtId="173" fontId="8" fillId="0" borderId="0" xfId="1" applyNumberFormat="1" applyFont="1" applyBorder="1"/>
    <xf numFmtId="166" fontId="8" fillId="0" borderId="0" xfId="1" applyFont="1" applyBorder="1"/>
    <xf numFmtId="4" fontId="8" fillId="0" borderId="0" xfId="0" applyNumberFormat="1" applyFont="1"/>
    <xf numFmtId="164" fontId="8" fillId="0" borderId="0" xfId="0" applyNumberFormat="1" applyFont="1"/>
    <xf numFmtId="2" fontId="8" fillId="0" borderId="0" xfId="0" applyNumberFormat="1" applyFont="1"/>
    <xf numFmtId="0" fontId="1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7" fillId="2" borderId="4" xfId="0" applyFont="1" applyFill="1" applyBorder="1"/>
    <xf numFmtId="4" fontId="17" fillId="2" borderId="0" xfId="0" applyNumberFormat="1" applyFont="1" applyFill="1" applyAlignment="1">
      <alignment horizontal="right"/>
    </xf>
    <xf numFmtId="4" fontId="17" fillId="2" borderId="4" xfId="0" applyNumberFormat="1" applyFont="1" applyFill="1" applyBorder="1" applyAlignment="1">
      <alignment horizontal="right"/>
    </xf>
    <xf numFmtId="0" fontId="7" fillId="2" borderId="0" xfId="0" applyFont="1" applyFill="1" applyAlignment="1">
      <alignment vertical="center"/>
    </xf>
    <xf numFmtId="0" fontId="9" fillId="4" borderId="66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8" fillId="2" borderId="18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170" fontId="19" fillId="2" borderId="9" xfId="0" applyNumberFormat="1" applyFont="1" applyFill="1" applyBorder="1" applyAlignment="1">
      <alignment vertical="center"/>
    </xf>
    <xf numFmtId="167" fontId="20" fillId="2" borderId="19" xfId="7" applyNumberFormat="1" applyFont="1" applyFill="1" applyBorder="1" applyAlignment="1">
      <alignment horizontal="center" vertical="center"/>
    </xf>
    <xf numFmtId="170" fontId="19" fillId="2" borderId="19" xfId="0" applyNumberFormat="1" applyFont="1" applyFill="1" applyBorder="1" applyAlignment="1">
      <alignment vertical="center"/>
    </xf>
    <xf numFmtId="170" fontId="19" fillId="2" borderId="0" xfId="0" applyNumberFormat="1" applyFont="1" applyFill="1" applyAlignment="1">
      <alignment vertical="center"/>
    </xf>
    <xf numFmtId="170" fontId="21" fillId="2" borderId="0" xfId="0" applyNumberFormat="1" applyFont="1" applyFill="1" applyAlignment="1">
      <alignment vertical="center"/>
    </xf>
    <xf numFmtId="167" fontId="20" fillId="2" borderId="13" xfId="7" applyNumberFormat="1" applyFont="1" applyFill="1" applyBorder="1" applyAlignment="1">
      <alignment horizontal="center" vertical="center"/>
    </xf>
    <xf numFmtId="170" fontId="19" fillId="2" borderId="7" xfId="0" applyNumberFormat="1" applyFont="1" applyFill="1" applyBorder="1" applyAlignment="1">
      <alignment vertical="center"/>
    </xf>
    <xf numFmtId="10" fontId="20" fillId="2" borderId="19" xfId="7" applyNumberFormat="1" applyFont="1" applyFill="1" applyBorder="1" applyAlignment="1">
      <alignment horizontal="center" vertical="center"/>
    </xf>
    <xf numFmtId="170" fontId="21" fillId="2" borderId="19" xfId="0" applyNumberFormat="1" applyFont="1" applyFill="1" applyBorder="1" applyAlignment="1">
      <alignment vertical="center"/>
    </xf>
    <xf numFmtId="10" fontId="20" fillId="2" borderId="13" xfId="7" applyNumberFormat="1" applyFont="1" applyFill="1" applyBorder="1" applyAlignment="1">
      <alignment horizontal="center" vertical="center"/>
    </xf>
    <xf numFmtId="167" fontId="20" fillId="2" borderId="20" xfId="7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9" fontId="8" fillId="2" borderId="0" xfId="7" applyFont="1" applyFill="1" applyBorder="1" applyAlignment="1">
      <alignment vertical="center"/>
    </xf>
    <xf numFmtId="4" fontId="8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2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170" fontId="19" fillId="2" borderId="23" xfId="0" applyNumberFormat="1" applyFont="1" applyFill="1" applyBorder="1" applyAlignment="1">
      <alignment vertical="center"/>
    </xf>
    <xf numFmtId="167" fontId="20" fillId="2" borderId="24" xfId="7" applyNumberFormat="1" applyFont="1" applyFill="1" applyBorder="1" applyAlignment="1">
      <alignment horizontal="center" vertical="center"/>
    </xf>
    <xf numFmtId="170" fontId="21" fillId="2" borderId="24" xfId="0" applyNumberFormat="1" applyFont="1" applyFill="1" applyBorder="1" applyAlignment="1">
      <alignment vertical="center"/>
    </xf>
    <xf numFmtId="167" fontId="20" fillId="2" borderId="22" xfId="7" applyNumberFormat="1" applyFont="1" applyFill="1" applyBorder="1" applyAlignment="1">
      <alignment horizontal="center" vertical="center"/>
    </xf>
    <xf numFmtId="170" fontId="19" fillId="2" borderId="21" xfId="0" applyNumberFormat="1" applyFont="1" applyFill="1" applyBorder="1" applyAlignment="1">
      <alignment vertical="center"/>
    </xf>
    <xf numFmtId="10" fontId="20" fillId="2" borderId="22" xfId="7" applyNumberFormat="1" applyFont="1" applyFill="1" applyBorder="1" applyAlignment="1">
      <alignment horizontal="center" vertical="center"/>
    </xf>
    <xf numFmtId="170" fontId="21" fillId="2" borderId="23" xfId="0" applyNumberFormat="1" applyFont="1" applyFill="1" applyBorder="1" applyAlignment="1">
      <alignment vertical="center"/>
    </xf>
    <xf numFmtId="167" fontId="20" fillId="2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4" fontId="7" fillId="2" borderId="0" xfId="0" applyNumberFormat="1" applyFont="1" applyFill="1" applyAlignment="1">
      <alignment vertical="center"/>
    </xf>
    <xf numFmtId="4" fontId="24" fillId="2" borderId="0" xfId="1" applyNumberFormat="1" applyFont="1" applyFill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4" fontId="19" fillId="2" borderId="26" xfId="0" applyNumberFormat="1" applyFont="1" applyFill="1" applyBorder="1" applyAlignment="1">
      <alignment vertical="center"/>
    </xf>
    <xf numFmtId="4" fontId="7" fillId="0" borderId="0" xfId="0" applyNumberFormat="1" applyFont="1" applyAlignment="1">
      <alignment vertical="center"/>
    </xf>
    <xf numFmtId="0" fontId="19" fillId="2" borderId="19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4" fontId="19" fillId="2" borderId="26" xfId="0" applyNumberFormat="1" applyFont="1" applyFill="1" applyBorder="1" applyAlignment="1">
      <alignment horizontal="right" vertical="center" indent="1"/>
    </xf>
    <xf numFmtId="4" fontId="25" fillId="2" borderId="0" xfId="0" applyNumberFormat="1" applyFont="1" applyFill="1" applyAlignment="1">
      <alignment vertical="center"/>
    </xf>
    <xf numFmtId="10" fontId="20" fillId="2" borderId="20" xfId="7" applyNumberFormat="1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vertical="center"/>
    </xf>
    <xf numFmtId="4" fontId="19" fillId="2" borderId="99" xfId="0" applyNumberFormat="1" applyFont="1" applyFill="1" applyBorder="1" applyAlignment="1">
      <alignment vertical="center"/>
    </xf>
    <xf numFmtId="0" fontId="18" fillId="2" borderId="21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4" fontId="22" fillId="2" borderId="27" xfId="0" applyNumberFormat="1" applyFont="1" applyFill="1" applyBorder="1" applyAlignment="1">
      <alignment vertical="center"/>
    </xf>
    <xf numFmtId="167" fontId="20" fillId="2" borderId="23" xfId="7" applyNumberFormat="1" applyFont="1" applyFill="1" applyBorder="1" applyAlignment="1">
      <alignment horizontal="center" vertical="center"/>
    </xf>
    <xf numFmtId="167" fontId="20" fillId="2" borderId="28" xfId="7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" fontId="26" fillId="2" borderId="0" xfId="0" applyNumberFormat="1" applyFont="1" applyFill="1" applyAlignment="1">
      <alignment vertical="center"/>
    </xf>
    <xf numFmtId="167" fontId="12" fillId="2" borderId="0" xfId="7" applyNumberFormat="1" applyFont="1" applyFill="1" applyBorder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0" fontId="12" fillId="2" borderId="0" xfId="7" applyNumberFormat="1" applyFont="1" applyFill="1" applyBorder="1" applyAlignment="1">
      <alignment horizontal="center" vertical="center"/>
    </xf>
    <xf numFmtId="9" fontId="12" fillId="2" borderId="0" xfId="0" applyNumberFormat="1" applyFont="1" applyFill="1" applyAlignment="1">
      <alignment horizontal="center" vertical="center"/>
    </xf>
    <xf numFmtId="4" fontId="27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9" fontId="7" fillId="2" borderId="0" xfId="7" applyFont="1" applyFill="1" applyAlignment="1">
      <alignment vertical="center"/>
    </xf>
    <xf numFmtId="0" fontId="28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9" fillId="4" borderId="86" xfId="0" applyFont="1" applyFill="1" applyBorder="1" applyAlignment="1">
      <alignment horizontal="center" vertical="center"/>
    </xf>
    <xf numFmtId="0" fontId="9" fillId="4" borderId="87" xfId="0" applyFont="1" applyFill="1" applyBorder="1" applyAlignment="1">
      <alignment horizontal="center" vertical="center"/>
    </xf>
    <xf numFmtId="0" fontId="9" fillId="4" borderId="88" xfId="0" applyFont="1" applyFill="1" applyBorder="1" applyAlignment="1">
      <alignment horizontal="center" vertical="center"/>
    </xf>
    <xf numFmtId="0" fontId="9" fillId="4" borderId="89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9" fillId="4" borderId="91" xfId="0" applyFont="1" applyFill="1" applyBorder="1" applyAlignment="1">
      <alignment horizontal="center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9" fillId="4" borderId="7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77" xfId="0" applyFont="1" applyFill="1" applyBorder="1" applyAlignment="1">
      <alignment horizontal="center" vertical="center"/>
    </xf>
    <xf numFmtId="0" fontId="9" fillId="4" borderId="93" xfId="0" applyFont="1" applyFill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4" fontId="11" fillId="0" borderId="29" xfId="0" applyNumberFormat="1" applyFont="1" applyBorder="1" applyAlignment="1">
      <alignment vertical="center"/>
    </xf>
    <xf numFmtId="167" fontId="12" fillId="0" borderId="30" xfId="7" applyNumberFormat="1" applyFont="1" applyFill="1" applyBorder="1" applyAlignment="1">
      <alignment horizontal="center" vertical="center"/>
    </xf>
    <xf numFmtId="167" fontId="12" fillId="0" borderId="78" xfId="7" applyNumberFormat="1" applyFont="1" applyFill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4" fontId="11" fillId="0" borderId="79" xfId="0" applyNumberFormat="1" applyFont="1" applyBorder="1" applyAlignment="1">
      <alignment vertical="center"/>
    </xf>
    <xf numFmtId="167" fontId="12" fillId="0" borderId="80" xfId="7" applyNumberFormat="1" applyFont="1" applyFill="1" applyBorder="1" applyAlignment="1">
      <alignment horizontal="center" vertical="center"/>
    </xf>
    <xf numFmtId="167" fontId="12" fillId="0" borderId="79" xfId="7" applyNumberFormat="1" applyFont="1" applyFill="1" applyBorder="1" applyAlignment="1">
      <alignment horizontal="center" vertical="center"/>
    </xf>
    <xf numFmtId="167" fontId="12" fillId="0" borderId="81" xfId="7" applyNumberFormat="1" applyFont="1" applyFill="1" applyBorder="1" applyAlignment="1">
      <alignment horizontal="center" vertical="center"/>
    </xf>
    <xf numFmtId="4" fontId="11" fillId="0" borderId="81" xfId="0" applyNumberFormat="1" applyFont="1" applyBorder="1" applyAlignment="1">
      <alignment vertical="center"/>
    </xf>
    <xf numFmtId="4" fontId="11" fillId="0" borderId="82" xfId="0" applyNumberFormat="1" applyFont="1" applyBorder="1" applyAlignment="1">
      <alignment vertical="center"/>
    </xf>
    <xf numFmtId="167" fontId="12" fillId="0" borderId="82" xfId="7" applyNumberFormat="1" applyFont="1" applyFill="1" applyBorder="1" applyAlignment="1">
      <alignment horizontal="center" vertical="center"/>
    </xf>
    <xf numFmtId="0" fontId="7" fillId="0" borderId="79" xfId="0" applyFont="1" applyBorder="1" applyAlignment="1">
      <alignment vertical="center"/>
    </xf>
    <xf numFmtId="0" fontId="7" fillId="0" borderId="83" xfId="0" applyFont="1" applyBorder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0" fontId="31" fillId="0" borderId="0" xfId="0" applyFont="1"/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5" fillId="2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3" fillId="2" borderId="0" xfId="0" applyFont="1" applyFill="1"/>
    <xf numFmtId="4" fontId="33" fillId="2" borderId="0" xfId="0" applyNumberFormat="1" applyFont="1" applyFill="1"/>
    <xf numFmtId="167" fontId="12" fillId="0" borderId="0" xfId="7" applyNumberFormat="1" applyFont="1" applyFill="1" applyBorder="1" applyAlignment="1">
      <alignment horizontal="center"/>
    </xf>
    <xf numFmtId="4" fontId="11" fillId="0" borderId="0" xfId="0" applyNumberFormat="1" applyFont="1"/>
    <xf numFmtId="0" fontId="8" fillId="2" borderId="0" xfId="0" applyFont="1" applyFill="1" applyAlignment="1">
      <alignment horizontal="center"/>
    </xf>
    <xf numFmtId="4" fontId="8" fillId="2" borderId="0" xfId="0" applyNumberFormat="1" applyFont="1" applyFill="1"/>
    <xf numFmtId="9" fontId="8" fillId="2" borderId="0" xfId="7" applyFont="1" applyFill="1" applyBorder="1"/>
    <xf numFmtId="0" fontId="8" fillId="0" borderId="0" xfId="0" applyFont="1" applyBorder="1"/>
    <xf numFmtId="165" fontId="8" fillId="0" borderId="0" xfId="0" applyNumberFormat="1" applyFont="1" applyBorder="1"/>
    <xf numFmtId="165" fontId="7" fillId="0" borderId="0" xfId="0" applyNumberFormat="1" applyFo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0" borderId="0" xfId="0" applyFont="1"/>
    <xf numFmtId="0" fontId="11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68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0" fontId="23" fillId="2" borderId="1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vertical="center"/>
    </xf>
    <xf numFmtId="9" fontId="12" fillId="2" borderId="41" xfId="7" applyFont="1" applyFill="1" applyBorder="1" applyAlignment="1">
      <alignment horizontal="center" vertical="center"/>
    </xf>
    <xf numFmtId="4" fontId="7" fillId="2" borderId="61" xfId="0" applyNumberFormat="1" applyFont="1" applyFill="1" applyBorder="1" applyAlignment="1">
      <alignment vertical="center"/>
    </xf>
    <xf numFmtId="9" fontId="12" fillId="2" borderId="39" xfId="7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vertical="center"/>
    </xf>
    <xf numFmtId="9" fontId="12" fillId="2" borderId="40" xfId="7" applyFont="1" applyFill="1" applyBorder="1" applyAlignment="1">
      <alignment horizontal="center" vertical="center"/>
    </xf>
    <xf numFmtId="9" fontId="12" fillId="2" borderId="0" xfId="8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10" fillId="2" borderId="6" xfId="0" applyNumberFormat="1" applyFont="1" applyFill="1" applyBorder="1" applyAlignment="1">
      <alignment vertical="center"/>
    </xf>
    <xf numFmtId="9" fontId="12" fillId="2" borderId="42" xfId="7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72" fontId="8" fillId="0" borderId="0" xfId="0" applyNumberFormat="1" applyFont="1" applyBorder="1"/>
    <xf numFmtId="0" fontId="7" fillId="0" borderId="6" xfId="0" applyFont="1" applyBorder="1" applyAlignment="1">
      <alignment vertical="center"/>
    </xf>
    <xf numFmtId="4" fontId="7" fillId="2" borderId="5" xfId="0" applyNumberFormat="1" applyFont="1" applyFill="1" applyBorder="1" applyAlignment="1">
      <alignment horizontal="right" vertical="center"/>
    </xf>
    <xf numFmtId="0" fontId="23" fillId="2" borderId="3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4" fontId="10" fillId="0" borderId="36" xfId="0" applyNumberFormat="1" applyFont="1" applyBorder="1" applyAlignment="1">
      <alignment vertical="center"/>
    </xf>
    <xf numFmtId="9" fontId="12" fillId="2" borderId="38" xfId="8" applyFont="1" applyFill="1" applyBorder="1" applyAlignment="1">
      <alignment horizontal="center" vertical="center"/>
    </xf>
    <xf numFmtId="4" fontId="10" fillId="0" borderId="62" xfId="0" applyNumberFormat="1" applyFont="1" applyBorder="1" applyAlignment="1">
      <alignment vertical="center"/>
    </xf>
    <xf numFmtId="4" fontId="10" fillId="0" borderId="28" xfId="0" applyNumberFormat="1" applyFont="1" applyBorder="1" applyAlignment="1">
      <alignment vertical="center"/>
    </xf>
    <xf numFmtId="4" fontId="11" fillId="2" borderId="43" xfId="0" applyNumberFormat="1" applyFont="1" applyFill="1" applyBorder="1" applyAlignment="1">
      <alignment vertical="center"/>
    </xf>
    <xf numFmtId="4" fontId="11" fillId="2" borderId="36" xfId="0" applyNumberFormat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9" fontId="7" fillId="2" borderId="0" xfId="0" applyNumberFormat="1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right" vertical="center"/>
    </xf>
    <xf numFmtId="9" fontId="8" fillId="0" borderId="0" xfId="8" applyFont="1" applyBorder="1" applyAlignment="1">
      <alignment vertical="center"/>
    </xf>
    <xf numFmtId="1" fontId="7" fillId="2" borderId="0" xfId="0" applyNumberFormat="1" applyFont="1" applyFill="1"/>
    <xf numFmtId="4" fontId="8" fillId="0" borderId="0" xfId="0" applyNumberFormat="1" applyFont="1" applyBorder="1"/>
    <xf numFmtId="9" fontId="8" fillId="0" borderId="0" xfId="8" applyFont="1" applyBorder="1"/>
    <xf numFmtId="9" fontId="8" fillId="0" borderId="0" xfId="8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167" fontId="8" fillId="0" borderId="0" xfId="0" applyNumberFormat="1" applyFont="1" applyBorder="1"/>
    <xf numFmtId="0" fontId="8" fillId="2" borderId="0" xfId="0" applyFont="1" applyFill="1" applyBorder="1"/>
    <xf numFmtId="4" fontId="8" fillId="2" borderId="0" xfId="0" applyNumberFormat="1" applyFont="1" applyFill="1" applyBorder="1"/>
    <xf numFmtId="9" fontId="8" fillId="2" borderId="0" xfId="0" applyNumberFormat="1" applyFont="1" applyFill="1" applyBorder="1"/>
    <xf numFmtId="0" fontId="29" fillId="2" borderId="0" xfId="0" applyFont="1" applyFill="1" applyAlignment="1">
      <alignment horizontal="right"/>
    </xf>
    <xf numFmtId="0" fontId="29" fillId="2" borderId="0" xfId="0" applyFont="1" applyFill="1"/>
    <xf numFmtId="0" fontId="6" fillId="2" borderId="0" xfId="0" applyFont="1" applyFill="1"/>
    <xf numFmtId="0" fontId="8" fillId="0" borderId="0" xfId="0" applyFont="1" applyAlignment="1">
      <alignment horizontal="center"/>
    </xf>
    <xf numFmtId="0" fontId="13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4" borderId="69" xfId="0" applyFont="1" applyFill="1" applyBorder="1" applyAlignment="1">
      <alignment horizontal="center" vertical="center"/>
    </xf>
    <xf numFmtId="166" fontId="8" fillId="0" borderId="0" xfId="1" applyFont="1" applyBorder="1" applyAlignment="1">
      <alignment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7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9" fillId="2" borderId="31" xfId="0" applyFont="1" applyFill="1" applyBorder="1" applyAlignment="1">
      <alignment vertical="center"/>
    </xf>
    <xf numFmtId="3" fontId="19" fillId="2" borderId="15" xfId="0" applyNumberFormat="1" applyFont="1" applyFill="1" applyBorder="1" applyAlignment="1">
      <alignment vertical="center"/>
    </xf>
    <xf numFmtId="10" fontId="20" fillId="2" borderId="32" xfId="8" applyNumberFormat="1" applyFont="1" applyFill="1" applyBorder="1" applyAlignment="1">
      <alignment horizontal="center" vertical="center"/>
    </xf>
    <xf numFmtId="3" fontId="19" fillId="2" borderId="32" xfId="0" applyNumberFormat="1" applyFont="1" applyFill="1" applyBorder="1" applyAlignment="1">
      <alignment vertical="center"/>
    </xf>
    <xf numFmtId="3" fontId="21" fillId="2" borderId="32" xfId="0" applyNumberFormat="1" applyFont="1" applyFill="1" applyBorder="1" applyAlignment="1">
      <alignment vertical="center"/>
    </xf>
    <xf numFmtId="10" fontId="20" fillId="2" borderId="12" xfId="8" applyNumberFormat="1" applyFont="1" applyFill="1" applyBorder="1" applyAlignment="1">
      <alignment horizontal="center" vertical="center"/>
    </xf>
    <xf numFmtId="4" fontId="19" fillId="2" borderId="15" xfId="0" applyNumberFormat="1" applyFont="1" applyFill="1" applyBorder="1" applyAlignment="1">
      <alignment vertical="center"/>
    </xf>
    <xf numFmtId="4" fontId="19" fillId="2" borderId="32" xfId="0" applyNumberFormat="1" applyFont="1" applyFill="1" applyBorder="1" applyAlignment="1">
      <alignment vertical="center"/>
    </xf>
    <xf numFmtId="4" fontId="21" fillId="2" borderId="32" xfId="0" applyNumberFormat="1" applyFont="1" applyFill="1" applyBorder="1" applyAlignment="1">
      <alignment vertical="center"/>
    </xf>
    <xf numFmtId="167" fontId="20" fillId="2" borderId="12" xfId="8" applyNumberFormat="1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vertical="center"/>
    </xf>
    <xf numFmtId="10" fontId="20" fillId="2" borderId="19" xfId="8" applyNumberFormat="1" applyFont="1" applyFill="1" applyBorder="1" applyAlignment="1">
      <alignment horizontal="center" vertical="center"/>
    </xf>
    <xf numFmtId="3" fontId="19" fillId="2" borderId="19" xfId="0" applyNumberFormat="1" applyFont="1" applyFill="1" applyBorder="1" applyAlignment="1">
      <alignment vertical="center"/>
    </xf>
    <xf numFmtId="3" fontId="21" fillId="2" borderId="19" xfId="0" applyNumberFormat="1" applyFont="1" applyFill="1" applyBorder="1" applyAlignment="1">
      <alignment vertical="center"/>
    </xf>
    <xf numFmtId="10" fontId="20" fillId="2" borderId="13" xfId="8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 applyAlignment="1">
      <alignment vertical="center"/>
    </xf>
    <xf numFmtId="4" fontId="19" fillId="2" borderId="19" xfId="0" applyNumberFormat="1" applyFont="1" applyFill="1" applyBorder="1" applyAlignment="1">
      <alignment vertical="center"/>
    </xf>
    <xf numFmtId="4" fontId="21" fillId="2" borderId="19" xfId="0" applyNumberFormat="1" applyFont="1" applyFill="1" applyBorder="1" applyAlignment="1">
      <alignment vertical="center"/>
    </xf>
    <xf numFmtId="167" fontId="20" fillId="2" borderId="13" xfId="8" applyNumberFormat="1" applyFont="1" applyFill="1" applyBorder="1" applyAlignment="1">
      <alignment horizontal="center" vertical="center"/>
    </xf>
    <xf numFmtId="166" fontId="8" fillId="0" borderId="0" xfId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3" borderId="0" xfId="0" applyFont="1" applyFill="1"/>
    <xf numFmtId="166" fontId="8" fillId="0" borderId="0" xfId="0" applyNumberFormat="1" applyFont="1" applyAlignment="1">
      <alignment vertical="center"/>
    </xf>
    <xf numFmtId="0" fontId="23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3" fontId="22" fillId="2" borderId="36" xfId="0" applyNumberFormat="1" applyFont="1" applyFill="1" applyBorder="1" applyAlignment="1">
      <alignment vertical="center"/>
    </xf>
    <xf numFmtId="10" fontId="20" fillId="2" borderId="38" xfId="8" applyNumberFormat="1" applyFont="1" applyFill="1" applyBorder="1" applyAlignment="1">
      <alignment horizontal="center" vertical="center"/>
    </xf>
    <xf numFmtId="3" fontId="22" fillId="2" borderId="27" xfId="0" applyNumberFormat="1" applyFont="1" applyFill="1" applyBorder="1" applyAlignment="1">
      <alignment vertical="center"/>
    </xf>
    <xf numFmtId="167" fontId="20" fillId="2" borderId="37" xfId="8" applyNumberFormat="1" applyFont="1" applyFill="1" applyBorder="1" applyAlignment="1">
      <alignment horizontal="center" vertical="center"/>
    </xf>
    <xf numFmtId="3" fontId="34" fillId="2" borderId="27" xfId="0" applyNumberFormat="1" applyFont="1" applyFill="1" applyBorder="1" applyAlignment="1">
      <alignment vertical="center"/>
    </xf>
    <xf numFmtId="4" fontId="22" fillId="2" borderId="36" xfId="0" applyNumberFormat="1" applyFont="1" applyFill="1" applyBorder="1" applyAlignment="1">
      <alignment vertical="center"/>
    </xf>
    <xf numFmtId="4" fontId="34" fillId="2" borderId="27" xfId="0" applyNumberFormat="1" applyFont="1" applyFill="1" applyBorder="1" applyAlignment="1">
      <alignment vertical="center"/>
    </xf>
    <xf numFmtId="4" fontId="34" fillId="2" borderId="36" xfId="0" applyNumberFormat="1" applyFont="1" applyFill="1" applyBorder="1" applyAlignment="1">
      <alignment vertical="center"/>
    </xf>
    <xf numFmtId="167" fontId="20" fillId="2" borderId="38" xfId="8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167" fontId="12" fillId="2" borderId="0" xfId="8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9" fontId="7" fillId="0" borderId="0" xfId="7" applyFont="1" applyAlignment="1">
      <alignment vertical="center"/>
    </xf>
    <xf numFmtId="0" fontId="9" fillId="4" borderId="58" xfId="0" applyFont="1" applyFill="1" applyBorder="1" applyAlignment="1">
      <alignment horizontal="center" vertical="center"/>
    </xf>
    <xf numFmtId="4" fontId="19" fillId="2" borderId="15" xfId="0" applyNumberFormat="1" applyFont="1" applyFill="1" applyBorder="1" applyAlignment="1">
      <alignment horizontal="right" vertical="center"/>
    </xf>
    <xf numFmtId="4" fontId="19" fillId="2" borderId="7" xfId="0" applyNumberFormat="1" applyFont="1" applyFill="1" applyBorder="1" applyAlignment="1">
      <alignment horizontal="right" vertical="center"/>
    </xf>
    <xf numFmtId="171" fontId="8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3" fontId="22" fillId="2" borderId="21" xfId="0" applyNumberFormat="1" applyFont="1" applyFill="1" applyBorder="1" applyAlignment="1">
      <alignment vertical="center"/>
    </xf>
    <xf numFmtId="167" fontId="20" fillId="2" borderId="24" xfId="8" applyNumberFormat="1" applyFont="1" applyFill="1" applyBorder="1" applyAlignment="1">
      <alignment horizontal="center" vertical="center"/>
    </xf>
    <xf numFmtId="3" fontId="22" fillId="2" borderId="24" xfId="0" applyNumberFormat="1" applyFont="1" applyFill="1" applyBorder="1" applyAlignment="1">
      <alignment vertical="center"/>
    </xf>
    <xf numFmtId="3" fontId="34" fillId="2" borderId="24" xfId="0" applyNumberFormat="1" applyFont="1" applyFill="1" applyBorder="1" applyAlignment="1">
      <alignment vertical="center"/>
    </xf>
    <xf numFmtId="10" fontId="20" fillId="2" borderId="22" xfId="8" applyNumberFormat="1" applyFont="1" applyFill="1" applyBorder="1" applyAlignment="1">
      <alignment horizontal="center" vertical="center"/>
    </xf>
    <xf numFmtId="4" fontId="22" fillId="2" borderId="21" xfId="0" applyNumberFormat="1" applyFont="1" applyFill="1" applyBorder="1" applyAlignment="1">
      <alignment vertical="center"/>
    </xf>
    <xf numFmtId="4" fontId="22" fillId="2" borderId="24" xfId="0" applyNumberFormat="1" applyFont="1" applyFill="1" applyBorder="1" applyAlignment="1">
      <alignment vertical="center"/>
    </xf>
    <xf numFmtId="4" fontId="34" fillId="2" borderId="24" xfId="0" applyNumberFormat="1" applyFont="1" applyFill="1" applyBorder="1" applyAlignment="1">
      <alignment vertical="center"/>
    </xf>
    <xf numFmtId="4" fontId="34" fillId="2" borderId="21" xfId="0" applyNumberFormat="1" applyFont="1" applyFill="1" applyBorder="1" applyAlignment="1">
      <alignment vertical="center"/>
    </xf>
    <xf numFmtId="167" fontId="20" fillId="2" borderId="22" xfId="8" applyNumberFormat="1" applyFont="1" applyFill="1" applyBorder="1" applyAlignment="1">
      <alignment horizontal="center" vertical="center"/>
    </xf>
    <xf numFmtId="0" fontId="35" fillId="2" borderId="0" xfId="0" applyFont="1" applyFill="1"/>
    <xf numFmtId="167" fontId="12" fillId="2" borderId="0" xfId="8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right"/>
    </xf>
    <xf numFmtId="9" fontId="7" fillId="2" borderId="0" xfId="7" applyFont="1" applyFill="1" applyBorder="1"/>
    <xf numFmtId="9" fontId="12" fillId="2" borderId="0" xfId="7" applyFont="1" applyFill="1" applyBorder="1" applyAlignment="1">
      <alignment horizontal="center"/>
    </xf>
    <xf numFmtId="9" fontId="7" fillId="0" borderId="0" xfId="7" applyFont="1"/>
    <xf numFmtId="0" fontId="9" fillId="4" borderId="4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71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vertical="center"/>
    </xf>
    <xf numFmtId="167" fontId="12" fillId="2" borderId="2" xfId="8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vertical="center"/>
    </xf>
    <xf numFmtId="167" fontId="12" fillId="2" borderId="3" xfId="8" applyNumberFormat="1" applyFont="1" applyFill="1" applyBorder="1" applyAlignment="1">
      <alignment horizontal="center" vertical="center"/>
    </xf>
    <xf numFmtId="0" fontId="23" fillId="2" borderId="0" xfId="0" applyFont="1" applyFill="1"/>
    <xf numFmtId="3" fontId="7" fillId="2" borderId="0" xfId="0" applyNumberFormat="1" applyFont="1" applyFill="1"/>
    <xf numFmtId="0" fontId="36" fillId="2" borderId="0" xfId="0" applyFont="1" applyFill="1"/>
    <xf numFmtId="0" fontId="37" fillId="0" borderId="0" xfId="0" applyFont="1"/>
    <xf numFmtId="3" fontId="8" fillId="0" borderId="0" xfId="0" applyNumberFormat="1" applyFont="1"/>
    <xf numFmtId="9" fontId="8" fillId="0" borderId="0" xfId="8" applyFont="1" applyFill="1" applyBorder="1"/>
    <xf numFmtId="3" fontId="7" fillId="0" borderId="0" xfId="0" applyNumberFormat="1" applyFont="1"/>
    <xf numFmtId="0" fontId="31" fillId="2" borderId="0" xfId="0" applyFont="1" applyFill="1"/>
    <xf numFmtId="3" fontId="8" fillId="2" borderId="0" xfId="0" applyNumberFormat="1" applyFont="1" applyFill="1" applyBorder="1" applyAlignment="1">
      <alignment horizontal="right" indent="1"/>
    </xf>
    <xf numFmtId="0" fontId="25" fillId="4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/>
    </xf>
    <xf numFmtId="174" fontId="8" fillId="2" borderId="0" xfId="0" applyNumberFormat="1" applyFont="1" applyFill="1" applyBorder="1" applyAlignment="1">
      <alignment horizontal="right" indent="2"/>
    </xf>
    <xf numFmtId="0" fontId="8" fillId="2" borderId="0" xfId="0" applyFont="1" applyFill="1" applyBorder="1" applyAlignment="1">
      <alignment horizontal="left"/>
    </xf>
  </cellXfs>
  <cellStyles count="10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3" xfId="6" xr:uid="{00000000-0005-0000-0000-000006000000}"/>
    <cellStyle name="Porcentaje" xfId="7" builtinId="5"/>
    <cellStyle name="Porcentaje 2" xfId="8" xr:uid="{00000000-0005-0000-0000-000008000000}"/>
    <cellStyle name="Porcentual 2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85858"/>
      <color rgb="FF0B7D8F"/>
      <color rgb="FF3798AF"/>
      <color rgb="FF4B6DB0"/>
      <color rgb="FFA9D08E"/>
      <color rgb="FF9F9F9F"/>
      <color rgb="FF003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FACTURACIÓN EN LAS EMPRESAS DEL MERCADO ELÉCTRICO  2023</a:t>
            </a:r>
          </a:p>
        </c:rich>
      </c:tx>
      <c:layout>
        <c:manualLayout>
          <c:xMode val="edge"/>
          <c:yMode val="edge"/>
          <c:x val="0.21897259437348993"/>
          <c:y val="4.4705882352941179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 h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3395714569360972"/>
          <c:y val="0.17176470588235293"/>
          <c:w val="0.8155140299961412"/>
          <c:h val="0.60705882352941176"/>
        </c:manualLayout>
      </c:layout>
      <c:lineChart>
        <c:grouping val="standard"/>
        <c:varyColors val="0"/>
        <c:ser>
          <c:idx val="0"/>
          <c:order val="0"/>
          <c:tx>
            <c:strRef>
              <c:f>'9.1'!$M$32</c:f>
              <c:strCache>
                <c:ptCount val="1"/>
                <c:pt idx="0">
                  <c:v>01. Generación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'9.1'!$N$31:$Y$31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'9.1'!$N$32:$Y$32</c:f>
              <c:numCache>
                <c:formatCode>_-* #,##0\ _P_t_s_-;\-* #,##0\ _P_t_s_-;_-* "-"??\ _P_t_s_-;_-@_-</c:formatCode>
                <c:ptCount val="12"/>
                <c:pt idx="0">
                  <c:v>384.13408954278941</c:v>
                </c:pt>
                <c:pt idx="1">
                  <c:v>310.55925497965961</c:v>
                </c:pt>
                <c:pt idx="2">
                  <c:v>296.63864855019352</c:v>
                </c:pt>
                <c:pt idx="3">
                  <c:v>315.29877899545011</c:v>
                </c:pt>
                <c:pt idx="4">
                  <c:v>324.82783649998186</c:v>
                </c:pt>
                <c:pt idx="5">
                  <c:v>344.19144309166546</c:v>
                </c:pt>
                <c:pt idx="6">
                  <c:v>368.73098637436476</c:v>
                </c:pt>
                <c:pt idx="7">
                  <c:v>436.82170926891649</c:v>
                </c:pt>
                <c:pt idx="8">
                  <c:v>462.93742164599729</c:v>
                </c:pt>
                <c:pt idx="9">
                  <c:v>439.06604609837024</c:v>
                </c:pt>
                <c:pt idx="10">
                  <c:v>313.45628839825127</c:v>
                </c:pt>
                <c:pt idx="11">
                  <c:v>301.45083981233364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B-47E4-BA7C-0ED789F1116D}"/>
            </c:ext>
          </c:extLst>
        </c:ser>
        <c:ser>
          <c:idx val="1"/>
          <c:order val="1"/>
          <c:tx>
            <c:strRef>
              <c:f>'9.1'!$M$33</c:f>
              <c:strCache>
                <c:ptCount val="1"/>
                <c:pt idx="0">
                  <c:v>03. Transmisión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'9.1'!$N$31:$Y$31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'9.1'!$N$33:$Y$33</c:f>
              <c:numCache>
                <c:formatCode>_-* #,##0\ _P_t_s_-;\-* #,##0\ _P_t_s_-;_-* "-"??\ _P_t_s_-;_-@_-</c:formatCode>
                <c:ptCount val="12"/>
                <c:pt idx="0">
                  <c:v>54.675076207508532</c:v>
                </c:pt>
                <c:pt idx="1">
                  <c:v>54.476874157581285</c:v>
                </c:pt>
                <c:pt idx="2">
                  <c:v>55.665258184706019</c:v>
                </c:pt>
                <c:pt idx="3">
                  <c:v>55.167725172988533</c:v>
                </c:pt>
                <c:pt idx="4">
                  <c:v>54.75607296707468</c:v>
                </c:pt>
                <c:pt idx="5">
                  <c:v>56.398830107945521</c:v>
                </c:pt>
                <c:pt idx="6">
                  <c:v>59.049374492544359</c:v>
                </c:pt>
                <c:pt idx="7">
                  <c:v>56.650207901589404</c:v>
                </c:pt>
                <c:pt idx="8">
                  <c:v>60.013741300383067</c:v>
                </c:pt>
                <c:pt idx="9">
                  <c:v>55.6254200549647</c:v>
                </c:pt>
                <c:pt idx="10">
                  <c:v>58.070058937899105</c:v>
                </c:pt>
                <c:pt idx="11">
                  <c:v>58.030795253562481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B-47E4-BA7C-0ED789F1116D}"/>
            </c:ext>
          </c:extLst>
        </c:ser>
        <c:ser>
          <c:idx val="2"/>
          <c:order val="2"/>
          <c:tx>
            <c:strRef>
              <c:f>'9.1'!$M$34</c:f>
              <c:strCache>
                <c:ptCount val="1"/>
                <c:pt idx="0">
                  <c:v>02. Distribución</c:v>
                </c:pt>
              </c:strCache>
            </c:strRef>
          </c:tx>
          <c:spPr>
            <a:ln w="12700">
              <a:solidFill>
                <a:srgbClr val="0080C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C0"/>
              </a:solidFill>
              <a:ln>
                <a:solidFill>
                  <a:srgbClr val="0080C0"/>
                </a:solidFill>
                <a:prstDash val="solid"/>
              </a:ln>
            </c:spPr>
          </c:marker>
          <c:cat>
            <c:strRef>
              <c:f>'9.1'!$N$31:$Y$31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'9.1'!$N$34:$Y$34</c:f>
              <c:numCache>
                <c:formatCode>_-* #,##0\ _P_t_s_-;\-* #,##0\ _P_t_s_-;_-* "-"??\ _P_t_s_-;_-@_-</c:formatCode>
                <c:ptCount val="12"/>
                <c:pt idx="0">
                  <c:v>368.73859964507261</c:v>
                </c:pt>
                <c:pt idx="1">
                  <c:v>371.60539408858682</c:v>
                </c:pt>
                <c:pt idx="2">
                  <c:v>378.00893756066216</c:v>
                </c:pt>
                <c:pt idx="3">
                  <c:v>380.49497617386879</c:v>
                </c:pt>
                <c:pt idx="4">
                  <c:v>371.20951648893856</c:v>
                </c:pt>
                <c:pt idx="5">
                  <c:v>356.34129258942437</c:v>
                </c:pt>
                <c:pt idx="6">
                  <c:v>359.23019356621222</c:v>
                </c:pt>
                <c:pt idx="7">
                  <c:v>351.27272598113058</c:v>
                </c:pt>
                <c:pt idx="8">
                  <c:v>346.51185724045843</c:v>
                </c:pt>
                <c:pt idx="9">
                  <c:v>340.01759720633225</c:v>
                </c:pt>
                <c:pt idx="10">
                  <c:v>368.86717262604111</c:v>
                </c:pt>
                <c:pt idx="11">
                  <c:v>357.29628073251104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B-47E4-BA7C-0ED789F11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50464"/>
        <c:axId val="42367232"/>
      </c:lineChart>
      <c:catAx>
        <c:axId val="4235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236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3672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millones  US $</a:t>
                </a:r>
              </a:p>
            </c:rich>
          </c:tx>
          <c:layout>
            <c:manualLayout>
              <c:xMode val="edge"/>
              <c:yMode val="edge"/>
              <c:x val="3.2902481968414561E-2"/>
              <c:y val="0.303529411764705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2350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504112780454088"/>
          <c:y val="0.88941176470588235"/>
          <c:w val="0.60987079225766472"/>
          <c:h val="6.58823529411765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10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PARTICIPACIÓN DE EMPRESAS TRANSMISORAS SEGUN LONGITUD DE LÍNEAS OPERATIVAS EN    500,  220  y 138 kV</a:t>
            </a:r>
          </a:p>
        </c:rich>
      </c:tx>
      <c:overlay val="0"/>
      <c:spPr>
        <a:solidFill>
          <a:srgbClr val="585858"/>
        </a:solidFill>
      </c:spPr>
    </c:title>
    <c:autoTitleDeleted val="0"/>
    <c:view3D>
      <c:rotX val="20"/>
      <c:rotY val="2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96744143305936"/>
          <c:y val="0.2797579657381537"/>
          <c:w val="0.59650089193396283"/>
          <c:h val="0.50935862049501879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7"/>
            <c:extLst>
              <c:ext xmlns:c16="http://schemas.microsoft.com/office/drawing/2014/chart" uri="{C3380CC4-5D6E-409C-BE32-E72D297353CC}">
                <c16:uniqueId val="{00000001-31E2-441C-B791-15C0D9E55D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1E2-441C-B791-15C0D9E55D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1E2-441C-B791-15C0D9E55D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1E2-441C-B791-15C0D9E55D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31E2-441C-B791-15C0D9E55D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31E2-441C-B791-15C0D9E55D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31E2-441C-B791-15C0D9E55D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31E2-441C-B791-15C0D9E55D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31E2-441C-B791-15C0D9E55D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31E2-441C-B791-15C0D9E55D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31E2-441C-B791-15C0D9E55D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31E2-441C-B791-15C0D9E55D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0-31E2-441C-B791-15C0D9E55DA3}"/>
              </c:ext>
            </c:extLst>
          </c:dPt>
          <c:dLbls>
            <c:dLbl>
              <c:idx val="0"/>
              <c:layout>
                <c:manualLayout>
                  <c:x val="-1.3600961297419729E-2"/>
                  <c:y val="-9.6350254090579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REP
35%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E2-441C-B791-15C0D9E55DA3}"/>
                </c:ext>
              </c:extLst>
            </c:dLbl>
            <c:dLbl>
              <c:idx val="1"/>
              <c:layout>
                <c:manualLayout>
                  <c:x val="2.245088785416911E-2"/>
                  <c:y val="-0.216058394160583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TRANSMANTARO
26%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E2-441C-B791-15C0D9E55DA3}"/>
                </c:ext>
              </c:extLst>
            </c:dLbl>
            <c:dLbl>
              <c:idx val="2"/>
              <c:layout>
                <c:manualLayout>
                  <c:x val="5.1917678162766066E-2"/>
                  <c:y val="4.379562043795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E2-441C-B791-15C0D9E55DA3}"/>
                </c:ext>
              </c:extLst>
            </c:dLbl>
            <c:dLbl>
              <c:idx val="3"/>
              <c:layout>
                <c:manualLayout>
                  <c:x val="1.4031804908855692E-2"/>
                  <c:y val="4.6715328467153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E2-441C-B791-15C0D9E55DA3}"/>
                </c:ext>
              </c:extLst>
            </c:dLbl>
            <c:dLbl>
              <c:idx val="4"/>
              <c:layout>
                <c:manualLayout>
                  <c:x val="3.2273054475785462E-2"/>
                  <c:y val="5.8394096151430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ATLANTICA </a:t>
                    </a:r>
                    <a:br>
                      <a:rPr lang="en-US"/>
                    </a:br>
                    <a:r>
                      <a:rPr lang="en-US"/>
                      <a:t>TRANSMISION
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1E2-441C-B791-15C0D9E55DA3}"/>
                </c:ext>
              </c:extLst>
            </c:dLbl>
            <c:dLbl>
              <c:idx val="5"/>
              <c:layout>
                <c:manualLayout>
                  <c:x val="-7.0159024544278461E-3"/>
                  <c:y val="5.8394160583941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E2-441C-B791-15C0D9E55DA3}"/>
                </c:ext>
              </c:extLst>
            </c:dLbl>
            <c:dLbl>
              <c:idx val="6"/>
              <c:layout>
                <c:manualLayout>
                  <c:x val="-5.4724039144537204E-2"/>
                  <c:y val="9.05109489051093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E2-441C-B791-15C0D9E55DA3}"/>
                </c:ext>
              </c:extLst>
            </c:dLbl>
            <c:dLbl>
              <c:idx val="7"/>
              <c:layout>
                <c:manualLayout>
                  <c:x val="-9.1206731907562011E-2"/>
                  <c:y val="6.7153284671532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E2-441C-B791-15C0D9E55DA3}"/>
                </c:ext>
              </c:extLst>
            </c:dLbl>
            <c:dLbl>
              <c:idx val="8"/>
              <c:layout>
                <c:manualLayout>
                  <c:x val="-0.13398128345537788"/>
                  <c:y val="3.5407564399708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E2-441C-B791-15C0D9E55DA3}"/>
                </c:ext>
              </c:extLst>
            </c:dLbl>
            <c:dLbl>
              <c:idx val="9"/>
              <c:layout>
                <c:manualLayout>
                  <c:x val="-0.11005235627107512"/>
                  <c:y val="-6.0690123798318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E2-441C-B791-15C0D9E55DA3}"/>
                </c:ext>
              </c:extLst>
            </c:dLbl>
            <c:dLbl>
              <c:idx val="10"/>
              <c:layout>
                <c:manualLayout>
                  <c:x val="-8.8678399680125655E-2"/>
                  <c:y val="-0.160313292353207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OTROS
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31E2-441C-B791-15C0D9E55D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'9.3'!$Q$65:$Q$75</c:f>
              <c:strCache>
                <c:ptCount val="11"/>
                <c:pt idx="0">
                  <c:v>REP</c:v>
                </c:pt>
                <c:pt idx="1">
                  <c:v>TRANSMANTARO</c:v>
                </c:pt>
                <c:pt idx="2">
                  <c:v>ISAPERU</c:v>
                </c:pt>
                <c:pt idx="3">
                  <c:v>ATN</c:v>
                </c:pt>
                <c:pt idx="4">
                  <c:v>ATLANTICA TRANSMISION</c:v>
                </c:pt>
                <c:pt idx="5">
                  <c:v>CONELSUR</c:v>
                </c:pt>
                <c:pt idx="6">
                  <c:v>CCNCM</c:v>
                </c:pt>
                <c:pt idx="7">
                  <c:v>REDESUR</c:v>
                </c:pt>
                <c:pt idx="8">
                  <c:v>TESUR</c:v>
                </c:pt>
                <c:pt idx="9">
                  <c:v>ATN2</c:v>
                </c:pt>
                <c:pt idx="10">
                  <c:v>OTROS</c:v>
                </c:pt>
              </c:strCache>
            </c:strRef>
          </c:cat>
          <c:val>
            <c:numRef>
              <c:f>'9.3'!$R$65:$R$75</c:f>
              <c:numCache>
                <c:formatCode>0%</c:formatCode>
                <c:ptCount val="11"/>
                <c:pt idx="0">
                  <c:v>0.33643708597572797</c:v>
                </c:pt>
                <c:pt idx="1">
                  <c:v>0.27236393238349726</c:v>
                </c:pt>
                <c:pt idx="2">
                  <c:v>7.1727445255271916E-2</c:v>
                </c:pt>
                <c:pt idx="3">
                  <c:v>6.6342120487510717E-2</c:v>
                </c:pt>
                <c:pt idx="4">
                  <c:v>6.0381782688764332E-2</c:v>
                </c:pt>
                <c:pt idx="5">
                  <c:v>3.7677462910981119E-2</c:v>
                </c:pt>
                <c:pt idx="6">
                  <c:v>2.999826484546788E-2</c:v>
                </c:pt>
                <c:pt idx="7">
                  <c:v>2.7252445446592583E-2</c:v>
                </c:pt>
                <c:pt idx="8">
                  <c:v>2.5838959331874377E-2</c:v>
                </c:pt>
                <c:pt idx="9">
                  <c:v>1.6812777157220498E-2</c:v>
                </c:pt>
                <c:pt idx="10">
                  <c:v>5.5167723517091372E-2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1E2-441C-B791-15C0D9E55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PE"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cs typeface="Arial"/>
              </a:rPr>
              <a:t>PARTICIPACIÓN  DE LAS EMPRESAS ESTATALES Y PRIVADAS SEGÚN EL</a:t>
            </a:r>
          </a:p>
          <a:p>
            <a:pPr>
              <a:defRPr sz="1000" b="0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PE"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cs typeface="Arial"/>
              </a:rPr>
              <a:t>NÚMERO DE CLIENTES</a:t>
            </a:r>
          </a:p>
        </c:rich>
      </c:tx>
      <c:layout>
        <c:manualLayout>
          <c:xMode val="edge"/>
          <c:yMode val="edge"/>
          <c:x val="0.20451129988679731"/>
          <c:y val="2.6610279853125775E-2"/>
        </c:manualLayout>
      </c:layout>
      <c:overlay val="0"/>
      <c:spPr>
        <a:solidFill>
          <a:srgbClr val="585858"/>
        </a:solidFill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20"/>
      <c:rotY val="3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342443894333187E-2"/>
          <c:y val="0.48081901476958966"/>
          <c:w val="0.24774802020430853"/>
          <c:h val="0.26854253484471763"/>
        </c:manualLayout>
      </c:layout>
      <c:pie3DChart>
        <c:varyColors val="1"/>
        <c:ser>
          <c:idx val="0"/>
          <c:order val="0"/>
          <c:spPr>
            <a:solidFill>
              <a:srgbClr val="92D050"/>
            </a:solidFill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5-4455-8549-33FEE0FD4F2C}"/>
              </c:ext>
            </c:extLst>
          </c:dPt>
          <c:dPt>
            <c:idx val="1"/>
            <c:bubble3D val="0"/>
            <c:explosion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705-4455-8549-33FEE0FD4F2C}"/>
              </c:ext>
            </c:extLst>
          </c:dPt>
          <c:dLbls>
            <c:dLbl>
              <c:idx val="0"/>
              <c:layout>
                <c:manualLayout>
                  <c:x val="-4.1316537941717857E-2"/>
                  <c:y val="-0.118929805530606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5-4455-8549-33FEE0FD4F2C}"/>
                </c:ext>
              </c:extLst>
            </c:dLbl>
            <c:dLbl>
              <c:idx val="1"/>
              <c:layout>
                <c:manualLayout>
                  <c:x val="-1.5528803279872145E-2"/>
                  <c:y val="-0.157848170083910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5-4455-8549-33FEE0FD4F2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'9.4'!$T$55:$T$56</c:f>
              <c:strCache>
                <c:ptCount val="2"/>
                <c:pt idx="0">
                  <c:v>ESTATAL</c:v>
                </c:pt>
                <c:pt idx="1">
                  <c:v>PRIVADA</c:v>
                </c:pt>
              </c:strCache>
            </c:strRef>
          </c:cat>
          <c:val>
            <c:numRef>
              <c:f>'9.4'!$U$55:$U$56</c:f>
              <c:numCache>
                <c:formatCode>#,##0</c:formatCode>
                <c:ptCount val="2"/>
                <c:pt idx="0">
                  <c:v>5413299</c:v>
                </c:pt>
                <c:pt idx="1">
                  <c:v>3169292.9999999912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5-4455-8549-33FEE0FD4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hPercent val="59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93457943925233"/>
          <c:y val="1.3840853834703846E-2"/>
          <c:w val="0.78971962616822433"/>
          <c:h val="0.77162760128473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'9.4'!$W$55</c:f>
              <c:strCache>
                <c:ptCount val="1"/>
                <c:pt idx="0">
                  <c:v>ESTATAL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9.6269554753309269E-3"/>
                  <c:y val="-2.76816608996539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63%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E42-4592-9D68-7957339AD591}"/>
                </c:ext>
              </c:extLst>
            </c:dLbl>
            <c:dLbl>
              <c:idx val="1"/>
              <c:layout>
                <c:manualLayout>
                  <c:x val="1.6796389659925602E-2"/>
                  <c:y val="-5.949299889550005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29%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E42-4592-9D68-7957339AD5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'9.4'!$X$53:$Y$53</c:f>
              <c:strCache>
                <c:ptCount val="2"/>
                <c:pt idx="0">
                  <c:v>Mercado Regulado</c:v>
                </c:pt>
                <c:pt idx="1">
                  <c:v>Mercado Libre</c:v>
                </c:pt>
              </c:strCache>
            </c:strRef>
          </c:cat>
          <c:val>
            <c:numRef>
              <c:f>'9.4'!$X$55:$Y$55</c:f>
              <c:numCache>
                <c:formatCode>#,##0</c:formatCode>
                <c:ptCount val="2"/>
                <c:pt idx="0">
                  <c:v>5412908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2-4592-9D68-7957339AD591}"/>
            </c:ext>
          </c:extLst>
        </c:ser>
        <c:ser>
          <c:idx val="1"/>
          <c:order val="1"/>
          <c:tx>
            <c:strRef>
              <c:f>'9.4'!$W$56</c:f>
              <c:strCache>
                <c:ptCount val="1"/>
                <c:pt idx="0">
                  <c:v>PRIVADA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4434101809380092E-2"/>
                  <c:y val="-5.8085782755416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37%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E42-4592-9D68-7957339AD591}"/>
                </c:ext>
              </c:extLst>
            </c:dLbl>
            <c:dLbl>
              <c:idx val="1"/>
              <c:layout>
                <c:manualLayout>
                  <c:x val="1.8605902679431258E-2"/>
                  <c:y val="-6.74625004453628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71%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E42-4592-9D68-7957339AD5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'9.4'!$X$53:$Y$53</c:f>
              <c:strCache>
                <c:ptCount val="2"/>
                <c:pt idx="0">
                  <c:v>Mercado Regulado</c:v>
                </c:pt>
                <c:pt idx="1">
                  <c:v>Mercado Libre</c:v>
                </c:pt>
              </c:strCache>
            </c:strRef>
          </c:cat>
          <c:val>
            <c:numRef>
              <c:f>'9.4'!$X$56:$Y$56</c:f>
              <c:numCache>
                <c:formatCode>#,##0</c:formatCode>
                <c:ptCount val="2"/>
                <c:pt idx="0">
                  <c:v>3168058.9999999912</c:v>
                </c:pt>
                <c:pt idx="1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42-4592-9D68-7957339AD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686208"/>
        <c:axId val="46687744"/>
        <c:axId val="0"/>
      </c:bar3DChart>
      <c:catAx>
        <c:axId val="466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6877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66877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N</a:t>
                </a:r>
                <a:r>
                  <a:rPr lang="es-PE" sz="1000" b="1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+mn-ea"/>
                  </a:rPr>
                  <a:t>°</a:t>
                </a:r>
              </a:p>
            </c:rich>
          </c:tx>
          <c:layout>
            <c:manualLayout>
              <c:xMode val="edge"/>
              <c:yMode val="edge"/>
              <c:x val="0.19859822691149687"/>
              <c:y val="1.730107749689183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686208"/>
        <c:crosses val="autoZero"/>
        <c:crossBetween val="between"/>
        <c:majorUnit val="50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06136931690696"/>
          <c:y val="0.93079741677027217"/>
          <c:w val="0.45487369744785877"/>
          <c:h val="5.8823387208177924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  <a:latin typeface="Century Gothic" panose="020B0502020202020204" pitchFamily="34" charset="0"/>
              </a:rPr>
              <a:t>PARTICIPACIÓN DE LAS EMPRESAS ESTATALES Y PRIVADAS SEGÚN SU VENTA DE ENERGÍA ELÉCTRICA</a:t>
            </a:r>
          </a:p>
        </c:rich>
      </c:tx>
      <c:layout>
        <c:manualLayout>
          <c:xMode val="edge"/>
          <c:yMode val="edge"/>
          <c:x val="0.12058465286236297"/>
          <c:y val="2.3766810076575481E-2"/>
        </c:manualLayout>
      </c:layout>
      <c:overlay val="0"/>
      <c:spPr>
        <a:solidFill>
          <a:srgbClr val="585858"/>
        </a:solidFill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88428745432398"/>
          <c:y val="0.54123779452646092"/>
          <c:w val="0.19610231425091351"/>
          <c:h val="0.1649486611890166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0-478D-4523-9825-2EF7B7369204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478D-4523-9825-2EF7B7369204}"/>
              </c:ext>
            </c:extLst>
          </c:dPt>
          <c:dLbls>
            <c:dLbl>
              <c:idx val="0"/>
              <c:layout>
                <c:manualLayout>
                  <c:x val="-5.9420661009606808E-2"/>
                  <c:y val="-0.116947590657407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ESTATAL
38%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8D-4523-9825-2EF7B7369204}"/>
                </c:ext>
              </c:extLst>
            </c:dLbl>
            <c:dLbl>
              <c:idx val="1"/>
              <c:layout>
                <c:manualLayout>
                  <c:x val="4.7741963678449078E-3"/>
                  <c:y val="6.38818887827765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PRIVADA
62%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8D-4523-9825-2EF7B7369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'9.4'!$T$61:$T$62</c:f>
              <c:strCache>
                <c:ptCount val="2"/>
                <c:pt idx="0">
                  <c:v>ESTATAL</c:v>
                </c:pt>
                <c:pt idx="1">
                  <c:v>PRIVADA</c:v>
                </c:pt>
              </c:strCache>
            </c:strRef>
          </c:cat>
          <c:val>
            <c:numRef>
              <c:f>'9.4'!$U$61:$U$62</c:f>
              <c:numCache>
                <c:formatCode>#,##0</c:formatCode>
                <c:ptCount val="2"/>
                <c:pt idx="0">
                  <c:v>9033.6619984999852</c:v>
                </c:pt>
                <c:pt idx="1">
                  <c:v>14836.630830800046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D-4523-9825-2EF7B736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hPercent val="74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316455696202533"/>
          <c:y val="2.364864864864865E-2"/>
          <c:w val="0.73164556962025318"/>
          <c:h val="0.736854649925516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'9.4'!$W$61</c:f>
              <c:strCache>
                <c:ptCount val="1"/>
                <c:pt idx="0">
                  <c:v>ESTATAL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3.6672823304494347E-3"/>
                  <c:y val="-5.615259875954999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40%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172-44BB-8A9E-61E73F4A5089}"/>
                </c:ext>
              </c:extLst>
            </c:dLbl>
            <c:dLbl>
              <c:idx val="1"/>
              <c:layout>
                <c:manualLayout>
                  <c:x val="1.5419072615923009E-2"/>
                  <c:y val="-3.206212280789734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30%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172-44BB-8A9E-61E73F4A50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'9.4'!$X$60:$Y$60</c:f>
              <c:strCache>
                <c:ptCount val="2"/>
                <c:pt idx="0">
                  <c:v>Mercado Regulado</c:v>
                </c:pt>
                <c:pt idx="1">
                  <c:v>Mercado Libre</c:v>
                </c:pt>
              </c:strCache>
            </c:strRef>
          </c:cat>
          <c:val>
            <c:numRef>
              <c:f>'9.4'!$X$61:$Y$61</c:f>
              <c:numCache>
                <c:formatCode>#,##0</c:formatCode>
                <c:ptCount val="2"/>
                <c:pt idx="0">
                  <c:v>7845.9795551299858</c:v>
                </c:pt>
                <c:pt idx="1">
                  <c:v>1187.6824433700003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2-44BB-8A9E-61E73F4A5089}"/>
            </c:ext>
          </c:extLst>
        </c:ser>
        <c:ser>
          <c:idx val="1"/>
          <c:order val="1"/>
          <c:tx>
            <c:strRef>
              <c:f>'9.4'!$W$62</c:f>
              <c:strCache>
                <c:ptCount val="1"/>
                <c:pt idx="0">
                  <c:v>PRIVADA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2.8142405507639807E-2"/>
                  <c:y val="-1.176550473603051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60%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172-44BB-8A9E-61E73F4A5089}"/>
                </c:ext>
              </c:extLst>
            </c:dLbl>
            <c:dLbl>
              <c:idx val="1"/>
              <c:layout>
                <c:manualLayout>
                  <c:x val="4.0361621463983546E-2"/>
                  <c:y val="-4.009662804888242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70%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172-44BB-8A9E-61E73F4A50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'9.4'!$X$60:$Y$60</c:f>
              <c:strCache>
                <c:ptCount val="2"/>
                <c:pt idx="0">
                  <c:v>Mercado Regulado</c:v>
                </c:pt>
                <c:pt idx="1">
                  <c:v>Mercado Libre</c:v>
                </c:pt>
              </c:strCache>
            </c:strRef>
          </c:cat>
          <c:val>
            <c:numRef>
              <c:f>'9.4'!$X$62:$Y$62</c:f>
              <c:numCache>
                <c:formatCode>#,##0</c:formatCode>
                <c:ptCount val="2"/>
                <c:pt idx="0">
                  <c:v>11574.399389700047</c:v>
                </c:pt>
                <c:pt idx="1">
                  <c:v>3262.2314410999998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72-44BB-8A9E-61E73F4A5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900352"/>
        <c:axId val="46901888"/>
        <c:axId val="0"/>
      </c:bar3DChart>
      <c:catAx>
        <c:axId val="469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90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01888"/>
        <c:scaling>
          <c:orientation val="minMax"/>
          <c:max val="12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GW.h</a:t>
                </a:r>
              </a:p>
            </c:rich>
          </c:tx>
          <c:layout>
            <c:manualLayout>
              <c:xMode val="edge"/>
              <c:yMode val="edge"/>
              <c:x val="4.7272268181667167E-2"/>
              <c:y val="0.272704121444278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6900352"/>
        <c:crosses val="autoZero"/>
        <c:crossBetween val="between"/>
        <c:majorUnit val="2500"/>
        <c:min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39240506329114"/>
          <c:y val="0.92567567567567566"/>
          <c:w val="0.48354430379746838"/>
          <c:h val="6.081081081081085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PARTICIPACIÓN DE LAS EMPRESAS ESTATALES Y PRIVADAS SEGÚN SU FACTURACIÓN 2023</a:t>
            </a:r>
          </a:p>
        </c:rich>
      </c:tx>
      <c:layout>
        <c:manualLayout>
          <c:xMode val="edge"/>
          <c:yMode val="edge"/>
          <c:x val="0.15585908197118925"/>
          <c:y val="6.8862275449101798E-2"/>
        </c:manualLayout>
      </c:layout>
      <c:overlay val="0"/>
      <c:spPr>
        <a:solidFill>
          <a:srgbClr val="585858"/>
        </a:solidFill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47749959726472E-2"/>
          <c:y val="0.47006056743042346"/>
          <c:w val="0.26052361139657482"/>
          <c:h val="0.27245548812846199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0-9CE2-4D30-A4E2-FC6900BE6FA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CE2-4D30-A4E2-FC6900BE6FA5}"/>
              </c:ext>
            </c:extLst>
          </c:dPt>
          <c:dLbls>
            <c:dLbl>
              <c:idx val="0"/>
              <c:layout>
                <c:manualLayout>
                  <c:x val="2.4066711133055564E-2"/>
                  <c:y val="-4.8245870463796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E2-4D30-A4E2-FC6900BE6FA5}"/>
                </c:ext>
              </c:extLst>
            </c:dLbl>
            <c:dLbl>
              <c:idx val="1"/>
              <c:layout>
                <c:manualLayout>
                  <c:x val="-2.6282292271221874E-2"/>
                  <c:y val="8.8304336209470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2-4D30-A4E2-FC6900BE6F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'9.1'!$E$3:$F$3</c:f>
              <c:strCache>
                <c:ptCount val="2"/>
                <c:pt idx="0">
                  <c:v>Estatal</c:v>
                </c:pt>
                <c:pt idx="1">
                  <c:v>Privada</c:v>
                </c:pt>
              </c:strCache>
            </c:strRef>
          </c:cat>
          <c:val>
            <c:numRef>
              <c:f>'9.1'!$E$12:$F$12</c:f>
              <c:numCache>
                <c:formatCode>#,##0.00</c:formatCode>
                <c:ptCount val="2"/>
                <c:pt idx="0">
                  <c:v>2707.2069884810498</c:v>
                </c:pt>
                <c:pt idx="1">
                  <c:v>7296.1105871007931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E2-4D30-A4E2-FC6900BE6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381489841986456"/>
          <c:y val="5.3435214089363088E-2"/>
          <c:w val="0.69525959367945822"/>
          <c:h val="0.717558589200018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'9.1'!$E$3</c:f>
              <c:strCache>
                <c:ptCount val="1"/>
                <c:pt idx="0">
                  <c:v>Estatal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-1.8082389814140048E-4"/>
                  <c:y val="-1.500270481456993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20%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A49-4FD6-80C2-A61A014FD4FD}"/>
                </c:ext>
              </c:extLst>
            </c:dLbl>
            <c:dLbl>
              <c:idx val="2"/>
              <c:layout>
                <c:manualLayout>
                  <c:x val="2.6846305611347115E-3"/>
                  <c:y val="-1.474224118931698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44%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A49-4FD6-80C2-A61A014FD4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('9.1'!$D$5,'9.1'!$D$7,'9.1'!$D$9)</c:f>
              <c:strCache>
                <c:ptCount val="3"/>
                <c:pt idx="0">
                  <c:v>Generadoras</c:v>
                </c:pt>
                <c:pt idx="1">
                  <c:v>Transmisoras</c:v>
                </c:pt>
                <c:pt idx="2">
                  <c:v>Distribuidoras</c:v>
                </c:pt>
              </c:strCache>
            </c:strRef>
          </c:cat>
          <c:val>
            <c:numRef>
              <c:f>('9.1'!$E$5,'9.1'!$E$7,'9.1'!$E$9)</c:f>
              <c:numCache>
                <c:formatCode>#,##0</c:formatCode>
                <c:ptCount val="3"/>
                <c:pt idx="0" formatCode="#,##0.00">
                  <c:v>834.89879274181953</c:v>
                </c:pt>
                <c:pt idx="1">
                  <c:v>0</c:v>
                </c:pt>
                <c:pt idx="2" formatCode="#,##0.00">
                  <c:v>1872.3081957392305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9-4FD6-80C2-A61A014FD4FD}"/>
            </c:ext>
          </c:extLst>
        </c:ser>
        <c:ser>
          <c:idx val="1"/>
          <c:order val="1"/>
          <c:tx>
            <c:strRef>
              <c:f>'9.1'!$F$3</c:f>
              <c:strCache>
                <c:ptCount val="1"/>
                <c:pt idx="0">
                  <c:v>Privada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812323256874289E-2"/>
                  <c:y val="-2.95306101340402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A49-4FD6-80C2-A61A014FD4FD}"/>
                </c:ext>
              </c:extLst>
            </c:dLbl>
            <c:dLbl>
              <c:idx val="1"/>
              <c:layout>
                <c:manualLayout>
                  <c:x val="3.3111391550096861E-2"/>
                  <c:y val="-1.00936874737624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A49-4FD6-80C2-A61A014FD4FD}"/>
                </c:ext>
              </c:extLst>
            </c:dLbl>
            <c:dLbl>
              <c:idx val="2"/>
              <c:layout>
                <c:manualLayout>
                  <c:x val="1.9085628796964883E-2"/>
                  <c:y val="-9.614140410131918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A49-4FD6-80C2-A61A014FD4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('9.1'!$D$5,'9.1'!$D$7,'9.1'!$D$9)</c:f>
              <c:strCache>
                <c:ptCount val="3"/>
                <c:pt idx="0">
                  <c:v>Generadoras</c:v>
                </c:pt>
                <c:pt idx="1">
                  <c:v>Transmisoras</c:v>
                </c:pt>
                <c:pt idx="2">
                  <c:v>Distribuidoras</c:v>
                </c:pt>
              </c:strCache>
            </c:strRef>
          </c:cat>
          <c:val>
            <c:numRef>
              <c:f>('9.1'!$F$5,'9.1'!$F$7,'9.1'!$F$9)</c:f>
              <c:numCache>
                <c:formatCode>#,##0.00</c:formatCode>
                <c:ptCount val="3"/>
                <c:pt idx="0">
                  <c:v>4140.2448042020378</c:v>
                </c:pt>
                <c:pt idx="1">
                  <c:v>678.57943473874752</c:v>
                </c:pt>
                <c:pt idx="2">
                  <c:v>2477.2863481600079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49-4FD6-80C2-A61A014F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014976"/>
        <c:axId val="62016896"/>
        <c:axId val="0"/>
      </c:bar3DChart>
      <c:catAx>
        <c:axId val="6201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201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16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millones US $</a:t>
                </a:r>
              </a:p>
            </c:rich>
          </c:tx>
          <c:layout>
            <c:manualLayout>
              <c:xMode val="edge"/>
              <c:yMode val="edge"/>
              <c:x val="3.8374812027989098E-2"/>
              <c:y val="0.290076736591132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6201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35895856569729"/>
          <c:y val="0.90188856163971876"/>
          <c:w val="0.53047405015176485"/>
          <c:h val="6.415098875999281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chemeClr val="bg1"/>
                </a:solidFill>
              </a:rPr>
              <a:t>PARTICIPACIÓN  DE LAS EMPRESAS ESTATALES Y PRIVADAS POR SU POTENCIA INSTALADA</a:t>
            </a:r>
          </a:p>
        </c:rich>
      </c:tx>
      <c:layout>
        <c:manualLayout>
          <c:xMode val="edge"/>
          <c:yMode val="edge"/>
          <c:x val="0.13428131496399923"/>
          <c:y val="1.8050961333182635E-2"/>
        </c:manualLayout>
      </c:layout>
      <c:overlay val="0"/>
      <c:spPr>
        <a:solidFill>
          <a:srgbClr val="585858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16447004046647"/>
          <c:y val="0.498195824042165"/>
          <c:w val="0.30173822222153657"/>
          <c:h val="0.2707586000229157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0-9153-441D-9215-2E37A34E5962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153-441D-9215-2E37A34E5962}"/>
              </c:ext>
            </c:extLst>
          </c:dPt>
          <c:dLbls>
            <c:dLbl>
              <c:idx val="0"/>
              <c:layout>
                <c:manualLayout>
                  <c:x val="2.2542711602839927E-2"/>
                  <c:y val="-0.12394347691989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3-441D-9215-2E37A34E5962}"/>
                </c:ext>
              </c:extLst>
            </c:dLbl>
            <c:dLbl>
              <c:idx val="1"/>
              <c:layout>
                <c:manualLayout>
                  <c:x val="-7.0889411927027385E-2"/>
                  <c:y val="5.476494553568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PRIVADA
87%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153-441D-9215-2E37A34E596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'9.2'!$AB$99:$AB$100</c:f>
              <c:strCache>
                <c:ptCount val="2"/>
                <c:pt idx="0">
                  <c:v>ESTATAL</c:v>
                </c:pt>
                <c:pt idx="1">
                  <c:v>PRIVADA</c:v>
                </c:pt>
              </c:strCache>
            </c:strRef>
          </c:cat>
          <c:val>
            <c:numRef>
              <c:f>'9.2'!$AC$99:$AC$100</c:f>
              <c:numCache>
                <c:formatCode>#,##0</c:formatCode>
                <c:ptCount val="2"/>
                <c:pt idx="0">
                  <c:v>1651.1780000000001</c:v>
                </c:pt>
                <c:pt idx="1">
                  <c:v>12762.515000000001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3-441D-9215-2E37A34E5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923861338721027"/>
          <c:y val="6.8807175617504115E-2"/>
          <c:w val="0.77022897144572788"/>
          <c:h val="0.724770642201834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'9.2'!$AE$99</c:f>
              <c:strCache>
                <c:ptCount val="1"/>
                <c:pt idx="0">
                  <c:v>ESTATAL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'9.2'!$AF$97:$AI$97</c:f>
              <c:strCache>
                <c:ptCount val="4"/>
                <c:pt idx="0">
                  <c:v>Hidráulica</c:v>
                </c:pt>
                <c:pt idx="1">
                  <c:v>Térmica</c:v>
                </c:pt>
                <c:pt idx="2">
                  <c:v>Solar</c:v>
                </c:pt>
                <c:pt idx="3">
                  <c:v>Eólica</c:v>
                </c:pt>
              </c:strCache>
            </c:strRef>
          </c:cat>
          <c:val>
            <c:numRef>
              <c:f>'9.2'!$AF$99:$AI$99</c:f>
              <c:numCache>
                <c:formatCode>#,##0</c:formatCode>
                <c:ptCount val="4"/>
                <c:pt idx="0">
                  <c:v>1531.43</c:v>
                </c:pt>
                <c:pt idx="1">
                  <c:v>119.748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2-43D2-BABD-FB97235F3AF0}"/>
            </c:ext>
          </c:extLst>
        </c:ser>
        <c:ser>
          <c:idx val="1"/>
          <c:order val="1"/>
          <c:tx>
            <c:strRef>
              <c:f>'9.2'!$AE$100</c:f>
              <c:strCache>
                <c:ptCount val="1"/>
                <c:pt idx="0">
                  <c:v>PRIVADA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'9.2'!$AF$97:$AI$97</c:f>
              <c:strCache>
                <c:ptCount val="4"/>
                <c:pt idx="0">
                  <c:v>Hidráulica</c:v>
                </c:pt>
                <c:pt idx="1">
                  <c:v>Térmica</c:v>
                </c:pt>
                <c:pt idx="2">
                  <c:v>Solar</c:v>
                </c:pt>
                <c:pt idx="3">
                  <c:v>Eólica</c:v>
                </c:pt>
              </c:strCache>
            </c:strRef>
          </c:cat>
          <c:val>
            <c:numRef>
              <c:f>'9.2'!$AF$100:$AI$100</c:f>
              <c:numCache>
                <c:formatCode>#,##0</c:formatCode>
                <c:ptCount val="4"/>
                <c:pt idx="0">
                  <c:v>3775.1760000000004</c:v>
                </c:pt>
                <c:pt idx="1">
                  <c:v>7571.1930000000002</c:v>
                </c:pt>
                <c:pt idx="2">
                  <c:v>401.15600000000001</c:v>
                </c:pt>
                <c:pt idx="3">
                  <c:v>1014.99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2-43D2-BABD-FB97235F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787008"/>
        <c:axId val="107788928"/>
        <c:axId val="0"/>
      </c:bar3DChart>
      <c:catAx>
        <c:axId val="10778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778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788928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MW</a:t>
                </a:r>
              </a:p>
            </c:rich>
          </c:tx>
          <c:layout>
            <c:manualLayout>
              <c:xMode val="edge"/>
              <c:yMode val="edge"/>
              <c:x val="2.2653862777892622E-2"/>
              <c:y val="0.4311928027068905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7787008"/>
        <c:crosses val="autoZero"/>
        <c:crossBetween val="between"/>
        <c:majorUnit val="400"/>
        <c:min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77367685841177"/>
          <c:y val="0.89449546216361508"/>
          <c:w val="0.65696076773219569"/>
          <c:h val="7.3394364861018913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chemeClr val="bg1"/>
                </a:solidFill>
              </a:rPr>
              <a:t>PARTICIPACIÓN DE LAS EMPRESAS ESTATALES Y PRIVADAS SEGÚN SU PRODUCCIÓN DE ENERGÍA ELÉCTRICA</a:t>
            </a:r>
          </a:p>
        </c:rich>
      </c:tx>
      <c:overlay val="0"/>
      <c:spPr>
        <a:solidFill>
          <a:srgbClr val="585858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prstMaterial="plastic">
          <a:bevelT w="50800" h="50800"/>
        </a:sp3d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6311306157153E-2"/>
          <c:y val="0.54226852026271832"/>
          <c:w val="0.39365589864647199"/>
          <c:h val="0.30499943487925252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0-C117-4833-B8E4-3D636EE7950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C117-4833-B8E4-3D636EE7950E}"/>
              </c:ext>
            </c:extLst>
          </c:dPt>
          <c:dLbls>
            <c:dLbl>
              <c:idx val="0"/>
              <c:layout>
                <c:manualLayout>
                  <c:x val="-4.7570039660535392E-2"/>
                  <c:y val="-0.16413593037712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17-4833-B8E4-3D636EE7950E}"/>
                </c:ext>
              </c:extLst>
            </c:dLbl>
            <c:dLbl>
              <c:idx val="1"/>
              <c:layout>
                <c:manualLayout>
                  <c:x val="2.8901670516185515E-2"/>
                  <c:y val="-0.24252042380063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17-4833-B8E4-3D636EE7950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'9.2'!$AB$104:$AB$105</c:f>
              <c:strCache>
                <c:ptCount val="2"/>
                <c:pt idx="0">
                  <c:v>ESTATAL</c:v>
                </c:pt>
                <c:pt idx="1">
                  <c:v>PRIVADA</c:v>
                </c:pt>
              </c:strCache>
            </c:strRef>
          </c:cat>
          <c:val>
            <c:numRef>
              <c:f>'9.2'!$AC$104:$AC$105</c:f>
              <c:numCache>
                <c:formatCode>#,##0</c:formatCode>
                <c:ptCount val="2"/>
                <c:pt idx="0">
                  <c:v>9056.0075270000016</c:v>
                </c:pt>
                <c:pt idx="1">
                  <c:v>49971.584080082503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7-4833-B8E4-3D636EE79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hPercent val="51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09662971233075"/>
          <c:y val="8.4507429703224501E-2"/>
          <c:w val="0.85711416669931184"/>
          <c:h val="0.6948388664487348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'9.2'!$AE$104</c:f>
              <c:strCache>
                <c:ptCount val="1"/>
                <c:pt idx="0">
                  <c:v>ESTATAL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'9.2'!$AF$103:$AI$103</c:f>
              <c:strCache>
                <c:ptCount val="4"/>
                <c:pt idx="0">
                  <c:v>Hidráulica</c:v>
                </c:pt>
                <c:pt idx="1">
                  <c:v>Térmica</c:v>
                </c:pt>
                <c:pt idx="2">
                  <c:v>Solar</c:v>
                </c:pt>
                <c:pt idx="3">
                  <c:v>Eólica</c:v>
                </c:pt>
              </c:strCache>
            </c:strRef>
          </c:cat>
          <c:val>
            <c:numRef>
              <c:f>'9.2'!$AF$104:$AI$104</c:f>
              <c:numCache>
                <c:formatCode>#,##0</c:formatCode>
                <c:ptCount val="4"/>
                <c:pt idx="0">
                  <c:v>8936.6428330000017</c:v>
                </c:pt>
                <c:pt idx="1">
                  <c:v>119.364694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8-473F-865B-78315411A9C5}"/>
            </c:ext>
          </c:extLst>
        </c:ser>
        <c:ser>
          <c:idx val="1"/>
          <c:order val="1"/>
          <c:tx>
            <c:strRef>
              <c:f>'9.2'!$AE$105</c:f>
              <c:strCache>
                <c:ptCount val="1"/>
                <c:pt idx="0">
                  <c:v>PRIVADA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'9.2'!$AF$103:$AI$103</c:f>
              <c:strCache>
                <c:ptCount val="4"/>
                <c:pt idx="0">
                  <c:v>Hidráulica</c:v>
                </c:pt>
                <c:pt idx="1">
                  <c:v>Térmica</c:v>
                </c:pt>
                <c:pt idx="2">
                  <c:v>Solar</c:v>
                </c:pt>
                <c:pt idx="3">
                  <c:v>Eólica</c:v>
                </c:pt>
              </c:strCache>
            </c:strRef>
          </c:cat>
          <c:val>
            <c:numRef>
              <c:f>'9.2'!$AF$105:$AI$105</c:f>
              <c:numCache>
                <c:formatCode>#,##0</c:formatCode>
                <c:ptCount val="4"/>
                <c:pt idx="0">
                  <c:v>19180.131401082501</c:v>
                </c:pt>
                <c:pt idx="1">
                  <c:v>27480.969127000004</c:v>
                </c:pt>
                <c:pt idx="2">
                  <c:v>956.39319499999999</c:v>
                </c:pt>
                <c:pt idx="3">
                  <c:v>2354.090357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8-473F-865B-78315411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185664"/>
        <c:axId val="130429696"/>
        <c:axId val="0"/>
      </c:bar3DChart>
      <c:catAx>
        <c:axId val="12718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4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29696"/>
        <c:scaling>
          <c:orientation val="minMax"/>
          <c:max val="15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E"/>
                  <a:t>GWh</a:t>
                </a:r>
              </a:p>
            </c:rich>
          </c:tx>
          <c:layout>
            <c:manualLayout>
              <c:xMode val="edge"/>
              <c:yMode val="edge"/>
              <c:x val="1.7103024284126647E-2"/>
              <c:y val="0.446543448535998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7185664"/>
        <c:crosses val="autoZero"/>
        <c:crossBetween val="between"/>
        <c:majorUnit val="2500"/>
        <c:min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226081199309546"/>
          <c:y val="0.88584877489116265"/>
          <c:w val="0.53954950225816378"/>
          <c:h val="7.7625850660882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256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chemeClr val="bg1"/>
                </a:solidFill>
                <a:latin typeface="Century Gothic" panose="020B0502020202020204" pitchFamily="34" charset="0"/>
                <a:ea typeface="Arial"/>
                <a:cs typeface="Arial"/>
              </a:defRPr>
            </a:pPr>
            <a:r>
              <a:rPr lang="es-PE" sz="1100">
                <a:solidFill>
                  <a:schemeClr val="bg1"/>
                </a:solidFill>
                <a:latin typeface="Century Gothic" panose="020B0502020202020204" pitchFamily="34" charset="0"/>
              </a:rPr>
              <a:t>PARTICIPACIÓN  DE LAS EMPRESAS PRIVADAS SEGÚN LONGITUD DE LÍNEAS DE TRANMISIÓN EN 500,  220 y 138 kV</a:t>
            </a:r>
          </a:p>
        </c:rich>
      </c:tx>
      <c:layout>
        <c:manualLayout>
          <c:xMode val="edge"/>
          <c:yMode val="edge"/>
          <c:x val="0.10583455094261916"/>
          <c:y val="3.1373361208260876E-2"/>
        </c:manualLayout>
      </c:layout>
      <c:overlay val="0"/>
      <c:spPr>
        <a:solidFill>
          <a:srgbClr val="585858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002801373942902"/>
          <c:y val="0.28323739392921604"/>
          <c:w val="0.56154985945855407"/>
          <c:h val="0.6011569177273157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46275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8D-4362-A9D4-62B2766D98C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8D-4362-A9D4-62B2766D98C5}"/>
              </c:ext>
            </c:extLst>
          </c:dPt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'9.3'!$U$37:$W$37</c:f>
              <c:numCache>
                <c:formatCode>#,##0.00</c:formatCode>
                <c:ptCount val="3"/>
                <c:pt idx="0">
                  <c:v>3167.42</c:v>
                </c:pt>
                <c:pt idx="1">
                  <c:v>10280.975999999999</c:v>
                </c:pt>
                <c:pt idx="2">
                  <c:v>2250.3786599999994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D-4362-A9D4-62B2766D98C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.19148266322844792"/>
                  <c:y val="-0.5144001177474070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D-4362-A9D4-62B2766D98C5}"/>
                </c:ext>
              </c:extLst>
            </c:dLbl>
            <c:dLbl>
              <c:idx val="1"/>
              <c:layout>
                <c:manualLayout>
                  <c:x val="0.19309571798354999"/>
                  <c:y val="-9.7755174058685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8D-4362-A9D4-62B2766D98C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'9.3'!$V$36:$W$36</c:f>
              <c:numCache>
                <c:formatCode>0%</c:formatCode>
                <c:ptCount val="2"/>
                <c:pt idx="0">
                  <c:v>0.65489034798337564</c:v>
                </c:pt>
                <c:pt idx="1">
                  <c:v>0.14334740823651007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8D-4362-A9D4-62B2766D98C5}"/>
            </c:ext>
          </c:extLst>
        </c:ser>
        <c:ser>
          <c:idx val="2"/>
          <c:order val="2"/>
          <c:spPr>
            <a:gradFill rotWithShape="0">
              <a:gsLst>
                <a:gs pos="0">
                  <a:srgbClr val="99CC00">
                    <a:gamma/>
                    <a:shade val="46275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8D-4362-A9D4-62B2766D98C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8D-4362-A9D4-62B2766D98C5}"/>
              </c:ext>
            </c:extLst>
          </c:dPt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'9.3'!$U$37:$W$37</c:f>
              <c:numCache>
                <c:formatCode>#,##0.00</c:formatCode>
                <c:ptCount val="3"/>
                <c:pt idx="0">
                  <c:v>3167.42</c:v>
                </c:pt>
                <c:pt idx="1">
                  <c:v>10280.975999999999</c:v>
                </c:pt>
                <c:pt idx="2">
                  <c:v>2250.3786599999994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8D-4362-A9D4-62B2766D98C5}"/>
            </c:ext>
          </c:extLst>
        </c:ser>
        <c:ser>
          <c:idx val="3"/>
          <c:order val="3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'9.3'!$V$36:$W$36</c:f>
              <c:numCache>
                <c:formatCode>0%</c:formatCode>
                <c:ptCount val="2"/>
                <c:pt idx="0">
                  <c:v>0.65489034798337564</c:v>
                </c:pt>
                <c:pt idx="1">
                  <c:v>0.14334740823651007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8D-4362-A9D4-62B2766D98C5}"/>
            </c:ext>
          </c:extLst>
        </c:ser>
        <c:ser>
          <c:idx val="4"/>
          <c:order val="4"/>
          <c:spPr>
            <a:gradFill rotWithShape="0">
              <a:gsLst>
                <a:gs pos="0">
                  <a:srgbClr val="99CC00">
                    <a:gamma/>
                    <a:shade val="46275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58D-4362-A9D4-62B2766D98C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8D-4362-A9D4-62B2766D98C5}"/>
              </c:ext>
            </c:extLst>
          </c:dPt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'9.3'!$U$37:$W$37</c:f>
              <c:numCache>
                <c:formatCode>#,##0.00</c:formatCode>
                <c:ptCount val="3"/>
                <c:pt idx="0">
                  <c:v>3167.42</c:v>
                </c:pt>
                <c:pt idx="1">
                  <c:v>10280.975999999999</c:v>
                </c:pt>
                <c:pt idx="2">
                  <c:v>2250.3786599999994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8D-4362-A9D4-62B2766D98C5}"/>
            </c:ext>
          </c:extLst>
        </c:ser>
        <c:ser>
          <c:idx val="5"/>
          <c:order val="5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'9.3'!$V$36:$W$36</c:f>
              <c:numCache>
                <c:formatCode>0%</c:formatCode>
                <c:ptCount val="2"/>
                <c:pt idx="0">
                  <c:v>0.65489034798337564</c:v>
                </c:pt>
                <c:pt idx="1">
                  <c:v>0.14334740823651007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8D-4362-A9D4-62B2766D98C5}"/>
            </c:ext>
          </c:extLst>
        </c:ser>
        <c:ser>
          <c:idx val="6"/>
          <c:order val="6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'9.3'!$U$37:$W$37</c:f>
              <c:numCache>
                <c:formatCode>#,##0.00</c:formatCode>
                <c:ptCount val="3"/>
                <c:pt idx="0">
                  <c:v>3167.42</c:v>
                </c:pt>
                <c:pt idx="1">
                  <c:v>10280.975999999999</c:v>
                </c:pt>
                <c:pt idx="2">
                  <c:v>2250.3786599999994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8D-4362-A9D4-62B2766D98C5}"/>
            </c:ext>
          </c:extLst>
        </c:ser>
        <c:ser>
          <c:idx val="7"/>
          <c:order val="7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'9.3'!$U$35:$W$35</c:f>
              <c:strCache>
                <c:ptCount val="3"/>
                <c:pt idx="0">
                  <c:v>500 kV</c:v>
                </c:pt>
                <c:pt idx="1">
                  <c:v>220 kV</c:v>
                </c:pt>
                <c:pt idx="2">
                  <c:v>138 kV</c:v>
                </c:pt>
              </c:strCache>
            </c:strRef>
          </c:cat>
          <c:val>
            <c:numRef>
              <c:f>'9.3'!$V$36:$W$36</c:f>
              <c:numCache>
                <c:formatCode>0%</c:formatCode>
                <c:ptCount val="2"/>
                <c:pt idx="0">
                  <c:v>0.65489034798337564</c:v>
                </c:pt>
                <c:pt idx="1">
                  <c:v>0.14334740823651007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8D-4362-A9D4-62B2766D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29856"/>
        <c:axId val="43135744"/>
      </c:barChart>
      <c:catAx>
        <c:axId val="431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13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357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km</a:t>
                </a:r>
              </a:p>
            </c:rich>
          </c:tx>
          <c:layout>
            <c:manualLayout>
              <c:xMode val="edge"/>
              <c:yMode val="edge"/>
              <c:x val="0.14384529776498448"/>
              <c:y val="0.54913398598897756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3129856"/>
        <c:crosses val="autoZero"/>
        <c:crossBetween val="between"/>
      </c:valAx>
      <c:spPr>
        <a:noFill/>
        <a:ln w="3175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t>PARTICIPACIÓN POR EMPRESA TRANSMISORA 2001</a:t>
            </a:r>
          </a:p>
        </c:rich>
      </c:tx>
      <c:overlay val="0"/>
      <c:spPr>
        <a:solidFill>
          <a:srgbClr val="333399"/>
        </a:solidFill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A7-48D2-9BAA-0223BEF10135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A7-48D2-9BAA-0223BEF10135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7-48D2-9BAA-0223BEF10135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7-48D2-9BAA-0223BEF10135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7-48D2-9BAA-0223BEF10135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7-48D2-9BAA-0223BEF10135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7-48D2-9BAA-0223BEF10135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A7-48D2-9BAA-0223BEF1013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OTROS
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9A7-48D2-9BAA-0223BEF101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9A7-48D2-9BAA-0223BEF1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39</xdr:row>
      <xdr:rowOff>104775</xdr:rowOff>
    </xdr:from>
    <xdr:to>
      <xdr:col>9</xdr:col>
      <xdr:colOff>666750</xdr:colOff>
      <xdr:row>64</xdr:row>
      <xdr:rowOff>104775</xdr:rowOff>
    </xdr:to>
    <xdr:graphicFrame macro="">
      <xdr:nvGraphicFramePr>
        <xdr:cNvPr id="6900908" name="Chart 3">
          <a:extLst>
            <a:ext uri="{FF2B5EF4-FFF2-40B4-BE49-F238E27FC236}">
              <a16:creationId xmlns:a16="http://schemas.microsoft.com/office/drawing/2014/main" id="{00000000-0008-0000-0000-0000AC4C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18</xdr:row>
      <xdr:rowOff>28575</xdr:rowOff>
    </xdr:from>
    <xdr:to>
      <xdr:col>9</xdr:col>
      <xdr:colOff>828675</xdr:colOff>
      <xdr:row>37</xdr:row>
      <xdr:rowOff>95250</xdr:rowOff>
    </xdr:to>
    <xdr:graphicFrame macro="">
      <xdr:nvGraphicFramePr>
        <xdr:cNvPr id="6900909" name="Chart 1">
          <a:extLst>
            <a:ext uri="{FF2B5EF4-FFF2-40B4-BE49-F238E27FC236}">
              <a16:creationId xmlns:a16="http://schemas.microsoft.com/office/drawing/2014/main" id="{00000000-0008-0000-0000-0000AD4C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704850</xdr:colOff>
      <xdr:row>22</xdr:row>
      <xdr:rowOff>85726</xdr:rowOff>
    </xdr:from>
    <xdr:to>
      <xdr:col>3</xdr:col>
      <xdr:colOff>590550</xdr:colOff>
      <xdr:row>24</xdr:row>
      <xdr:rowOff>9526</xdr:rowOff>
    </xdr:to>
    <xdr:sp macro="" textlink="">
      <xdr:nvSpPr>
        <xdr:cNvPr id="16388" name="Text Box 4">
          <a:extLst>
            <a:ext uri="{FF2B5EF4-FFF2-40B4-BE49-F238E27FC236}">
              <a16:creationId xmlns:a16="http://schemas.microsoft.com/office/drawing/2014/main" id="{00000000-0008-0000-0000-000004400000}"/>
            </a:ext>
          </a:extLst>
        </xdr:cNvPr>
        <xdr:cNvSpPr txBox="1">
          <a:spLocks noChangeArrowheads="1"/>
        </xdr:cNvSpPr>
      </xdr:nvSpPr>
      <xdr:spPr bwMode="auto">
        <a:xfrm>
          <a:off x="704850" y="4533901"/>
          <a:ext cx="2171700" cy="24765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chemeClr val="tx1"/>
              </a:solidFill>
              <a:latin typeface="Arial"/>
              <a:cs typeface="Arial"/>
            </a:rPr>
            <a:t>TOTAL : US$  10 000,32 Millones</a:t>
          </a:r>
          <a:endParaRPr lang="es-PE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457200</xdr:colOff>
      <xdr:row>21</xdr:row>
      <xdr:rowOff>104775</xdr:rowOff>
    </xdr:from>
    <xdr:to>
      <xdr:col>9</xdr:col>
      <xdr:colOff>561975</xdr:colOff>
      <xdr:row>36</xdr:row>
      <xdr:rowOff>133350</xdr:rowOff>
    </xdr:to>
    <xdr:graphicFrame macro="">
      <xdr:nvGraphicFramePr>
        <xdr:cNvPr id="6900911" name="Chart 2">
          <a:extLst>
            <a:ext uri="{FF2B5EF4-FFF2-40B4-BE49-F238E27FC236}">
              <a16:creationId xmlns:a16="http://schemas.microsoft.com/office/drawing/2014/main" id="{00000000-0008-0000-0000-0000AF4C6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93</xdr:row>
      <xdr:rowOff>123825</xdr:rowOff>
    </xdr:from>
    <xdr:to>
      <xdr:col>8</xdr:col>
      <xdr:colOff>361950</xdr:colOff>
      <xdr:row>109</xdr:row>
      <xdr:rowOff>142875</xdr:rowOff>
    </xdr:to>
    <xdr:graphicFrame macro="">
      <xdr:nvGraphicFramePr>
        <xdr:cNvPr id="6631987" name="Chart 1">
          <a:extLst>
            <a:ext uri="{FF2B5EF4-FFF2-40B4-BE49-F238E27FC236}">
              <a16:creationId xmlns:a16="http://schemas.microsoft.com/office/drawing/2014/main" id="{00000000-0008-0000-0100-000033326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3314700</xdr:colOff>
      <xdr:row>96</xdr:row>
      <xdr:rowOff>95250</xdr:rowOff>
    </xdr:from>
    <xdr:to>
      <xdr:col>8</xdr:col>
      <xdr:colOff>161925</xdr:colOff>
      <xdr:row>109</xdr:row>
      <xdr:rowOff>38100</xdr:rowOff>
    </xdr:to>
    <xdr:graphicFrame macro="">
      <xdr:nvGraphicFramePr>
        <xdr:cNvPr id="6631988" name="Chart 2">
          <a:extLst>
            <a:ext uri="{FF2B5EF4-FFF2-40B4-BE49-F238E27FC236}">
              <a16:creationId xmlns:a16="http://schemas.microsoft.com/office/drawing/2014/main" id="{00000000-0008-0000-0100-000034326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609600</xdr:colOff>
      <xdr:row>97</xdr:row>
      <xdr:rowOff>85725</xdr:rowOff>
    </xdr:from>
    <xdr:to>
      <xdr:col>2</xdr:col>
      <xdr:colOff>2409825</xdr:colOff>
      <xdr:row>98</xdr:row>
      <xdr:rowOff>152400</xdr:rowOff>
    </xdr:to>
    <xdr:sp macro="" textlink="">
      <xdr:nvSpPr>
        <xdr:cNvPr id="10383" name="Text Box 21">
          <a:extLst>
            <a:ext uri="{FF2B5EF4-FFF2-40B4-BE49-F238E27FC236}">
              <a16:creationId xmlns:a16="http://schemas.microsoft.com/office/drawing/2014/main" id="{00000000-0008-0000-0100-00008F280000}"/>
            </a:ext>
          </a:extLst>
        </xdr:cNvPr>
        <xdr:cNvSpPr txBox="1">
          <a:spLocks noChangeArrowheads="1"/>
        </xdr:cNvSpPr>
      </xdr:nvSpPr>
      <xdr:spPr bwMode="auto">
        <a:xfrm>
          <a:off x="1219200" y="11487150"/>
          <a:ext cx="1800225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TOTAL: 14 414 MW</a:t>
          </a:r>
          <a:endParaRPr lang="es-PE"/>
        </a:p>
      </xdr:txBody>
    </xdr:sp>
    <xdr:clientData/>
  </xdr:twoCellAnchor>
  <xdr:twoCellAnchor>
    <xdr:from>
      <xdr:col>11</xdr:col>
      <xdr:colOff>123825</xdr:colOff>
      <xdr:row>93</xdr:row>
      <xdr:rowOff>123825</xdr:rowOff>
    </xdr:from>
    <xdr:to>
      <xdr:col>23</xdr:col>
      <xdr:colOff>914400</xdr:colOff>
      <xdr:row>109</xdr:row>
      <xdr:rowOff>142875</xdr:rowOff>
    </xdr:to>
    <xdr:graphicFrame macro="">
      <xdr:nvGraphicFramePr>
        <xdr:cNvPr id="6631990" name="Chart 3">
          <a:extLst>
            <a:ext uri="{FF2B5EF4-FFF2-40B4-BE49-F238E27FC236}">
              <a16:creationId xmlns:a16="http://schemas.microsoft.com/office/drawing/2014/main" id="{00000000-0008-0000-0100-000036326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561975</xdr:colOff>
      <xdr:row>96</xdr:row>
      <xdr:rowOff>133350</xdr:rowOff>
    </xdr:from>
    <xdr:to>
      <xdr:col>23</xdr:col>
      <xdr:colOff>885825</xdr:colOff>
      <xdr:row>109</xdr:row>
      <xdr:rowOff>95250</xdr:rowOff>
    </xdr:to>
    <xdr:graphicFrame macro="">
      <xdr:nvGraphicFramePr>
        <xdr:cNvPr id="6631991" name="Chart 4">
          <a:extLst>
            <a:ext uri="{FF2B5EF4-FFF2-40B4-BE49-F238E27FC236}">
              <a16:creationId xmlns:a16="http://schemas.microsoft.com/office/drawing/2014/main" id="{00000000-0008-0000-0100-000037326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261827</xdr:colOff>
      <xdr:row>104</xdr:row>
      <xdr:rowOff>41900</xdr:rowOff>
    </xdr:from>
    <xdr:to>
      <xdr:col>6</xdr:col>
      <xdr:colOff>615080</xdr:colOff>
      <xdr:row>105</xdr:row>
      <xdr:rowOff>70474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672152" y="20701625"/>
          <a:ext cx="353253" cy="190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6</xdr:col>
      <xdr:colOff>111546</xdr:colOff>
      <xdr:row>104</xdr:row>
      <xdr:rowOff>127261</xdr:rowOff>
    </xdr:from>
    <xdr:to>
      <xdr:col>6</xdr:col>
      <xdr:colOff>384653</xdr:colOff>
      <xdr:row>105</xdr:row>
      <xdr:rowOff>155836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6521871" y="20786986"/>
          <a:ext cx="273107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0%</a:t>
          </a:r>
        </a:p>
      </xdr:txBody>
    </xdr:sp>
    <xdr:clientData/>
  </xdr:twoCellAnchor>
  <xdr:twoCellAnchor>
    <xdr:from>
      <xdr:col>21</xdr:col>
      <xdr:colOff>244336</xdr:colOff>
      <xdr:row>105</xdr:row>
      <xdr:rowOff>56737</xdr:rowOff>
    </xdr:from>
    <xdr:to>
      <xdr:col>21</xdr:col>
      <xdr:colOff>423677</xdr:colOff>
      <xdr:row>106</xdr:row>
      <xdr:rowOff>47206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7293258" y="24825050"/>
          <a:ext cx="179341" cy="235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0%</a:t>
          </a:r>
        </a:p>
      </xdr:txBody>
    </xdr:sp>
    <xdr:clientData/>
  </xdr:twoCellAnchor>
  <xdr:twoCellAnchor>
    <xdr:from>
      <xdr:col>21</xdr:col>
      <xdr:colOff>475836</xdr:colOff>
      <xdr:row>104</xdr:row>
      <xdr:rowOff>197126</xdr:rowOff>
    </xdr:from>
    <xdr:to>
      <xdr:col>21</xdr:col>
      <xdr:colOff>835301</xdr:colOff>
      <xdr:row>105</xdr:row>
      <xdr:rowOff>168551</xdr:rowOff>
    </xdr:to>
    <xdr:sp macro="" textlink="">
      <xdr:nvSpPr>
        <xdr:cNvPr id="11" name="Text Box 2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7524758" y="24720274"/>
          <a:ext cx="359465" cy="21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7</xdr:col>
      <xdr:colOff>441374</xdr:colOff>
      <xdr:row>104</xdr:row>
      <xdr:rowOff>22120</xdr:rowOff>
    </xdr:from>
    <xdr:to>
      <xdr:col>8</xdr:col>
      <xdr:colOff>56079</xdr:colOff>
      <xdr:row>105</xdr:row>
      <xdr:rowOff>135112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489874" y="24190220"/>
          <a:ext cx="351305" cy="354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7</xdr:col>
      <xdr:colOff>196720</xdr:colOff>
      <xdr:row>104</xdr:row>
      <xdr:rowOff>199360</xdr:rowOff>
    </xdr:from>
    <xdr:to>
      <xdr:col>7</xdr:col>
      <xdr:colOff>408698</xdr:colOff>
      <xdr:row>105</xdr:row>
      <xdr:rowOff>227935</xdr:rowOff>
    </xdr:to>
    <xdr:sp macro="" textlink="">
      <xdr:nvSpPr>
        <xdr:cNvPr id="13" name="Text Box 2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45220" y="24367460"/>
          <a:ext cx="211978" cy="26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0%</a:t>
          </a:r>
        </a:p>
      </xdr:txBody>
    </xdr:sp>
    <xdr:clientData/>
  </xdr:twoCellAnchor>
  <xdr:twoCellAnchor>
    <xdr:from>
      <xdr:col>22</xdr:col>
      <xdr:colOff>513935</xdr:colOff>
      <xdr:row>104</xdr:row>
      <xdr:rowOff>94422</xdr:rowOff>
    </xdr:from>
    <xdr:to>
      <xdr:col>23</xdr:col>
      <xdr:colOff>263800</xdr:colOff>
      <xdr:row>105</xdr:row>
      <xdr:rowOff>65847</xdr:rowOff>
    </xdr:to>
    <xdr:sp macro="" textlink="">
      <xdr:nvSpPr>
        <xdr:cNvPr id="14" name="Text Box 2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18477257" y="24617570"/>
          <a:ext cx="359465" cy="21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100%</a:t>
          </a:r>
        </a:p>
      </xdr:txBody>
    </xdr:sp>
    <xdr:clientData/>
  </xdr:twoCellAnchor>
  <xdr:twoCellAnchor>
    <xdr:from>
      <xdr:col>22</xdr:col>
      <xdr:colOff>238952</xdr:colOff>
      <xdr:row>105</xdr:row>
      <xdr:rowOff>54667</xdr:rowOff>
    </xdr:from>
    <xdr:to>
      <xdr:col>22</xdr:col>
      <xdr:colOff>598417</xdr:colOff>
      <xdr:row>106</xdr:row>
      <xdr:rowOff>26092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8202274" y="24822980"/>
          <a:ext cx="359465" cy="21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0%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0.47215</cdr:x>
      <cdr:y>0.61037</cdr:y>
    </cdr:from>
    <cdr:to>
      <cdr:x>0.55098</cdr:x>
      <cdr:y>0.66979</cdr:y>
    </cdr:to>
    <cdr:sp macro="" textlink="">
      <cdr:nvSpPr>
        <cdr:cNvPr id="12288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83262" y="1879776"/>
          <a:ext cx="331128" cy="1829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0.28089</cdr:x>
      <cdr:y>0.43175</cdr:y>
    </cdr:from>
    <cdr:to>
      <cdr:x>0.36822</cdr:x>
      <cdr:y>0.50452</cdr:y>
    </cdr:to>
    <cdr:sp macro="" textlink="">
      <cdr:nvSpPr>
        <cdr:cNvPr id="122886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9876" y="1329681"/>
          <a:ext cx="366831" cy="224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32%</a:t>
          </a:r>
        </a:p>
      </cdr:txBody>
    </cdr:sp>
  </cdr:relSizeAnchor>
  <cdr:relSizeAnchor xmlns:cdr="http://schemas.openxmlformats.org/drawingml/2006/chartDrawing">
    <cdr:from>
      <cdr:x>0.34895</cdr:x>
      <cdr:y>0.11002</cdr:y>
    </cdr:from>
    <cdr:to>
      <cdr:x>0.42951</cdr:x>
      <cdr:y>0.18255</cdr:y>
    </cdr:to>
    <cdr:sp macro="" textlink="">
      <cdr:nvSpPr>
        <cdr:cNvPr id="12288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4020" y="344372"/>
          <a:ext cx="337994" cy="227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68%</a:t>
          </a:r>
        </a:p>
      </cdr:txBody>
    </cdr:sp>
  </cdr:relSizeAnchor>
  <cdr:relSizeAnchor xmlns:cdr="http://schemas.openxmlformats.org/drawingml/2006/chartDrawing">
    <cdr:from>
      <cdr:x>0.53922</cdr:x>
      <cdr:y>0.01699</cdr:y>
    </cdr:from>
    <cdr:to>
      <cdr:x>0.62318</cdr:x>
      <cdr:y>0.08976</cdr:y>
    </cdr:to>
    <cdr:sp macro="" textlink="">
      <cdr:nvSpPr>
        <cdr:cNvPr id="122888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9307" y="35279"/>
          <a:ext cx="334658" cy="151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98%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0.05408</cdr:x>
      <cdr:y>0.27923</cdr:y>
    </cdr:from>
    <cdr:to>
      <cdr:x>0.36825</cdr:x>
      <cdr:y>0.40612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993" y="1111743"/>
          <a:ext cx="2974515" cy="505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TOTAL: 59 028 GWh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0.40795</cdr:x>
      <cdr:y>0.66821</cdr:y>
    </cdr:from>
    <cdr:to>
      <cdr:x>0.45504</cdr:x>
      <cdr:y>0.74175</cdr:y>
    </cdr:to>
    <cdr:sp macro="" textlink="">
      <cdr:nvSpPr>
        <cdr:cNvPr id="12083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6192" y="2104214"/>
          <a:ext cx="255819" cy="231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0.47033</cdr:x>
      <cdr:y>0.04729</cdr:y>
    </cdr:from>
    <cdr:to>
      <cdr:x>0.54152</cdr:x>
      <cdr:y>0.12031</cdr:y>
    </cdr:to>
    <cdr:sp macro="" textlink="">
      <cdr:nvSpPr>
        <cdr:cNvPr id="120836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5092" y="148916"/>
          <a:ext cx="386744" cy="229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99%</a:t>
          </a:r>
        </a:p>
        <a:p xmlns:a="http://schemas.openxmlformats.org/drawingml/2006/main">
          <a:pPr algn="l" rtl="0"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0.26354</cdr:x>
      <cdr:y>0.0481</cdr:y>
    </cdr:from>
    <cdr:to>
      <cdr:x>0.36376</cdr:x>
      <cdr:y>0.11186</cdr:y>
    </cdr:to>
    <cdr:sp macro="" textlink="">
      <cdr:nvSpPr>
        <cdr:cNvPr id="120839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1685" y="151479"/>
          <a:ext cx="544451" cy="200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63%</a:t>
          </a:r>
        </a:p>
      </cdr:txBody>
    </cdr:sp>
  </cdr:relSizeAnchor>
  <cdr:relSizeAnchor xmlns:cdr="http://schemas.openxmlformats.org/drawingml/2006/chartDrawing">
    <cdr:from>
      <cdr:x>0.21529</cdr:x>
      <cdr:y>0.24809</cdr:y>
    </cdr:from>
    <cdr:to>
      <cdr:x>0.29133</cdr:x>
      <cdr:y>0.32111</cdr:y>
    </cdr:to>
    <cdr:sp macro="" textlink="">
      <cdr:nvSpPr>
        <cdr:cNvPr id="120840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558" y="781235"/>
          <a:ext cx="413092" cy="229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37%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38</xdr:row>
      <xdr:rowOff>123825</xdr:rowOff>
    </xdr:from>
    <xdr:to>
      <xdr:col>11</xdr:col>
      <xdr:colOff>323850</xdr:colOff>
      <xdr:row>62</xdr:row>
      <xdr:rowOff>152400</xdr:rowOff>
    </xdr:to>
    <xdr:graphicFrame macro="">
      <xdr:nvGraphicFramePr>
        <xdr:cNvPr id="6433089" name="Chart 1">
          <a:extLst>
            <a:ext uri="{FF2B5EF4-FFF2-40B4-BE49-F238E27FC236}">
              <a16:creationId xmlns:a16="http://schemas.microsoft.com/office/drawing/2014/main" id="{00000000-0008-0000-0200-000041296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649380</xdr:colOff>
      <xdr:row>42</xdr:row>
      <xdr:rowOff>103094</xdr:rowOff>
    </xdr:from>
    <xdr:to>
      <xdr:col>7</xdr:col>
      <xdr:colOff>754155</xdr:colOff>
      <xdr:row>44</xdr:row>
      <xdr:rowOff>26894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736851" y="6064623"/>
          <a:ext cx="1539128" cy="237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TOTAL: 15 698 km.</a:t>
          </a:r>
        </a:p>
      </xdr:txBody>
    </xdr:sp>
    <xdr:clientData/>
  </xdr:twoCellAnchor>
  <xdr:twoCellAnchor>
    <xdr:from>
      <xdr:col>51</xdr:col>
      <xdr:colOff>247650</xdr:colOff>
      <xdr:row>0</xdr:row>
      <xdr:rowOff>0</xdr:rowOff>
    </xdr:from>
    <xdr:to>
      <xdr:col>60</xdr:col>
      <xdr:colOff>485775</xdr:colOff>
      <xdr:row>0</xdr:row>
      <xdr:rowOff>0</xdr:rowOff>
    </xdr:to>
    <xdr:graphicFrame macro="">
      <xdr:nvGraphicFramePr>
        <xdr:cNvPr id="6433091" name="Chart 4">
          <a:extLst>
            <a:ext uri="{FF2B5EF4-FFF2-40B4-BE49-F238E27FC236}">
              <a16:creationId xmlns:a16="http://schemas.microsoft.com/office/drawing/2014/main" id="{00000000-0008-0000-0200-000043296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941916</xdr:colOff>
      <xdr:row>67</xdr:row>
      <xdr:rowOff>104775</xdr:rowOff>
    </xdr:from>
    <xdr:to>
      <xdr:col>11</xdr:col>
      <xdr:colOff>351366</xdr:colOff>
      <xdr:row>95</xdr:row>
      <xdr:rowOff>9525</xdr:rowOff>
    </xdr:to>
    <xdr:graphicFrame macro="">
      <xdr:nvGraphicFramePr>
        <xdr:cNvPr id="6433092" name="Chart 5">
          <a:extLst>
            <a:ext uri="{FF2B5EF4-FFF2-40B4-BE49-F238E27FC236}">
              <a16:creationId xmlns:a16="http://schemas.microsoft.com/office/drawing/2014/main" id="{00000000-0008-0000-0200-000044296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99989</xdr:colOff>
      <xdr:row>55</xdr:row>
      <xdr:rowOff>64991</xdr:rowOff>
    </xdr:from>
    <xdr:to>
      <xdr:col>4</xdr:col>
      <xdr:colOff>621039</xdr:colOff>
      <xdr:row>57</xdr:row>
      <xdr:rowOff>31879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63706" y="10625317"/>
          <a:ext cx="521050" cy="29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200" b="1">
              <a:latin typeface="Arial" pitchFamily="34" charset="0"/>
              <a:cs typeface="Arial" pitchFamily="34" charset="0"/>
            </a:rPr>
            <a:t>18%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142875</xdr:rowOff>
    </xdr:from>
    <xdr:to>
      <xdr:col>5</xdr:col>
      <xdr:colOff>409575</xdr:colOff>
      <xdr:row>72</xdr:row>
      <xdr:rowOff>76200</xdr:rowOff>
    </xdr:to>
    <xdr:graphicFrame macro="">
      <xdr:nvGraphicFramePr>
        <xdr:cNvPr id="6807726" name="Chart 1">
          <a:extLst>
            <a:ext uri="{FF2B5EF4-FFF2-40B4-BE49-F238E27FC236}">
              <a16:creationId xmlns:a16="http://schemas.microsoft.com/office/drawing/2014/main" id="{00000000-0008-0000-0300-0000AEE0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2914650</xdr:colOff>
      <xdr:row>53</xdr:row>
      <xdr:rowOff>104775</xdr:rowOff>
    </xdr:from>
    <xdr:to>
      <xdr:col>5</xdr:col>
      <xdr:colOff>133350</xdr:colOff>
      <xdr:row>71</xdr:row>
      <xdr:rowOff>85725</xdr:rowOff>
    </xdr:to>
    <xdr:graphicFrame macro="">
      <xdr:nvGraphicFramePr>
        <xdr:cNvPr id="6807727" name="Chart 2">
          <a:extLst>
            <a:ext uri="{FF2B5EF4-FFF2-40B4-BE49-F238E27FC236}">
              <a16:creationId xmlns:a16="http://schemas.microsoft.com/office/drawing/2014/main" id="{00000000-0008-0000-0300-0000AFE0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257175</xdr:colOff>
      <xdr:row>49</xdr:row>
      <xdr:rowOff>142875</xdr:rowOff>
    </xdr:from>
    <xdr:to>
      <xdr:col>15</xdr:col>
      <xdr:colOff>371475</xdr:colOff>
      <xdr:row>72</xdr:row>
      <xdr:rowOff>47625</xdr:rowOff>
    </xdr:to>
    <xdr:graphicFrame macro="">
      <xdr:nvGraphicFramePr>
        <xdr:cNvPr id="6807728" name="Chart 3">
          <a:extLst>
            <a:ext uri="{FF2B5EF4-FFF2-40B4-BE49-F238E27FC236}">
              <a16:creationId xmlns:a16="http://schemas.microsoft.com/office/drawing/2014/main" id="{00000000-0008-0000-0300-0000B0E0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485775</xdr:colOff>
      <xdr:row>53</xdr:row>
      <xdr:rowOff>104775</xdr:rowOff>
    </xdr:from>
    <xdr:to>
      <xdr:col>14</xdr:col>
      <xdr:colOff>1247775</xdr:colOff>
      <xdr:row>71</xdr:row>
      <xdr:rowOff>9525</xdr:rowOff>
    </xdr:to>
    <xdr:graphicFrame macro="">
      <xdr:nvGraphicFramePr>
        <xdr:cNvPr id="6807729" name="Chart 4">
          <a:extLst>
            <a:ext uri="{FF2B5EF4-FFF2-40B4-BE49-F238E27FC236}">
              <a16:creationId xmlns:a16="http://schemas.microsoft.com/office/drawing/2014/main" id="{00000000-0008-0000-0300-0000B1E0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0.07627</cdr:x>
      <cdr:y>0.25784</cdr:y>
    </cdr:from>
    <cdr:to>
      <cdr:x>0.32351</cdr:x>
      <cdr:y>0.37648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5318" y="986668"/>
          <a:ext cx="2091765" cy="45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TOTAL: 8 582 592</a:t>
          </a:r>
        </a:p>
        <a:p xmlns:a="http://schemas.openxmlformats.org/drawingml/2006/main">
          <a:pPr algn="ctr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clientes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0.15947</cdr:x>
      <cdr:y>0.26948</cdr:y>
    </cdr:from>
    <cdr:to>
      <cdr:x>0.43583</cdr:x>
      <cdr:y>0.3333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094" y="1113685"/>
          <a:ext cx="2188075" cy="237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125" b="1" i="0" u="none" strike="noStrike" baseline="0">
              <a:solidFill>
                <a:srgbClr val="000000"/>
              </a:solidFill>
              <a:latin typeface="Arial"/>
              <a:cs typeface="Arial"/>
            </a:rPr>
            <a:t>TOTAL: 23 870 GWh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iveti/Std98/BOLETIN/P_INST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_DEPA"/>
      <sheetName val="CDRO-1"/>
      <sheetName val="R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68"/>
  <sheetViews>
    <sheetView tabSelected="1" view="pageBreakPreview" zoomScale="85" zoomScaleNormal="85" zoomScaleSheetLayoutView="85" zoomScalePageLayoutView="70" workbookViewId="0">
      <selection activeCell="J13" sqref="J13"/>
    </sheetView>
  </sheetViews>
  <sheetFormatPr baseColWidth="10" defaultRowHeight="13.5" x14ac:dyDescent="0.25"/>
  <cols>
    <col min="1" max="3" width="11.42578125" style="3"/>
    <col min="4" max="4" width="19.5703125" style="3" customWidth="1"/>
    <col min="5" max="6" width="13.85546875" style="3" bestFit="1" customWidth="1"/>
    <col min="7" max="7" width="15.7109375" style="3" customWidth="1"/>
    <col min="8" max="9" width="11.42578125" style="3"/>
    <col min="10" max="10" width="18.7109375" style="3" customWidth="1"/>
    <col min="11" max="11" width="13.42578125" style="3" customWidth="1"/>
    <col min="12" max="12" width="21" style="4" customWidth="1"/>
    <col min="13" max="13" width="23" style="4" bestFit="1" customWidth="1"/>
    <col min="14" max="25" width="17.5703125" style="4" bestFit="1" customWidth="1"/>
    <col min="26" max="26" width="19.28515625" style="4" bestFit="1" customWidth="1"/>
    <col min="27" max="28" width="16.140625" style="4" bestFit="1" customWidth="1"/>
    <col min="29" max="16384" width="11.42578125" style="3"/>
  </cols>
  <sheetData>
    <row r="1" spans="1:28" ht="18" x14ac:dyDescent="0.25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</row>
    <row r="2" spans="1:28" ht="14.2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28" s="10" customFormat="1" ht="30.75" customHeight="1" x14ac:dyDescent="0.2">
      <c r="A3" s="6"/>
      <c r="B3" s="6"/>
      <c r="C3" s="6"/>
      <c r="D3" s="7" t="s">
        <v>22</v>
      </c>
      <c r="E3" s="8" t="s">
        <v>3</v>
      </c>
      <c r="F3" s="8" t="s">
        <v>4</v>
      </c>
      <c r="G3" s="9" t="s">
        <v>2</v>
      </c>
      <c r="H3" s="6"/>
      <c r="I3" s="6"/>
      <c r="J3" s="6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x14ac:dyDescent="0.25">
      <c r="A4" s="5"/>
      <c r="B4" s="5"/>
      <c r="C4" s="5"/>
      <c r="D4" s="12"/>
      <c r="E4" s="13" t="s">
        <v>27</v>
      </c>
      <c r="F4" s="14"/>
      <c r="G4" s="15"/>
      <c r="H4" s="5"/>
      <c r="I4" s="5"/>
      <c r="J4" s="5"/>
    </row>
    <row r="5" spans="1:28" ht="18.75" customHeight="1" x14ac:dyDescent="0.25">
      <c r="A5" s="5"/>
      <c r="B5" s="5"/>
      <c r="C5" s="5"/>
      <c r="D5" s="16" t="s">
        <v>23</v>
      </c>
      <c r="E5" s="17">
        <v>834.89879274181953</v>
      </c>
      <c r="F5" s="18">
        <v>4140.2448042020378</v>
      </c>
      <c r="G5" s="19">
        <f>SUM(E5:F5)</f>
        <v>4975.1435969438571</v>
      </c>
      <c r="H5" s="5"/>
      <c r="I5" s="5"/>
      <c r="J5" s="5"/>
      <c r="L5" s="20"/>
      <c r="M5" s="20"/>
      <c r="N5" s="20"/>
      <c r="O5" s="21"/>
    </row>
    <row r="6" spans="1:28" ht="18.75" customHeight="1" x14ac:dyDescent="0.25">
      <c r="A6" s="5"/>
      <c r="B6" s="5"/>
      <c r="C6" s="5"/>
      <c r="D6" s="22"/>
      <c r="E6" s="23">
        <f>+E5/$G$5</f>
        <v>0.16781400907798583</v>
      </c>
      <c r="F6" s="24">
        <f>+F5/G5</f>
        <v>0.83218599092201417</v>
      </c>
      <c r="G6" s="25">
        <f>G5/G12</f>
        <v>0.497349360285053</v>
      </c>
      <c r="H6" s="5"/>
      <c r="I6" s="5"/>
      <c r="J6" s="5"/>
      <c r="K6" s="26"/>
      <c r="L6" s="27"/>
      <c r="M6" s="20"/>
      <c r="N6" s="20"/>
      <c r="O6" s="21"/>
    </row>
    <row r="7" spans="1:28" ht="18.75" customHeight="1" x14ac:dyDescent="0.25">
      <c r="A7" s="5"/>
      <c r="B7" s="5"/>
      <c r="C7" s="5"/>
      <c r="D7" s="16" t="s">
        <v>24</v>
      </c>
      <c r="E7" s="28">
        <v>0</v>
      </c>
      <c r="F7" s="29">
        <v>678.57943473874752</v>
      </c>
      <c r="G7" s="30">
        <f>SUM(E7:F7)</f>
        <v>678.57943473874752</v>
      </c>
      <c r="H7" s="5"/>
      <c r="I7" s="5"/>
      <c r="J7" s="5"/>
      <c r="K7" s="26"/>
      <c r="L7" s="27"/>
      <c r="M7" s="20"/>
      <c r="N7" s="20"/>
      <c r="O7" s="21"/>
    </row>
    <row r="8" spans="1:28" ht="18.75" customHeight="1" x14ac:dyDescent="0.25">
      <c r="A8" s="5"/>
      <c r="B8" s="5"/>
      <c r="C8" s="5"/>
      <c r="D8" s="22"/>
      <c r="E8" s="23"/>
      <c r="F8" s="24">
        <f>+F7/G7</f>
        <v>1</v>
      </c>
      <c r="G8" s="25">
        <f>G7/G12</f>
        <v>6.7835438554421576E-2</v>
      </c>
      <c r="H8" s="5"/>
      <c r="I8" s="5"/>
      <c r="J8" s="5"/>
      <c r="K8" s="26"/>
      <c r="L8" s="27"/>
      <c r="M8" s="20"/>
      <c r="N8" s="20"/>
      <c r="O8" s="21"/>
    </row>
    <row r="9" spans="1:28" ht="18.75" customHeight="1" x14ac:dyDescent="0.25">
      <c r="A9" s="5"/>
      <c r="B9" s="5"/>
      <c r="C9" s="5"/>
      <c r="D9" s="16" t="s">
        <v>25</v>
      </c>
      <c r="E9" s="31">
        <v>1872.3081957392305</v>
      </c>
      <c r="F9" s="29">
        <v>2477.2863481600079</v>
      </c>
      <c r="G9" s="30">
        <f>SUM(E9:F9)</f>
        <v>4349.5945438992385</v>
      </c>
      <c r="H9" s="5"/>
      <c r="I9" s="5"/>
      <c r="J9" s="5"/>
      <c r="L9" s="32"/>
    </row>
    <row r="10" spans="1:28" ht="18.75" customHeight="1" x14ac:dyDescent="0.25">
      <c r="A10" s="5"/>
      <c r="B10" s="5"/>
      <c r="C10" s="5"/>
      <c r="D10" s="12"/>
      <c r="E10" s="33">
        <f>+E9/$G$9</f>
        <v>0.43045579923428468</v>
      </c>
      <c r="F10" s="34">
        <f>+F9/G9</f>
        <v>0.56954420076571532</v>
      </c>
      <c r="G10" s="35">
        <f>G9/G12</f>
        <v>0.43481520116052541</v>
      </c>
      <c r="H10" s="5"/>
      <c r="I10" s="5"/>
      <c r="J10" s="5"/>
      <c r="L10" s="32"/>
    </row>
    <row r="11" spans="1:28" x14ac:dyDescent="0.25">
      <c r="A11" s="5"/>
      <c r="B11" s="5"/>
      <c r="C11" s="5"/>
      <c r="D11" s="36"/>
      <c r="E11" s="37"/>
      <c r="F11" s="38"/>
      <c r="G11" s="39"/>
      <c r="H11" s="5"/>
      <c r="I11" s="5"/>
      <c r="J11" s="5"/>
      <c r="L11" s="40"/>
    </row>
    <row r="12" spans="1:28" ht="15.75" x14ac:dyDescent="0.25">
      <c r="A12" s="5"/>
      <c r="B12" s="5"/>
      <c r="C12" s="5"/>
      <c r="D12" s="41" t="s">
        <v>2</v>
      </c>
      <c r="E12" s="42">
        <f>SUM(E5,E7,E9)</f>
        <v>2707.2069884810498</v>
      </c>
      <c r="F12" s="43">
        <f>SUM(F5,F7,F9)</f>
        <v>7296.1105871007931</v>
      </c>
      <c r="G12" s="44">
        <f>SUM(E12:F12)</f>
        <v>10003.317575581843</v>
      </c>
      <c r="H12" s="45"/>
      <c r="I12" s="45"/>
      <c r="J12" s="45"/>
    </row>
    <row r="13" spans="1:28" ht="14.25" thickBot="1" x14ac:dyDescent="0.3">
      <c r="A13" s="5"/>
      <c r="B13" s="5"/>
      <c r="C13" s="5"/>
      <c r="D13" s="46"/>
      <c r="E13" s="47">
        <f>E12/G12</f>
        <v>0.27063091499657654</v>
      </c>
      <c r="F13" s="48">
        <f>F12/G12</f>
        <v>0.72936908500342346</v>
      </c>
      <c r="G13" s="49"/>
      <c r="H13" s="5"/>
      <c r="I13" s="5"/>
      <c r="J13" s="5"/>
    </row>
    <row r="14" spans="1:28" ht="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28" ht="14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28" ht="14.25" x14ac:dyDescent="0.3">
      <c r="A16" s="5"/>
      <c r="B16" s="50" t="s">
        <v>201</v>
      </c>
      <c r="C16" s="5"/>
      <c r="D16" s="5"/>
      <c r="E16" s="5"/>
      <c r="F16" s="5"/>
      <c r="G16" s="5"/>
      <c r="H16" s="5"/>
      <c r="I16" s="5"/>
      <c r="J16" s="5"/>
    </row>
    <row r="17" spans="1:27" ht="14.25" x14ac:dyDescent="0.3">
      <c r="A17" s="5"/>
      <c r="B17" s="50" t="s">
        <v>202</v>
      </c>
      <c r="C17" s="5"/>
      <c r="D17" s="5"/>
      <c r="E17" s="5"/>
      <c r="F17" s="5"/>
      <c r="G17" s="5"/>
      <c r="H17" s="5"/>
      <c r="I17" s="5"/>
      <c r="J17" s="5"/>
    </row>
    <row r="18" spans="1:27" x14ac:dyDescent="0.25">
      <c r="A18" s="5"/>
      <c r="B18" s="5"/>
      <c r="C18" s="51"/>
      <c r="D18" s="5"/>
      <c r="E18" s="5"/>
      <c r="F18" s="5"/>
      <c r="G18" s="5"/>
      <c r="H18" s="5"/>
      <c r="I18" s="5"/>
      <c r="J18" s="5"/>
    </row>
    <row r="19" spans="1:27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27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M20" s="52">
        <f>(E5/G5)*100</f>
        <v>16.781400907798584</v>
      </c>
      <c r="N20" s="52">
        <f>(F5/G5)*100</f>
        <v>83.218599092201416</v>
      </c>
      <c r="O20" s="53">
        <f>SUM(M20:N20)/100</f>
        <v>1</v>
      </c>
    </row>
    <row r="21" spans="1:27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M21" s="52"/>
      <c r="N21" s="52"/>
      <c r="O21" s="53"/>
    </row>
    <row r="22" spans="1:27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M22" s="52"/>
      <c r="N22" s="52"/>
      <c r="O22" s="53"/>
    </row>
    <row r="23" spans="1:27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M23" s="52">
        <f>(E7/G7)*100</f>
        <v>0</v>
      </c>
      <c r="N23" s="52">
        <f>(F7/G7)*100</f>
        <v>100</v>
      </c>
      <c r="O23" s="53">
        <f>SUM(M23:N23)/100</f>
        <v>1</v>
      </c>
    </row>
    <row r="24" spans="1:27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M24" s="52"/>
      <c r="N24" s="52"/>
      <c r="O24" s="53"/>
    </row>
    <row r="25" spans="1:2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M25" s="52"/>
      <c r="N25" s="52"/>
      <c r="O25" s="53"/>
    </row>
    <row r="26" spans="1:2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M26" s="52">
        <f>(E9/G9)*100</f>
        <v>43.04557992342847</v>
      </c>
      <c r="N26" s="52">
        <f>(F9/G9)*100</f>
        <v>56.95442007657153</v>
      </c>
      <c r="O26" s="53">
        <f>SUM(M26:N26)/100</f>
        <v>1</v>
      </c>
    </row>
    <row r="27" spans="1:2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2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27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M29" s="54" t="s">
        <v>203</v>
      </c>
    </row>
    <row r="30" spans="1:2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2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N31" s="55" t="s">
        <v>11</v>
      </c>
      <c r="O31" s="55" t="s">
        <v>12</v>
      </c>
      <c r="P31" s="55" t="s">
        <v>13</v>
      </c>
      <c r="Q31" s="55" t="s">
        <v>14</v>
      </c>
      <c r="R31" s="55" t="s">
        <v>15</v>
      </c>
      <c r="S31" s="55" t="s">
        <v>16</v>
      </c>
      <c r="T31" s="55" t="s">
        <v>17</v>
      </c>
      <c r="U31" s="55" t="s">
        <v>18</v>
      </c>
      <c r="V31" s="55" t="s">
        <v>21</v>
      </c>
      <c r="W31" s="55" t="s">
        <v>19</v>
      </c>
      <c r="X31" s="55" t="s">
        <v>20</v>
      </c>
      <c r="Y31" s="55" t="s">
        <v>28</v>
      </c>
      <c r="Z31" s="4" t="s">
        <v>2</v>
      </c>
    </row>
    <row r="32" spans="1:2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M32" s="4" t="s">
        <v>209</v>
      </c>
      <c r="N32" s="56">
        <v>384.13408954278941</v>
      </c>
      <c r="O32" s="56">
        <v>310.55925497965961</v>
      </c>
      <c r="P32" s="56">
        <v>296.63864855019352</v>
      </c>
      <c r="Q32" s="56">
        <v>315.29877899545011</v>
      </c>
      <c r="R32" s="56">
        <v>324.82783649998186</v>
      </c>
      <c r="S32" s="56">
        <v>344.19144309166546</v>
      </c>
      <c r="T32" s="56">
        <v>368.73098637436476</v>
      </c>
      <c r="U32" s="56">
        <v>436.82170926891649</v>
      </c>
      <c r="V32" s="56">
        <v>462.93742164599729</v>
      </c>
      <c r="W32" s="56">
        <v>439.06604609837024</v>
      </c>
      <c r="X32" s="56">
        <v>313.45628839825127</v>
      </c>
      <c r="Y32" s="56">
        <v>301.45083981233364</v>
      </c>
      <c r="Z32" s="56">
        <v>4298113.3432579739</v>
      </c>
      <c r="AA32" s="57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M33" s="4" t="s">
        <v>210</v>
      </c>
      <c r="N33" s="56">
        <v>54.675076207508532</v>
      </c>
      <c r="O33" s="56">
        <v>54.476874157581285</v>
      </c>
      <c r="P33" s="56">
        <v>55.665258184706019</v>
      </c>
      <c r="Q33" s="56">
        <v>55.167725172988533</v>
      </c>
      <c r="R33" s="56">
        <v>54.75607296707468</v>
      </c>
      <c r="S33" s="56">
        <v>56.398830107945521</v>
      </c>
      <c r="T33" s="56">
        <v>59.049374492544359</v>
      </c>
      <c r="U33" s="56">
        <v>56.650207901589404</v>
      </c>
      <c r="V33" s="56">
        <v>60.013741300383067</v>
      </c>
      <c r="W33" s="56">
        <v>55.6254200549647</v>
      </c>
      <c r="X33" s="56">
        <v>58.070058937899105</v>
      </c>
      <c r="Y33" s="56">
        <v>58.030795253562481</v>
      </c>
      <c r="Z33" s="56">
        <v>678579.43473874754</v>
      </c>
      <c r="AA33" s="57"/>
    </row>
    <row r="34" spans="1:2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M34" s="4" t="s">
        <v>211</v>
      </c>
      <c r="N34" s="56">
        <v>368.73859964507261</v>
      </c>
      <c r="O34" s="56">
        <v>371.60539408858682</v>
      </c>
      <c r="P34" s="56">
        <v>378.00893756066216</v>
      </c>
      <c r="Q34" s="56">
        <v>380.49497617386879</v>
      </c>
      <c r="R34" s="56">
        <v>371.20951648893856</v>
      </c>
      <c r="S34" s="56">
        <v>356.34129258942437</v>
      </c>
      <c r="T34" s="56">
        <v>359.23019356621222</v>
      </c>
      <c r="U34" s="56">
        <v>351.27272598113058</v>
      </c>
      <c r="V34" s="56">
        <v>346.51185724045843</v>
      </c>
      <c r="W34" s="56">
        <v>340.01759720633225</v>
      </c>
      <c r="X34" s="56">
        <v>368.86717262604111</v>
      </c>
      <c r="Y34" s="56">
        <v>357.29628073251104</v>
      </c>
      <c r="Z34" s="56">
        <v>4349594.543899239</v>
      </c>
      <c r="AA34" s="57">
        <f>SUM(Z32:Z34)</f>
        <v>9326287.3218959607</v>
      </c>
    </row>
    <row r="35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AA35" s="58">
        <f>+G12</f>
        <v>10003.317575581843</v>
      </c>
      <c r="AB35" s="57">
        <f>+AA34-AA35</f>
        <v>9316284.0043203793</v>
      </c>
    </row>
    <row r="36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7">
        <f>+AA34-AA35</f>
        <v>9316284.0043203793</v>
      </c>
    </row>
    <row r="39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2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M43" s="40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M44" s="40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M45" s="40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M46" s="40"/>
      <c r="Y46" s="60"/>
    </row>
    <row r="47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</sheetData>
  <mergeCells count="1">
    <mergeCell ref="E4:G4"/>
  </mergeCells>
  <phoneticPr fontId="0" type="noConversion"/>
  <printOptions horizontalCentered="1"/>
  <pageMargins left="0.78740157480314965" right="0.59055118110236227" top="0.78740157480314965" bottom="0.59055118110236227" header="0.31496062992125984" footer="0.31496062992125984"/>
  <pageSetup paperSize="9" scale="64" orientation="portrait" r:id="rId1"/>
  <headerFooter alignWithMargins="0"/>
  <ignoredErrors>
    <ignoredError sqref="G6:G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C129"/>
  <sheetViews>
    <sheetView view="pageBreakPreview" zoomScale="90" zoomScaleNormal="30" zoomScaleSheetLayoutView="90" zoomScalePageLayoutView="85" workbookViewId="0">
      <selection activeCell="U86" sqref="U86"/>
    </sheetView>
  </sheetViews>
  <sheetFormatPr baseColWidth="10" defaultRowHeight="13.5" x14ac:dyDescent="0.25"/>
  <cols>
    <col min="1" max="1" width="1.7109375" style="5" customWidth="1"/>
    <col min="2" max="2" width="4.7109375" style="3" customWidth="1"/>
    <col min="3" max="3" width="50.28515625" style="3" bestFit="1" customWidth="1"/>
    <col min="4" max="4" width="14.140625" style="3" customWidth="1"/>
    <col min="5" max="5" width="9.85546875" style="3" customWidth="1"/>
    <col min="6" max="6" width="12.28515625" style="3" customWidth="1"/>
    <col min="7" max="7" width="9.85546875" style="3" customWidth="1"/>
    <col min="8" max="8" width="10.7109375" style="3" customWidth="1"/>
    <col min="9" max="9" width="8.85546875" style="3" customWidth="1"/>
    <col min="10" max="10" width="10.140625" style="3" bestFit="1" customWidth="1"/>
    <col min="11" max="11" width="8.85546875" style="3" customWidth="1"/>
    <col min="12" max="12" width="12.5703125" style="3" customWidth="1"/>
    <col min="13" max="13" width="8.85546875" style="3" customWidth="1"/>
    <col min="14" max="14" width="12.7109375" style="3" customWidth="1"/>
    <col min="15" max="15" width="8.85546875" style="3" customWidth="1"/>
    <col min="16" max="16" width="12.7109375" style="3" customWidth="1"/>
    <col min="17" max="17" width="10.5703125" style="3" customWidth="1"/>
    <col min="18" max="18" width="12.7109375" style="3" customWidth="1"/>
    <col min="19" max="19" width="8.85546875" style="3" customWidth="1"/>
    <col min="20" max="20" width="11.28515625" style="3" customWidth="1"/>
    <col min="21" max="21" width="8.85546875" style="3" customWidth="1"/>
    <col min="22" max="22" width="13.28515625" style="3" customWidth="1"/>
    <col min="23" max="23" width="8.85546875" style="3" customWidth="1"/>
    <col min="24" max="24" width="18.140625" style="3" customWidth="1"/>
    <col min="25" max="25" width="8.28515625" style="3" customWidth="1"/>
    <col min="26" max="26" width="1.7109375" style="5" customWidth="1"/>
    <col min="27" max="27" width="6.85546875" style="62" customWidth="1"/>
    <col min="28" max="28" width="23.5703125" style="62" bestFit="1" customWidth="1"/>
    <col min="29" max="29" width="14.42578125" style="62" customWidth="1"/>
    <col min="30" max="30" width="13.28515625" style="62" bestFit="1" customWidth="1"/>
    <col min="31" max="31" width="9" style="62" customWidth="1"/>
    <col min="32" max="32" width="14.28515625" style="62" customWidth="1"/>
    <col min="33" max="33" width="11.85546875" style="62" customWidth="1"/>
    <col min="34" max="36" width="12" style="62" customWidth="1"/>
    <col min="37" max="37" width="12.42578125" style="62" customWidth="1"/>
    <col min="38" max="38" width="12.28515625" style="62" customWidth="1"/>
    <col min="39" max="39" width="11.42578125" style="62"/>
    <col min="40" max="40" width="11.5703125" style="62" bestFit="1" customWidth="1"/>
    <col min="41" max="41" width="11.42578125" style="3"/>
    <col min="42" max="42" width="11.5703125" style="3" bestFit="1" customWidth="1"/>
    <col min="43" max="45" width="11.42578125" style="3"/>
    <col min="46" max="46" width="12" style="3" bestFit="1" customWidth="1"/>
    <col min="47" max="16384" width="11.42578125" style="3"/>
  </cols>
  <sheetData>
    <row r="1" spans="1:55" ht="15.75" x14ac:dyDescent="0.25">
      <c r="A1" s="61" t="s">
        <v>217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</row>
    <row r="2" spans="1:55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55" ht="18" thickBot="1" x14ac:dyDescent="0.35">
      <c r="B3" s="63" t="s">
        <v>165</v>
      </c>
      <c r="C3" s="64"/>
      <c r="D3" s="65"/>
      <c r="E3" s="64"/>
      <c r="F3" s="66"/>
      <c r="G3" s="6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55" s="73" customFormat="1" ht="19.5" customHeight="1" x14ac:dyDescent="0.25">
      <c r="A4" s="67"/>
      <c r="B4" s="68" t="s">
        <v>5</v>
      </c>
      <c r="C4" s="69" t="s">
        <v>8</v>
      </c>
      <c r="D4" s="70" t="s">
        <v>198</v>
      </c>
      <c r="E4" s="70"/>
      <c r="F4" s="70"/>
      <c r="G4" s="70"/>
      <c r="H4" s="70"/>
      <c r="I4" s="70"/>
      <c r="J4" s="70"/>
      <c r="K4" s="70"/>
      <c r="L4" s="70"/>
      <c r="M4" s="71"/>
      <c r="N4" s="72" t="s">
        <v>199</v>
      </c>
      <c r="O4" s="70"/>
      <c r="P4" s="70"/>
      <c r="Q4" s="70"/>
      <c r="R4" s="70"/>
      <c r="S4" s="70"/>
      <c r="T4" s="70"/>
      <c r="U4" s="70"/>
      <c r="V4" s="70"/>
      <c r="W4" s="71"/>
      <c r="X4" s="70" t="s">
        <v>200</v>
      </c>
      <c r="Y4" s="71"/>
      <c r="Z4" s="67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s="73" customFormat="1" ht="19.5" customHeight="1" x14ac:dyDescent="0.25">
      <c r="A5" s="67"/>
      <c r="B5" s="74"/>
      <c r="C5" s="75"/>
      <c r="D5" s="76" t="s">
        <v>0</v>
      </c>
      <c r="E5" s="77" t="s">
        <v>6</v>
      </c>
      <c r="F5" s="78" t="s">
        <v>1</v>
      </c>
      <c r="G5" s="77" t="s">
        <v>6</v>
      </c>
      <c r="H5" s="78" t="s">
        <v>56</v>
      </c>
      <c r="I5" s="77" t="s">
        <v>6</v>
      </c>
      <c r="J5" s="78" t="s">
        <v>66</v>
      </c>
      <c r="K5" s="77" t="s">
        <v>6</v>
      </c>
      <c r="L5" s="78" t="s">
        <v>2</v>
      </c>
      <c r="M5" s="79" t="s">
        <v>6</v>
      </c>
      <c r="N5" s="80" t="s">
        <v>0</v>
      </c>
      <c r="O5" s="77" t="s">
        <v>6</v>
      </c>
      <c r="P5" s="78" t="s">
        <v>1</v>
      </c>
      <c r="Q5" s="77" t="s">
        <v>6</v>
      </c>
      <c r="R5" s="78" t="s">
        <v>56</v>
      </c>
      <c r="S5" s="77" t="s">
        <v>6</v>
      </c>
      <c r="T5" s="81" t="s">
        <v>66</v>
      </c>
      <c r="U5" s="81" t="s">
        <v>6</v>
      </c>
      <c r="V5" s="78" t="s">
        <v>2</v>
      </c>
      <c r="W5" s="79" t="s">
        <v>6</v>
      </c>
      <c r="X5" s="82" t="s">
        <v>26</v>
      </c>
      <c r="Y5" s="83" t="s">
        <v>6</v>
      </c>
      <c r="Z5" s="67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V5" s="3"/>
      <c r="AW5" s="3"/>
      <c r="AX5" s="3"/>
      <c r="AY5" s="3"/>
      <c r="AZ5" s="3"/>
      <c r="BA5" s="3"/>
      <c r="BB5" s="3"/>
      <c r="BC5" s="3"/>
    </row>
    <row r="6" spans="1:55" s="73" customFormat="1" ht="19.5" customHeight="1" x14ac:dyDescent="0.25">
      <c r="A6" s="67"/>
      <c r="B6" s="85">
        <v>1</v>
      </c>
      <c r="C6" s="86" t="s">
        <v>69</v>
      </c>
      <c r="D6" s="87">
        <v>1008.36</v>
      </c>
      <c r="E6" s="88">
        <f>D6/$D$90</f>
        <v>0.19001976027615389</v>
      </c>
      <c r="F6" s="89">
        <v>18.68</v>
      </c>
      <c r="G6" s="88">
        <f>F6/$F$90</f>
        <v>2.4288315304980238E-3</v>
      </c>
      <c r="H6" s="90"/>
      <c r="I6" s="88">
        <f>H6/$H$90</f>
        <v>0</v>
      </c>
      <c r="J6" s="90"/>
      <c r="K6" s="88">
        <f>J6/$J$90</f>
        <v>0</v>
      </c>
      <c r="L6" s="91">
        <f t="shared" ref="L6:L11" si="0">D6+F6+H6+J6</f>
        <v>1027.04</v>
      </c>
      <c r="M6" s="92">
        <f>L6/$L$90</f>
        <v>7.1254466152428822E-2</v>
      </c>
      <c r="N6" s="93">
        <v>6190.0926950000012</v>
      </c>
      <c r="O6" s="88">
        <f>N6/$N$90</f>
        <v>0.22015657427360619</v>
      </c>
      <c r="P6" s="89">
        <v>0.64475700000000002</v>
      </c>
      <c r="Q6" s="94">
        <f>P6/$P$90</f>
        <v>2.3360478325426264E-5</v>
      </c>
      <c r="R6" s="89"/>
      <c r="S6" s="94">
        <f>R6/$R$90</f>
        <v>0</v>
      </c>
      <c r="T6" s="94"/>
      <c r="U6" s="94">
        <f>T6/$T$90</f>
        <v>0</v>
      </c>
      <c r="V6" s="95">
        <f>N6+P6+R6+T6</f>
        <v>6190.7374520000012</v>
      </c>
      <c r="W6" s="96">
        <f>V6/$V$90</f>
        <v>0.10487870643967113</v>
      </c>
      <c r="X6" s="87">
        <v>649945.65626247437</v>
      </c>
      <c r="Y6" s="97">
        <f>X6/$X$90</f>
        <v>0.13063857225381884</v>
      </c>
      <c r="Z6" s="67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V6" s="3"/>
      <c r="AW6" s="3"/>
      <c r="AX6" s="3"/>
      <c r="AY6" s="3"/>
      <c r="AZ6" s="3"/>
      <c r="BA6" s="3"/>
      <c r="BB6" s="3"/>
      <c r="BC6" s="3"/>
    </row>
    <row r="7" spans="1:55" s="73" customFormat="1" ht="19.5" customHeight="1" x14ac:dyDescent="0.25">
      <c r="A7" s="67"/>
      <c r="B7" s="98">
        <v>2</v>
      </c>
      <c r="C7" s="86" t="s">
        <v>70</v>
      </c>
      <c r="D7" s="87">
        <v>178.62</v>
      </c>
      <c r="E7" s="88">
        <f>D7/$D$90</f>
        <v>3.3659932544454964E-2</v>
      </c>
      <c r="F7" s="89">
        <v>62.52</v>
      </c>
      <c r="G7" s="88">
        <f>F7/$F$90</f>
        <v>8.1290442872985254E-3</v>
      </c>
      <c r="H7" s="90"/>
      <c r="I7" s="88">
        <f>H7/$H$90</f>
        <v>0</v>
      </c>
      <c r="J7" s="90"/>
      <c r="K7" s="88">
        <f>J7/$J$90</f>
        <v>0</v>
      </c>
      <c r="L7" s="91">
        <f t="shared" si="0"/>
        <v>241.14000000000001</v>
      </c>
      <c r="M7" s="92">
        <f>L7/$L$90</f>
        <v>1.6729924801367705E-2</v>
      </c>
      <c r="N7" s="93">
        <v>800.03645700000015</v>
      </c>
      <c r="O7" s="88">
        <f>N7/$N$90</f>
        <v>2.8454062700770791E-2</v>
      </c>
      <c r="P7" s="89">
        <v>1.9592209999999999</v>
      </c>
      <c r="Q7" s="94">
        <f>P7/$P$90</f>
        <v>7.098540954998545E-5</v>
      </c>
      <c r="R7" s="89"/>
      <c r="S7" s="94">
        <f>R7/$R$90</f>
        <v>0</v>
      </c>
      <c r="T7" s="94"/>
      <c r="U7" s="94">
        <f>T7/$T$90</f>
        <v>0</v>
      </c>
      <c r="V7" s="95">
        <f>N7+P7+R7+T7</f>
        <v>801.99567800000011</v>
      </c>
      <c r="W7" s="96">
        <f>V7/$V$90</f>
        <v>1.3586793161721539E-2</v>
      </c>
      <c r="X7" s="87">
        <v>67425.276517389022</v>
      </c>
      <c r="Y7" s="97">
        <f>X7/$X$90</f>
        <v>1.3552428227158542E-2</v>
      </c>
      <c r="Z7" s="67"/>
      <c r="AA7" s="99"/>
      <c r="AB7" s="99"/>
      <c r="AC7" s="100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V7" s="3"/>
      <c r="AW7" s="3"/>
      <c r="AX7" s="3"/>
      <c r="AY7" s="3"/>
      <c r="AZ7" s="3"/>
      <c r="BA7" s="3"/>
      <c r="BB7" s="3"/>
      <c r="BC7" s="3"/>
    </row>
    <row r="8" spans="1:55" s="73" customFormat="1" ht="19.5" customHeight="1" x14ac:dyDescent="0.25">
      <c r="A8" s="67"/>
      <c r="B8" s="98">
        <v>3</v>
      </c>
      <c r="C8" s="86" t="s">
        <v>71</v>
      </c>
      <c r="D8" s="87">
        <v>35.700000000000003</v>
      </c>
      <c r="E8" s="88">
        <f>D8/$D$90</f>
        <v>6.7274638441218362E-3</v>
      </c>
      <c r="F8" s="89">
        <v>22.928000000000001</v>
      </c>
      <c r="G8" s="88">
        <f>F8/$F$90</f>
        <v>2.9811696644142767E-3</v>
      </c>
      <c r="H8" s="90"/>
      <c r="I8" s="88">
        <f>H8/$H$90</f>
        <v>0</v>
      </c>
      <c r="J8" s="90"/>
      <c r="K8" s="88">
        <f>J8/$J$90</f>
        <v>0</v>
      </c>
      <c r="L8" s="91">
        <f t="shared" si="0"/>
        <v>58.628</v>
      </c>
      <c r="M8" s="92">
        <f>L8/$L$90</f>
        <v>4.0675210718030428E-3</v>
      </c>
      <c r="N8" s="93">
        <v>55.533587999999995</v>
      </c>
      <c r="O8" s="88">
        <f>N8/$N$90</f>
        <v>1.9751052356739938E-3</v>
      </c>
      <c r="P8" s="89">
        <v>116.760716</v>
      </c>
      <c r="Q8" s="94">
        <f>P8/$P$90</f>
        <v>4.2304095579873526E-3</v>
      </c>
      <c r="R8" s="89"/>
      <c r="S8" s="94">
        <f>R8/$R$90</f>
        <v>0</v>
      </c>
      <c r="T8" s="94"/>
      <c r="U8" s="94">
        <f>T8/$T$90</f>
        <v>0</v>
      </c>
      <c r="V8" s="95">
        <f>N8+P8+R8+T8</f>
        <v>172.29430400000001</v>
      </c>
      <c r="W8" s="96">
        <f>V8/$V$90</f>
        <v>2.9188774149363577E-3</v>
      </c>
      <c r="X8" s="87">
        <v>18504.238707816883</v>
      </c>
      <c r="Y8" s="97">
        <f>X8/$X$90</f>
        <v>3.7193376125231252E-3</v>
      </c>
      <c r="Z8" s="67"/>
      <c r="AA8" s="99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V8" s="3"/>
      <c r="AW8" s="3"/>
      <c r="AX8" s="3"/>
      <c r="AY8" s="3"/>
      <c r="AZ8" s="3"/>
      <c r="BA8" s="3"/>
      <c r="BB8" s="3"/>
      <c r="BC8" s="3"/>
    </row>
    <row r="9" spans="1:55" s="73" customFormat="1" ht="19.5" customHeight="1" x14ac:dyDescent="0.25">
      <c r="A9" s="67"/>
      <c r="B9" s="98">
        <v>4</v>
      </c>
      <c r="C9" s="86" t="s">
        <v>124</v>
      </c>
      <c r="D9" s="87">
        <v>192.45</v>
      </c>
      <c r="E9" s="88">
        <f>D9/$D$90</f>
        <v>3.6266118117681989E-2</v>
      </c>
      <c r="F9" s="89">
        <v>15.620000000000001</v>
      </c>
      <c r="G9" s="88">
        <f>F9/$F$90</f>
        <v>2.0309608408125871E-3</v>
      </c>
      <c r="H9" s="90"/>
      <c r="I9" s="88">
        <f>H9/$H$90</f>
        <v>0</v>
      </c>
      <c r="J9" s="90"/>
      <c r="K9" s="88">
        <f>J9/$J$90</f>
        <v>0</v>
      </c>
      <c r="L9" s="91">
        <f t="shared" si="0"/>
        <v>208.07</v>
      </c>
      <c r="M9" s="92">
        <f>L9/$L$90</f>
        <v>1.4435578723648413E-2</v>
      </c>
      <c r="N9" s="93">
        <v>1183.1420370000001</v>
      </c>
      <c r="O9" s="88">
        <f>N9/$N$90</f>
        <v>4.2079579511856757E-2</v>
      </c>
      <c r="P9" s="89">
        <v>0</v>
      </c>
      <c r="Q9" s="94"/>
      <c r="R9" s="89"/>
      <c r="S9" s="94">
        <f>R9/$R$90</f>
        <v>0</v>
      </c>
      <c r="T9" s="94"/>
      <c r="U9" s="94">
        <f>T9/$T$90</f>
        <v>0</v>
      </c>
      <c r="V9" s="95">
        <f>N9+P9+R9+T9</f>
        <v>1183.1420370000001</v>
      </c>
      <c r="W9" s="96">
        <f>V9/$V$90</f>
        <v>2.0043881255999599E-2</v>
      </c>
      <c r="X9" s="87">
        <v>63655.056555165982</v>
      </c>
      <c r="Y9" s="97">
        <f>X9/$X$90</f>
        <v>1.279461694216588E-2</v>
      </c>
      <c r="Z9" s="67"/>
      <c r="AA9" s="99"/>
      <c r="AB9" s="84"/>
      <c r="AC9" s="100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V9" s="3"/>
      <c r="AW9" s="3"/>
      <c r="AX9" s="3"/>
      <c r="AY9" s="3"/>
      <c r="AZ9" s="3"/>
      <c r="BA9" s="3"/>
      <c r="BB9" s="3"/>
      <c r="BC9" s="3"/>
    </row>
    <row r="10" spans="1:55" s="73" customFormat="1" ht="19.5" customHeight="1" thickBot="1" x14ac:dyDescent="0.3">
      <c r="A10" s="67"/>
      <c r="B10" s="98">
        <v>5</v>
      </c>
      <c r="C10" s="86" t="s">
        <v>72</v>
      </c>
      <c r="D10" s="87">
        <v>116.3</v>
      </c>
      <c r="E10" s="88">
        <f>D10/$D$90</f>
        <v>2.1916079693875892E-2</v>
      </c>
      <c r="F10" s="89"/>
      <c r="G10" s="88"/>
      <c r="H10" s="90"/>
      <c r="I10" s="88">
        <f>H10/$H$90</f>
        <v>0</v>
      </c>
      <c r="J10" s="90"/>
      <c r="K10" s="88">
        <f>J10/$J$90</f>
        <v>0</v>
      </c>
      <c r="L10" s="91">
        <f t="shared" si="0"/>
        <v>116.3</v>
      </c>
      <c r="M10" s="92">
        <f>L10/$L$90</f>
        <v>8.0687163241231815E-3</v>
      </c>
      <c r="N10" s="93">
        <v>707.83805599999994</v>
      </c>
      <c r="O10" s="88">
        <f>N10/$N$90</f>
        <v>2.5174938280863493E-2</v>
      </c>
      <c r="P10" s="89"/>
      <c r="Q10" s="94"/>
      <c r="R10" s="89"/>
      <c r="S10" s="94">
        <f>R10/$R$90</f>
        <v>0</v>
      </c>
      <c r="T10" s="94"/>
      <c r="U10" s="94">
        <f>T10/$T$90</f>
        <v>0</v>
      </c>
      <c r="V10" s="95">
        <f>N10+P10+R10+T10</f>
        <v>707.83805599999994</v>
      </c>
      <c r="W10" s="96">
        <f>V10/$V$90</f>
        <v>1.1991647240357154E-2</v>
      </c>
      <c r="X10" s="87">
        <v>35368.564698973263</v>
      </c>
      <c r="Y10" s="97">
        <f>X10/$X$90</f>
        <v>7.1090540423194102E-3</v>
      </c>
      <c r="Z10" s="67"/>
      <c r="AA10" s="99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V10" s="3"/>
      <c r="AW10" s="3"/>
      <c r="AX10" s="3"/>
      <c r="AY10" s="3"/>
      <c r="AZ10" s="3"/>
      <c r="BA10" s="3"/>
      <c r="BB10" s="3"/>
      <c r="BC10" s="3"/>
    </row>
    <row r="11" spans="1:55" s="112" customFormat="1" ht="19.5" customHeight="1" thickTop="1" thickBot="1" x14ac:dyDescent="0.3">
      <c r="A11" s="101"/>
      <c r="B11" s="102"/>
      <c r="C11" s="103" t="s">
        <v>2</v>
      </c>
      <c r="D11" s="104">
        <f>SUM(D6:D10)</f>
        <v>1531.43</v>
      </c>
      <c r="E11" s="105"/>
      <c r="F11" s="104">
        <f>SUM(F6:F10)</f>
        <v>119.748</v>
      </c>
      <c r="G11" s="105"/>
      <c r="H11" s="104">
        <f>SUM(H6:H10)</f>
        <v>0</v>
      </c>
      <c r="I11" s="105"/>
      <c r="J11" s="104">
        <f>SUM(J6:J10)</f>
        <v>0</v>
      </c>
      <c r="K11" s="105"/>
      <c r="L11" s="106">
        <f t="shared" si="0"/>
        <v>1651.1780000000001</v>
      </c>
      <c r="M11" s="107">
        <f>SUM(M6:M10)</f>
        <v>0.11455620707337115</v>
      </c>
      <c r="N11" s="108">
        <f>SUM(N6:N10)</f>
        <v>8936.6428330000017</v>
      </c>
      <c r="O11" s="105"/>
      <c r="P11" s="104">
        <f>SUM(P6:P10)</f>
        <v>119.364694</v>
      </c>
      <c r="Q11" s="105"/>
      <c r="R11" s="104">
        <f>SUM(R6:R10)</f>
        <v>0</v>
      </c>
      <c r="S11" s="105"/>
      <c r="T11" s="104">
        <f>SUM(T6:T10)</f>
        <v>0</v>
      </c>
      <c r="U11" s="105"/>
      <c r="V11" s="106">
        <f>SUM(V6:V10)</f>
        <v>9056.0075270000016</v>
      </c>
      <c r="W11" s="109">
        <f>SUM(W6:W10)</f>
        <v>0.15341990551268578</v>
      </c>
      <c r="X11" s="110">
        <f>SUM(X6:X10)</f>
        <v>834898.79274181952</v>
      </c>
      <c r="Y11" s="111">
        <f>SUM(Y6:Y10)</f>
        <v>0.1678140090779858</v>
      </c>
      <c r="Z11" s="101"/>
      <c r="AA11" s="99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73"/>
      <c r="AP11" s="73"/>
      <c r="AQ11" s="73"/>
      <c r="AR11" s="73"/>
      <c r="AS11" s="73"/>
      <c r="AT11" s="73"/>
      <c r="AU11" s="73"/>
      <c r="AV11" s="3"/>
      <c r="AW11" s="3"/>
      <c r="AX11" s="3"/>
      <c r="AY11" s="3"/>
      <c r="AZ11" s="3"/>
      <c r="BA11" s="3"/>
      <c r="BB11" s="3"/>
      <c r="BC11" s="3"/>
    </row>
    <row r="12" spans="1:55" s="73" customFormat="1" ht="14.25" customHeight="1" x14ac:dyDescent="0.25">
      <c r="A12" s="67"/>
      <c r="B12" s="113"/>
      <c r="C12" s="67"/>
      <c r="D12" s="114"/>
      <c r="E12" s="67"/>
      <c r="F12" s="114"/>
      <c r="G12" s="67"/>
      <c r="H12" s="67"/>
      <c r="I12" s="67"/>
      <c r="J12" s="67"/>
      <c r="K12" s="67"/>
      <c r="L12" s="67"/>
      <c r="M12" s="115"/>
      <c r="N12" s="116"/>
      <c r="O12" s="67"/>
      <c r="P12" s="116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V12" s="3"/>
      <c r="AW12" s="3"/>
      <c r="AX12" s="3"/>
      <c r="AY12" s="3"/>
      <c r="AZ12" s="3"/>
      <c r="BA12" s="3"/>
      <c r="BB12" s="3"/>
      <c r="BC12" s="3"/>
    </row>
    <row r="13" spans="1:55" s="73" customFormat="1" ht="19.5" customHeight="1" thickBot="1" x14ac:dyDescent="0.3">
      <c r="A13" s="67"/>
      <c r="B13" s="101" t="s">
        <v>145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V13" s="3"/>
      <c r="AW13" s="3"/>
      <c r="AX13" s="3"/>
      <c r="AY13" s="3"/>
      <c r="AZ13" s="3"/>
      <c r="BA13" s="3"/>
      <c r="BB13" s="3"/>
      <c r="BC13" s="3"/>
    </row>
    <row r="14" spans="1:55" s="73" customFormat="1" ht="19.5" customHeight="1" x14ac:dyDescent="0.25">
      <c r="A14" s="67"/>
      <c r="B14" s="68" t="s">
        <v>5</v>
      </c>
      <c r="C14" s="117" t="s">
        <v>8</v>
      </c>
      <c r="D14" s="72" t="s">
        <v>198</v>
      </c>
      <c r="E14" s="70"/>
      <c r="F14" s="70"/>
      <c r="G14" s="70"/>
      <c r="H14" s="70"/>
      <c r="I14" s="70"/>
      <c r="J14" s="70"/>
      <c r="K14" s="70"/>
      <c r="L14" s="70"/>
      <c r="M14" s="71"/>
      <c r="N14" s="72" t="s">
        <v>199</v>
      </c>
      <c r="O14" s="70"/>
      <c r="P14" s="70"/>
      <c r="Q14" s="70"/>
      <c r="R14" s="70"/>
      <c r="S14" s="70"/>
      <c r="T14" s="70"/>
      <c r="U14" s="70"/>
      <c r="V14" s="70"/>
      <c r="W14" s="71"/>
      <c r="X14" s="72" t="s">
        <v>200</v>
      </c>
      <c r="Y14" s="71"/>
      <c r="Z14" s="67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V14" s="3"/>
      <c r="AW14" s="3"/>
      <c r="AX14" s="3"/>
      <c r="AY14" s="3"/>
      <c r="AZ14" s="3"/>
      <c r="BA14" s="3"/>
      <c r="BB14" s="3"/>
      <c r="BC14" s="3"/>
    </row>
    <row r="15" spans="1:55" s="73" customFormat="1" ht="19.5" customHeight="1" x14ac:dyDescent="0.25">
      <c r="A15" s="67"/>
      <c r="B15" s="118"/>
      <c r="C15" s="119"/>
      <c r="D15" s="80" t="s">
        <v>0</v>
      </c>
      <c r="E15" s="77" t="s">
        <v>6</v>
      </c>
      <c r="F15" s="78" t="s">
        <v>1</v>
      </c>
      <c r="G15" s="77" t="s">
        <v>6</v>
      </c>
      <c r="H15" s="78" t="s">
        <v>56</v>
      </c>
      <c r="I15" s="77" t="s">
        <v>6</v>
      </c>
      <c r="J15" s="81" t="s">
        <v>66</v>
      </c>
      <c r="K15" s="81" t="s">
        <v>6</v>
      </c>
      <c r="L15" s="78" t="s">
        <v>2</v>
      </c>
      <c r="M15" s="79" t="s">
        <v>6</v>
      </c>
      <c r="N15" s="80" t="s">
        <v>0</v>
      </c>
      <c r="O15" s="77" t="s">
        <v>6</v>
      </c>
      <c r="P15" s="78" t="s">
        <v>1</v>
      </c>
      <c r="Q15" s="77" t="s">
        <v>6</v>
      </c>
      <c r="R15" s="78" t="s">
        <v>56</v>
      </c>
      <c r="S15" s="77" t="s">
        <v>6</v>
      </c>
      <c r="T15" s="81" t="s">
        <v>66</v>
      </c>
      <c r="U15" s="81" t="s">
        <v>6</v>
      </c>
      <c r="V15" s="78" t="s">
        <v>2</v>
      </c>
      <c r="W15" s="79" t="s">
        <v>6</v>
      </c>
      <c r="X15" s="120" t="s">
        <v>26</v>
      </c>
      <c r="Y15" s="83" t="s">
        <v>6</v>
      </c>
      <c r="Z15" s="6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121"/>
      <c r="AS15" s="112"/>
      <c r="AV15" s="3"/>
      <c r="AW15" s="3"/>
      <c r="AX15" s="3"/>
      <c r="AY15" s="3"/>
      <c r="AZ15" s="3"/>
      <c r="BA15" s="3"/>
      <c r="BB15" s="3"/>
      <c r="BC15" s="3"/>
    </row>
    <row r="16" spans="1:55" s="73" customFormat="1" ht="19.5" customHeight="1" x14ac:dyDescent="0.25">
      <c r="A16" s="67"/>
      <c r="B16" s="122">
        <v>6</v>
      </c>
      <c r="C16" s="123" t="s">
        <v>73</v>
      </c>
      <c r="D16" s="89"/>
      <c r="E16" s="88"/>
      <c r="F16" s="89">
        <v>23</v>
      </c>
      <c r="G16" s="88">
        <f>F16/$F$90</f>
        <v>2.9905313277009929E-3</v>
      </c>
      <c r="H16" s="89"/>
      <c r="I16" s="88"/>
      <c r="J16" s="89"/>
      <c r="K16" s="88"/>
      <c r="L16" s="89">
        <f>D16+F16+H16+J16</f>
        <v>23</v>
      </c>
      <c r="M16" s="97">
        <f t="shared" ref="M16:M47" si="1">L16/$L$90</f>
        <v>1.5957048620363987E-3</v>
      </c>
      <c r="N16" s="93"/>
      <c r="O16" s="88"/>
      <c r="P16" s="89">
        <v>105.77847300000002</v>
      </c>
      <c r="Q16" s="88">
        <f>P16/$P$90</f>
        <v>3.8325070155317237E-3</v>
      </c>
      <c r="R16" s="89"/>
      <c r="S16" s="94"/>
      <c r="T16" s="89"/>
      <c r="U16" s="94"/>
      <c r="V16" s="124">
        <f>N16+P16+R16+T16</f>
        <v>105.77847300000002</v>
      </c>
      <c r="W16" s="96">
        <f t="shared" ref="W16:W47" si="2">V16/$V$90</f>
        <v>1.7920174298168055E-3</v>
      </c>
      <c r="X16" s="125">
        <v>10117.205256887572</v>
      </c>
      <c r="Y16" s="97">
        <f t="shared" ref="Y16:Y47" si="3">X16/$X$90</f>
        <v>2.0335504010582507E-3</v>
      </c>
      <c r="Z16" s="67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100"/>
      <c r="AL16" s="100"/>
      <c r="AM16" s="100"/>
      <c r="AN16" s="100"/>
      <c r="AO16" s="126"/>
      <c r="AP16" s="126"/>
      <c r="AQ16" s="126"/>
      <c r="AR16" s="126"/>
      <c r="AS16" s="126"/>
      <c r="AT16" s="126"/>
      <c r="AV16" s="3"/>
      <c r="AW16" s="3"/>
      <c r="AX16" s="3"/>
      <c r="AY16" s="3"/>
      <c r="AZ16" s="3"/>
      <c r="BA16" s="3"/>
      <c r="BB16" s="3"/>
      <c r="BC16" s="3"/>
    </row>
    <row r="17" spans="1:55" s="73" customFormat="1" ht="19.5" customHeight="1" x14ac:dyDescent="0.25">
      <c r="A17" s="67"/>
      <c r="B17" s="122">
        <v>7</v>
      </c>
      <c r="C17" s="123" t="s">
        <v>97</v>
      </c>
      <c r="D17" s="127"/>
      <c r="E17" s="88"/>
      <c r="F17" s="89">
        <v>37.5</v>
      </c>
      <c r="G17" s="88">
        <f>F17/$F$90</f>
        <v>4.8758662951646622E-3</v>
      </c>
      <c r="H17" s="89"/>
      <c r="I17" s="88"/>
      <c r="J17" s="89"/>
      <c r="K17" s="88"/>
      <c r="L17" s="89">
        <f t="shared" ref="L17:L82" si="4">D17+F17+H17+J17</f>
        <v>37.5</v>
      </c>
      <c r="M17" s="97">
        <f t="shared" si="1"/>
        <v>2.6016927098419544E-3</v>
      </c>
      <c r="N17" s="93"/>
      <c r="O17" s="88"/>
      <c r="P17" s="89">
        <v>53.394389000000004</v>
      </c>
      <c r="Q17" s="88">
        <f>P17/$P$90</f>
        <v>1.9345559132105251E-3</v>
      </c>
      <c r="R17" s="89"/>
      <c r="S17" s="94"/>
      <c r="T17" s="89"/>
      <c r="U17" s="94"/>
      <c r="V17" s="124">
        <f t="shared" ref="V17:V40" si="5">N17+P17+R17+T17</f>
        <v>53.394389000000004</v>
      </c>
      <c r="W17" s="96">
        <f t="shared" si="2"/>
        <v>9.0456661954667003E-4</v>
      </c>
      <c r="X17" s="125">
        <v>1055.3620148317145</v>
      </c>
      <c r="Y17" s="97">
        <f t="shared" si="3"/>
        <v>2.1212694553781415E-4</v>
      </c>
      <c r="Z17" s="67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100"/>
      <c r="AL17" s="100"/>
      <c r="AM17" s="100"/>
      <c r="AN17" s="100"/>
      <c r="AO17" s="126"/>
      <c r="AP17" s="126"/>
      <c r="AQ17" s="126"/>
      <c r="AR17" s="126"/>
      <c r="AS17" s="126"/>
      <c r="AT17" s="126"/>
      <c r="AV17" s="3"/>
      <c r="AW17" s="3"/>
      <c r="AX17" s="3"/>
      <c r="AY17" s="3"/>
      <c r="AZ17" s="3"/>
      <c r="BA17" s="3"/>
      <c r="BB17" s="3"/>
      <c r="BC17" s="3"/>
    </row>
    <row r="18" spans="1:55" s="73" customFormat="1" ht="19.5" customHeight="1" x14ac:dyDescent="0.25">
      <c r="A18" s="67"/>
      <c r="B18" s="122">
        <v>8</v>
      </c>
      <c r="C18" s="123" t="s">
        <v>139</v>
      </c>
      <c r="D18" s="127"/>
      <c r="E18" s="88"/>
      <c r="F18" s="89">
        <v>21.71</v>
      </c>
      <c r="G18" s="88">
        <f>F18/$F$90</f>
        <v>2.8228015271473286E-3</v>
      </c>
      <c r="H18" s="89"/>
      <c r="I18" s="88"/>
      <c r="J18" s="89"/>
      <c r="K18" s="88"/>
      <c r="L18" s="89">
        <f t="shared" si="4"/>
        <v>21.71</v>
      </c>
      <c r="M18" s="97">
        <f t="shared" si="1"/>
        <v>1.5062066328178356E-3</v>
      </c>
      <c r="N18" s="93"/>
      <c r="O18" s="88"/>
      <c r="P18" s="89">
        <v>46.027512999999999</v>
      </c>
      <c r="Q18" s="88">
        <f>P18/$P$90</f>
        <v>1.6676433444069245E-3</v>
      </c>
      <c r="R18" s="89"/>
      <c r="S18" s="94"/>
      <c r="T18" s="89"/>
      <c r="U18" s="94"/>
      <c r="V18" s="124">
        <f t="shared" si="5"/>
        <v>46.027512999999999</v>
      </c>
      <c r="W18" s="96">
        <f t="shared" si="2"/>
        <v>7.7976267956826704E-4</v>
      </c>
      <c r="X18" s="125">
        <v>3332.249233493299</v>
      </c>
      <c r="Y18" s="97">
        <f t="shared" si="3"/>
        <v>6.6977950858347895E-4</v>
      </c>
      <c r="Z18" s="67"/>
      <c r="AA18" s="84"/>
      <c r="AB18" s="84"/>
      <c r="AC18" s="128"/>
      <c r="AD18" s="84"/>
      <c r="AE18" s="84"/>
      <c r="AF18" s="84"/>
      <c r="AG18" s="84"/>
      <c r="AH18" s="84"/>
      <c r="AI18" s="84"/>
      <c r="AJ18" s="84"/>
      <c r="AK18" s="100"/>
      <c r="AL18" s="100"/>
      <c r="AM18" s="100"/>
      <c r="AN18" s="100"/>
      <c r="AO18" s="126"/>
      <c r="AP18" s="126"/>
      <c r="AQ18" s="126"/>
      <c r="AR18" s="126"/>
      <c r="AS18" s="126"/>
      <c r="AT18" s="126"/>
      <c r="AV18" s="3"/>
      <c r="AW18" s="3"/>
      <c r="AX18" s="3"/>
      <c r="AY18" s="3"/>
      <c r="AZ18" s="3"/>
      <c r="BA18" s="3"/>
      <c r="BB18" s="3"/>
      <c r="BC18" s="3"/>
    </row>
    <row r="19" spans="1:55" s="73" customFormat="1" ht="19.5" customHeight="1" x14ac:dyDescent="0.25">
      <c r="A19" s="67"/>
      <c r="B19" s="122">
        <v>9</v>
      </c>
      <c r="C19" s="123" t="s">
        <v>126</v>
      </c>
      <c r="D19" s="89">
        <v>20</v>
      </c>
      <c r="E19" s="88">
        <f>D19/$D$83</f>
        <v>5.2977662498384179E-3</v>
      </c>
      <c r="F19" s="89"/>
      <c r="G19" s="88"/>
      <c r="H19" s="89"/>
      <c r="I19" s="88"/>
      <c r="J19" s="89"/>
      <c r="K19" s="88"/>
      <c r="L19" s="89">
        <f t="shared" si="4"/>
        <v>20</v>
      </c>
      <c r="M19" s="97">
        <f t="shared" si="1"/>
        <v>1.3875694452490425E-3</v>
      </c>
      <c r="N19" s="93">
        <v>102.11389600000001</v>
      </c>
      <c r="O19" s="88">
        <f>N19/$N$90</f>
        <v>3.6317784945692636E-3</v>
      </c>
      <c r="P19" s="89"/>
      <c r="Q19" s="88"/>
      <c r="R19" s="89"/>
      <c r="S19" s="94"/>
      <c r="T19" s="89"/>
      <c r="U19" s="94"/>
      <c r="V19" s="124">
        <f t="shared" si="5"/>
        <v>102.11389600000001</v>
      </c>
      <c r="W19" s="96">
        <f t="shared" si="2"/>
        <v>1.729934988364793E-3</v>
      </c>
      <c r="X19" s="125">
        <v>9411.4720116299468</v>
      </c>
      <c r="Y19" s="97">
        <f t="shared" si="3"/>
        <v>1.891698566733078E-3</v>
      </c>
      <c r="Z19" s="67"/>
      <c r="AA19" s="84"/>
      <c r="AB19" s="84"/>
      <c r="AC19" s="128"/>
      <c r="AD19" s="84"/>
      <c r="AE19" s="84"/>
      <c r="AF19" s="84"/>
      <c r="AG19" s="84"/>
      <c r="AH19" s="84"/>
      <c r="AI19" s="84"/>
      <c r="AJ19" s="84"/>
      <c r="AK19" s="100"/>
      <c r="AL19" s="100"/>
      <c r="AM19" s="100"/>
      <c r="AN19" s="100"/>
      <c r="AO19" s="126"/>
      <c r="AP19" s="126"/>
      <c r="AQ19" s="126"/>
      <c r="AR19" s="126"/>
      <c r="AS19" s="126"/>
      <c r="AT19" s="126"/>
      <c r="AV19" s="3"/>
      <c r="AW19" s="3"/>
      <c r="AX19" s="3"/>
      <c r="AY19" s="3"/>
      <c r="AZ19" s="3"/>
      <c r="BA19" s="3"/>
      <c r="BB19" s="3"/>
      <c r="BC19" s="3"/>
    </row>
    <row r="20" spans="1:55" s="73" customFormat="1" ht="19.5" customHeight="1" x14ac:dyDescent="0.25">
      <c r="A20" s="67"/>
      <c r="B20" s="122">
        <v>10</v>
      </c>
      <c r="C20" s="123" t="s">
        <v>74</v>
      </c>
      <c r="D20" s="89">
        <v>3</v>
      </c>
      <c r="E20" s="88">
        <f>D20/$D$83</f>
        <v>7.9466493747576265E-4</v>
      </c>
      <c r="F20" s="89"/>
      <c r="G20" s="88"/>
      <c r="H20" s="89"/>
      <c r="I20" s="88"/>
      <c r="J20" s="89"/>
      <c r="K20" s="88"/>
      <c r="L20" s="89">
        <f t="shared" si="4"/>
        <v>3</v>
      </c>
      <c r="M20" s="97">
        <f t="shared" si="1"/>
        <v>2.0813541678735636E-4</v>
      </c>
      <c r="N20" s="93">
        <v>9.7850900000000003</v>
      </c>
      <c r="O20" s="88">
        <f>N20/$N$90</f>
        <v>3.4801609596234341E-4</v>
      </c>
      <c r="P20" s="89"/>
      <c r="Q20" s="88"/>
      <c r="R20" s="89"/>
      <c r="S20" s="94"/>
      <c r="T20" s="89"/>
      <c r="U20" s="94"/>
      <c r="V20" s="124">
        <f t="shared" si="5"/>
        <v>9.7850900000000003</v>
      </c>
      <c r="W20" s="96">
        <f t="shared" si="2"/>
        <v>1.6577145930558217E-4</v>
      </c>
      <c r="X20" s="125">
        <v>537.12812717558245</v>
      </c>
      <c r="Y20" s="97">
        <f t="shared" si="3"/>
        <v>1.0796233650532834E-4</v>
      </c>
      <c r="Z20" s="67"/>
      <c r="AA20" s="84"/>
      <c r="AB20" s="84"/>
      <c r="AC20" s="128"/>
      <c r="AD20" s="100"/>
      <c r="AE20" s="84"/>
      <c r="AF20" s="84"/>
      <c r="AG20" s="84"/>
      <c r="AH20" s="84"/>
      <c r="AI20" s="84"/>
      <c r="AJ20" s="84"/>
      <c r="AK20" s="100"/>
      <c r="AL20" s="100"/>
      <c r="AM20" s="100"/>
      <c r="AN20" s="100"/>
      <c r="AO20" s="126"/>
      <c r="AP20" s="126"/>
      <c r="AQ20" s="126"/>
      <c r="AR20" s="126"/>
      <c r="AS20" s="126"/>
      <c r="AT20" s="126"/>
      <c r="AV20" s="3"/>
      <c r="AW20" s="3"/>
      <c r="AX20" s="3"/>
      <c r="AY20" s="3"/>
      <c r="AZ20" s="3"/>
      <c r="BA20" s="3"/>
      <c r="BB20" s="3"/>
      <c r="BC20" s="3"/>
    </row>
    <row r="21" spans="1:55" s="73" customFormat="1" ht="19.5" customHeight="1" x14ac:dyDescent="0.25">
      <c r="A21" s="67"/>
      <c r="B21" s="122">
        <v>11</v>
      </c>
      <c r="C21" s="123" t="s">
        <v>194</v>
      </c>
      <c r="D21" s="89">
        <v>1.8</v>
      </c>
      <c r="E21" s="88">
        <f>D21/$D$83</f>
        <v>4.7679896248545761E-4</v>
      </c>
      <c r="F21" s="89"/>
      <c r="G21" s="88"/>
      <c r="H21" s="89"/>
      <c r="I21" s="88"/>
      <c r="J21" s="89"/>
      <c r="K21" s="88"/>
      <c r="L21" s="89">
        <f t="shared" si="4"/>
        <v>1.8</v>
      </c>
      <c r="M21" s="97">
        <f t="shared" si="1"/>
        <v>1.2488125007241381E-4</v>
      </c>
      <c r="N21" s="93">
        <v>4.7572549999999998</v>
      </c>
      <c r="O21" s="88">
        <f>N21/$N$90</f>
        <v>1.6919632957870982E-4</v>
      </c>
      <c r="P21" s="89"/>
      <c r="Q21" s="88"/>
      <c r="R21" s="89"/>
      <c r="S21" s="94"/>
      <c r="T21" s="89"/>
      <c r="U21" s="94"/>
      <c r="V21" s="124">
        <f t="shared" si="5"/>
        <v>4.7572549999999998</v>
      </c>
      <c r="W21" s="96">
        <f t="shared" si="2"/>
        <v>8.0593750659296677E-5</v>
      </c>
      <c r="X21" s="125">
        <v>17440.534672924266</v>
      </c>
      <c r="Y21" s="97">
        <f t="shared" si="3"/>
        <v>3.5055339274302909E-3</v>
      </c>
      <c r="Z21" s="67"/>
      <c r="AA21" s="84"/>
      <c r="AB21" s="84"/>
      <c r="AC21" s="128"/>
      <c r="AD21" s="84"/>
      <c r="AE21" s="84"/>
      <c r="AF21" s="84"/>
      <c r="AG21" s="84"/>
      <c r="AH21" s="84"/>
      <c r="AI21" s="84"/>
      <c r="AJ21" s="84"/>
      <c r="AK21" s="100"/>
      <c r="AL21" s="100"/>
      <c r="AM21" s="100"/>
      <c r="AN21" s="100"/>
      <c r="AO21" s="126"/>
      <c r="AP21" s="126"/>
      <c r="AQ21" s="126"/>
      <c r="AR21" s="126"/>
      <c r="AS21" s="126"/>
      <c r="AT21" s="126"/>
      <c r="AV21" s="3"/>
      <c r="AW21" s="3"/>
      <c r="AX21" s="3"/>
      <c r="AY21" s="3"/>
      <c r="AZ21" s="3"/>
      <c r="BA21" s="3"/>
      <c r="BB21" s="3"/>
      <c r="BC21" s="3"/>
    </row>
    <row r="22" spans="1:55" s="73" customFormat="1" ht="19.5" customHeight="1" x14ac:dyDescent="0.25">
      <c r="A22" s="67"/>
      <c r="B22" s="122">
        <v>12</v>
      </c>
      <c r="C22" s="123" t="s">
        <v>99</v>
      </c>
      <c r="D22" s="89"/>
      <c r="E22" s="88"/>
      <c r="F22" s="89">
        <v>15.82</v>
      </c>
      <c r="G22" s="88">
        <f>F22/$F$90</f>
        <v>2.0569654610534654E-3</v>
      </c>
      <c r="H22" s="89"/>
      <c r="I22" s="88"/>
      <c r="J22" s="89"/>
      <c r="K22" s="88"/>
      <c r="L22" s="89">
        <f t="shared" si="4"/>
        <v>15.82</v>
      </c>
      <c r="M22" s="97">
        <f t="shared" si="1"/>
        <v>1.0975674311919925E-3</v>
      </c>
      <c r="N22" s="93"/>
      <c r="O22" s="88"/>
      <c r="P22" s="89">
        <v>66.830031000000005</v>
      </c>
      <c r="Q22" s="88">
        <f>P22/$P$90</f>
        <v>2.4213486486584332E-3</v>
      </c>
      <c r="R22" s="89"/>
      <c r="S22" s="94"/>
      <c r="T22" s="89"/>
      <c r="U22" s="94"/>
      <c r="V22" s="124">
        <f t="shared" si="5"/>
        <v>66.830031000000005</v>
      </c>
      <c r="W22" s="96">
        <f t="shared" si="2"/>
        <v>1.1321829195548837E-3</v>
      </c>
      <c r="X22" s="125">
        <v>8142.5882481744893</v>
      </c>
      <c r="Y22" s="97">
        <f t="shared" si="3"/>
        <v>1.6366539155123756E-3</v>
      </c>
      <c r="Z22" s="67"/>
      <c r="AA22" s="84"/>
      <c r="AB22" s="84"/>
      <c r="AC22" s="128"/>
      <c r="AD22" s="100"/>
      <c r="AE22" s="84"/>
      <c r="AF22" s="84"/>
      <c r="AG22" s="84"/>
      <c r="AH22" s="84"/>
      <c r="AI22" s="84"/>
      <c r="AJ22" s="84"/>
      <c r="AK22" s="100"/>
      <c r="AL22" s="100"/>
      <c r="AM22" s="100"/>
      <c r="AN22" s="100"/>
      <c r="AO22" s="126"/>
      <c r="AP22" s="126"/>
      <c r="AQ22" s="126"/>
      <c r="AR22" s="126"/>
      <c r="AS22" s="126"/>
      <c r="AT22" s="126"/>
      <c r="AV22" s="3"/>
      <c r="AW22" s="3"/>
      <c r="AX22" s="3"/>
      <c r="AY22" s="3"/>
      <c r="AZ22" s="3"/>
      <c r="BA22" s="3"/>
      <c r="BB22" s="3"/>
      <c r="BC22" s="3"/>
    </row>
    <row r="23" spans="1:55" s="73" customFormat="1" ht="19.5" customHeight="1" x14ac:dyDescent="0.25">
      <c r="A23" s="67"/>
      <c r="B23" s="122">
        <v>13</v>
      </c>
      <c r="C23" s="123" t="s">
        <v>140</v>
      </c>
      <c r="D23" s="89">
        <v>19.86</v>
      </c>
      <c r="E23" s="88">
        <f>D23/$D$83</f>
        <v>5.2606818860895486E-3</v>
      </c>
      <c r="F23" s="89"/>
      <c r="G23" s="88"/>
      <c r="H23" s="89"/>
      <c r="I23" s="88"/>
      <c r="J23" s="89"/>
      <c r="K23" s="88"/>
      <c r="L23" s="89">
        <f t="shared" si="4"/>
        <v>19.86</v>
      </c>
      <c r="M23" s="97">
        <f t="shared" si="1"/>
        <v>1.377856459132299E-3</v>
      </c>
      <c r="N23" s="93">
        <v>146.323711</v>
      </c>
      <c r="O23" s="88">
        <f>N23/$N$90</f>
        <v>5.2041428999572001E-3</v>
      </c>
      <c r="P23" s="89"/>
      <c r="Q23" s="88"/>
      <c r="R23" s="89"/>
      <c r="S23" s="94"/>
      <c r="T23" s="89"/>
      <c r="U23" s="94"/>
      <c r="V23" s="124">
        <f t="shared" si="5"/>
        <v>146.323711</v>
      </c>
      <c r="W23" s="96">
        <f t="shared" si="2"/>
        <v>2.4789036282219447E-3</v>
      </c>
      <c r="X23" s="125">
        <v>8373.6863789247855</v>
      </c>
      <c r="Y23" s="97">
        <f t="shared" si="3"/>
        <v>1.6831044603553939E-3</v>
      </c>
      <c r="Z23" s="67"/>
      <c r="AA23" s="84"/>
      <c r="AB23" s="84"/>
      <c r="AC23" s="128"/>
      <c r="AD23" s="100"/>
      <c r="AE23" s="84"/>
      <c r="AF23" s="84"/>
      <c r="AG23" s="84"/>
      <c r="AH23" s="84"/>
      <c r="AI23" s="84"/>
      <c r="AJ23" s="84"/>
      <c r="AK23" s="100"/>
      <c r="AL23" s="100"/>
      <c r="AM23" s="100"/>
      <c r="AN23" s="100"/>
      <c r="AO23" s="126"/>
      <c r="AP23" s="126"/>
      <c r="AQ23" s="126"/>
      <c r="AR23" s="126"/>
      <c r="AS23" s="126"/>
      <c r="AT23" s="126"/>
      <c r="AV23" s="3"/>
      <c r="AW23" s="3"/>
      <c r="AX23" s="3"/>
      <c r="AY23" s="3"/>
      <c r="AZ23" s="3"/>
      <c r="BA23" s="3"/>
      <c r="BB23" s="3"/>
      <c r="BC23" s="3"/>
    </row>
    <row r="24" spans="1:55" s="73" customFormat="1" ht="19.5" customHeight="1" x14ac:dyDescent="0.25">
      <c r="A24" s="67"/>
      <c r="B24" s="122">
        <v>14</v>
      </c>
      <c r="C24" s="123" t="s">
        <v>100</v>
      </c>
      <c r="D24" s="89">
        <v>6.42</v>
      </c>
      <c r="E24" s="88">
        <f>D24/$D$83</f>
        <v>1.7005829661981321E-3</v>
      </c>
      <c r="F24" s="89"/>
      <c r="G24" s="88"/>
      <c r="H24" s="89"/>
      <c r="I24" s="88"/>
      <c r="J24" s="89"/>
      <c r="K24" s="88"/>
      <c r="L24" s="89">
        <f t="shared" si="4"/>
        <v>6.42</v>
      </c>
      <c r="M24" s="97">
        <f t="shared" si="1"/>
        <v>4.4540979192494263E-4</v>
      </c>
      <c r="N24" s="93">
        <v>18.938987999999998</v>
      </c>
      <c r="O24" s="88">
        <f>N24/$N$90</f>
        <v>6.7358324402102274E-4</v>
      </c>
      <c r="P24" s="89"/>
      <c r="Q24" s="88"/>
      <c r="R24" s="89"/>
      <c r="S24" s="94"/>
      <c r="T24" s="89"/>
      <c r="U24" s="94"/>
      <c r="V24" s="124">
        <f t="shared" si="5"/>
        <v>18.938987999999998</v>
      </c>
      <c r="W24" s="96">
        <f t="shared" si="2"/>
        <v>3.2084974982661465E-4</v>
      </c>
      <c r="X24" s="129">
        <v>1003.4194822139237</v>
      </c>
      <c r="Y24" s="97">
        <f t="shared" si="3"/>
        <v>2.0168653681278795E-4</v>
      </c>
      <c r="Z24" s="67"/>
      <c r="AA24" s="84"/>
      <c r="AB24" s="84"/>
      <c r="AC24" s="128"/>
      <c r="AD24" s="84"/>
      <c r="AE24" s="84"/>
      <c r="AF24" s="84"/>
      <c r="AG24" s="84"/>
      <c r="AH24" s="84"/>
      <c r="AI24" s="84"/>
      <c r="AJ24" s="84"/>
      <c r="AK24" s="100"/>
      <c r="AL24" s="100"/>
      <c r="AM24" s="100"/>
      <c r="AN24" s="100"/>
      <c r="AO24" s="126"/>
      <c r="AP24" s="126"/>
      <c r="AQ24" s="126"/>
      <c r="AR24" s="126"/>
      <c r="AS24" s="126"/>
      <c r="AT24" s="126"/>
      <c r="AV24" s="3"/>
      <c r="AW24" s="3"/>
      <c r="AX24" s="3"/>
      <c r="AY24" s="3"/>
      <c r="AZ24" s="3"/>
      <c r="BA24" s="3"/>
      <c r="BB24" s="3"/>
      <c r="BC24" s="3"/>
    </row>
    <row r="25" spans="1:55" s="73" customFormat="1" ht="19.5" customHeight="1" x14ac:dyDescent="0.25">
      <c r="A25" s="67"/>
      <c r="B25" s="122">
        <v>15</v>
      </c>
      <c r="C25" s="123" t="s">
        <v>91</v>
      </c>
      <c r="D25" s="89">
        <v>2.9</v>
      </c>
      <c r="E25" s="88">
        <f>D25/$D$83</f>
        <v>7.6817610622657048E-4</v>
      </c>
      <c r="F25" s="89"/>
      <c r="G25" s="88"/>
      <c r="H25" s="89"/>
      <c r="I25" s="88"/>
      <c r="J25" s="89"/>
      <c r="K25" s="88"/>
      <c r="L25" s="89">
        <f t="shared" si="4"/>
        <v>2.9</v>
      </c>
      <c r="M25" s="97">
        <f t="shared" si="1"/>
        <v>2.0119756956111116E-4</v>
      </c>
      <c r="N25" s="93">
        <v>13.197957000000002</v>
      </c>
      <c r="O25" s="88">
        <f>N25/$N$90</f>
        <v>4.6939797894744782E-4</v>
      </c>
      <c r="P25" s="89"/>
      <c r="Q25" s="88"/>
      <c r="R25" s="89"/>
      <c r="S25" s="94"/>
      <c r="T25" s="89"/>
      <c r="U25" s="94"/>
      <c r="V25" s="124">
        <f t="shared" si="5"/>
        <v>13.197957000000002</v>
      </c>
      <c r="W25" s="96">
        <f t="shared" si="2"/>
        <v>2.2358962377886393E-4</v>
      </c>
      <c r="X25" s="125">
        <v>1068.8961652045036</v>
      </c>
      <c r="Y25" s="97">
        <f t="shared" si="3"/>
        <v>2.1484729925405721E-4</v>
      </c>
      <c r="Z25" s="67"/>
      <c r="AA25" s="84"/>
      <c r="AB25" s="84"/>
      <c r="AC25" s="128"/>
      <c r="AD25" s="100"/>
      <c r="AE25" s="84"/>
      <c r="AF25" s="84"/>
      <c r="AG25" s="84"/>
      <c r="AH25" s="84"/>
      <c r="AI25" s="84"/>
      <c r="AJ25" s="84"/>
      <c r="AK25" s="100"/>
      <c r="AL25" s="100"/>
      <c r="AM25" s="100"/>
      <c r="AN25" s="100"/>
      <c r="AO25" s="126"/>
      <c r="AP25" s="126"/>
      <c r="AQ25" s="126"/>
      <c r="AR25" s="126"/>
      <c r="AS25" s="126"/>
      <c r="AT25" s="126"/>
      <c r="AV25" s="3"/>
      <c r="AW25" s="3"/>
      <c r="AX25" s="3"/>
      <c r="AY25" s="3"/>
      <c r="AZ25" s="3"/>
      <c r="BA25" s="3"/>
      <c r="BB25" s="3"/>
      <c r="BC25" s="3"/>
    </row>
    <row r="26" spans="1:55" s="73" customFormat="1" ht="19.5" customHeight="1" x14ac:dyDescent="0.25">
      <c r="A26" s="67"/>
      <c r="B26" s="122">
        <v>16</v>
      </c>
      <c r="C26" s="123" t="s">
        <v>75</v>
      </c>
      <c r="D26" s="89">
        <v>195.3</v>
      </c>
      <c r="E26" s="88">
        <f>D26/$D$83</f>
        <v>5.1732687429672151E-2</v>
      </c>
      <c r="F26" s="89"/>
      <c r="G26" s="88"/>
      <c r="H26" s="89"/>
      <c r="I26" s="88"/>
      <c r="J26" s="89"/>
      <c r="K26" s="88"/>
      <c r="L26" s="89">
        <f t="shared" si="4"/>
        <v>195.3</v>
      </c>
      <c r="M26" s="97">
        <f t="shared" si="1"/>
        <v>1.35496156328569E-2</v>
      </c>
      <c r="N26" s="93">
        <v>993.73531300000013</v>
      </c>
      <c r="O26" s="88">
        <f>N26/$N$90</f>
        <v>3.5343147998656871E-2</v>
      </c>
      <c r="P26" s="89"/>
      <c r="Q26" s="88"/>
      <c r="R26" s="89"/>
      <c r="S26" s="94"/>
      <c r="T26" s="89"/>
      <c r="U26" s="94"/>
      <c r="V26" s="124">
        <f t="shared" si="5"/>
        <v>993.73531300000013</v>
      </c>
      <c r="W26" s="96">
        <f t="shared" si="2"/>
        <v>1.6835098399656977E-2</v>
      </c>
      <c r="X26" s="125">
        <v>70285.407487561271</v>
      </c>
      <c r="Y26" s="97">
        <f t="shared" si="3"/>
        <v>1.4127312331394082E-2</v>
      </c>
      <c r="Z26" s="67"/>
      <c r="AA26" s="84"/>
      <c r="AB26" s="84"/>
      <c r="AC26" s="128"/>
      <c r="AD26" s="130"/>
      <c r="AE26" s="84"/>
      <c r="AF26" s="84"/>
      <c r="AG26" s="84"/>
      <c r="AH26" s="84"/>
      <c r="AI26" s="84"/>
      <c r="AJ26" s="84"/>
      <c r="AK26" s="100"/>
      <c r="AL26" s="100"/>
      <c r="AM26" s="100"/>
      <c r="AN26" s="100"/>
      <c r="AO26" s="126"/>
      <c r="AP26" s="126"/>
      <c r="AQ26" s="126"/>
      <c r="AR26" s="126"/>
      <c r="AS26" s="126"/>
      <c r="AT26" s="126"/>
      <c r="AV26" s="3"/>
      <c r="AW26" s="3"/>
      <c r="AX26" s="3"/>
      <c r="AY26" s="3"/>
      <c r="AZ26" s="3"/>
      <c r="BA26" s="3"/>
      <c r="BB26" s="3"/>
      <c r="BC26" s="3"/>
    </row>
    <row r="27" spans="1:55" s="73" customFormat="1" ht="19.5" customHeight="1" x14ac:dyDescent="0.25">
      <c r="A27" s="67"/>
      <c r="B27" s="122">
        <v>17</v>
      </c>
      <c r="C27" s="123" t="s">
        <v>212</v>
      </c>
      <c r="D27" s="89"/>
      <c r="E27" s="88"/>
      <c r="F27" s="89">
        <v>38.940000000000005</v>
      </c>
      <c r="G27" s="88">
        <f>F27/$F$90</f>
        <v>5.0630995608989858E-3</v>
      </c>
      <c r="H27" s="89"/>
      <c r="I27" s="88"/>
      <c r="J27" s="89"/>
      <c r="K27" s="88"/>
      <c r="L27" s="89">
        <f t="shared" si="4"/>
        <v>38.940000000000005</v>
      </c>
      <c r="M27" s="97">
        <f t="shared" si="1"/>
        <v>2.7015977098998859E-3</v>
      </c>
      <c r="N27" s="93"/>
      <c r="O27" s="88"/>
      <c r="P27" s="89">
        <v>2.4095910000000003</v>
      </c>
      <c r="Q27" s="88">
        <f>P27/$P$90</f>
        <v>8.7302965812922082E-5</v>
      </c>
      <c r="R27" s="89"/>
      <c r="S27" s="94"/>
      <c r="T27" s="89"/>
      <c r="U27" s="94"/>
      <c r="V27" s="124">
        <f t="shared" si="5"/>
        <v>2.4095910000000003</v>
      </c>
      <c r="W27" s="96">
        <f t="shared" si="2"/>
        <v>4.0821435101731013E-5</v>
      </c>
      <c r="X27" s="125">
        <v>911.56882255139385</v>
      </c>
      <c r="Y27" s="97">
        <f t="shared" si="3"/>
        <v>1.8322462553871897E-4</v>
      </c>
      <c r="Z27" s="67"/>
      <c r="AA27" s="84"/>
      <c r="AB27" s="84"/>
      <c r="AC27" s="128"/>
      <c r="AD27" s="130"/>
      <c r="AE27" s="84"/>
      <c r="AF27" s="84"/>
      <c r="AG27" s="84"/>
      <c r="AH27" s="84"/>
      <c r="AI27" s="84"/>
      <c r="AJ27" s="84"/>
      <c r="AK27" s="100"/>
      <c r="AL27" s="100"/>
      <c r="AM27" s="100"/>
      <c r="AN27" s="100"/>
      <c r="AO27" s="126"/>
      <c r="AP27" s="126"/>
      <c r="AQ27" s="126"/>
      <c r="AR27" s="126"/>
      <c r="AS27" s="126"/>
      <c r="AT27" s="126"/>
      <c r="AV27" s="3"/>
      <c r="AW27" s="3"/>
      <c r="AX27" s="3"/>
      <c r="AY27" s="3"/>
      <c r="AZ27" s="3"/>
      <c r="BA27" s="3"/>
      <c r="BB27" s="3"/>
      <c r="BC27" s="3"/>
    </row>
    <row r="28" spans="1:55" s="73" customFormat="1" ht="19.5" customHeight="1" x14ac:dyDescent="0.25">
      <c r="A28" s="67"/>
      <c r="B28" s="122">
        <v>18</v>
      </c>
      <c r="C28" s="123" t="s">
        <v>172</v>
      </c>
      <c r="D28" s="89"/>
      <c r="E28" s="88"/>
      <c r="F28" s="89"/>
      <c r="G28" s="88"/>
      <c r="H28" s="89">
        <v>1.2</v>
      </c>
      <c r="I28" s="88">
        <f>H28/$H$90</f>
        <v>2.9913549840959626E-3</v>
      </c>
      <c r="J28" s="89"/>
      <c r="K28" s="88"/>
      <c r="L28" s="89">
        <f t="shared" si="4"/>
        <v>1.2</v>
      </c>
      <c r="M28" s="97">
        <f t="shared" si="1"/>
        <v>8.3254166714942537E-5</v>
      </c>
      <c r="N28" s="93"/>
      <c r="O28" s="88"/>
      <c r="P28" s="89"/>
      <c r="Q28" s="88"/>
      <c r="R28" s="89">
        <v>2.3217269999999992</v>
      </c>
      <c r="S28" s="94">
        <f>R28/$R$90</f>
        <v>2.427586281602515E-3</v>
      </c>
      <c r="T28" s="89"/>
      <c r="U28" s="94"/>
      <c r="V28" s="124">
        <f t="shared" si="5"/>
        <v>2.3217269999999992</v>
      </c>
      <c r="W28" s="96">
        <f t="shared" si="2"/>
        <v>3.9332910877587355E-5</v>
      </c>
      <c r="X28" s="125">
        <v>860.25978446859847</v>
      </c>
      <c r="Y28" s="97">
        <f t="shared" si="3"/>
        <v>1.7291154872334553E-4</v>
      </c>
      <c r="Z28" s="67"/>
      <c r="AA28" s="84"/>
      <c r="AB28" s="84"/>
      <c r="AC28" s="128"/>
      <c r="AD28" s="130"/>
      <c r="AE28" s="84"/>
      <c r="AF28" s="84"/>
      <c r="AG28" s="84"/>
      <c r="AH28" s="84"/>
      <c r="AI28" s="84"/>
      <c r="AJ28" s="84"/>
      <c r="AK28" s="100"/>
      <c r="AL28" s="100"/>
      <c r="AM28" s="100"/>
      <c r="AN28" s="100"/>
      <c r="AO28" s="126"/>
      <c r="AP28" s="126"/>
      <c r="AQ28" s="126"/>
      <c r="AR28" s="126"/>
      <c r="AS28" s="126"/>
      <c r="AT28" s="126"/>
      <c r="AV28" s="3"/>
      <c r="AW28" s="3"/>
      <c r="AX28" s="3"/>
      <c r="AY28" s="3"/>
      <c r="AZ28" s="3"/>
      <c r="BA28" s="3"/>
      <c r="BB28" s="3"/>
      <c r="BC28" s="3"/>
    </row>
    <row r="29" spans="1:55" s="73" customFormat="1" ht="19.5" customHeight="1" x14ac:dyDescent="0.25">
      <c r="A29" s="67"/>
      <c r="B29" s="122">
        <v>19</v>
      </c>
      <c r="C29" s="123" t="s">
        <v>76</v>
      </c>
      <c r="D29" s="89">
        <v>220</v>
      </c>
      <c r="E29" s="88">
        <f t="shared" ref="E29:E42" si="6">D29/$D$83</f>
        <v>5.8275428748222592E-2</v>
      </c>
      <c r="F29" s="89"/>
      <c r="G29" s="88"/>
      <c r="H29" s="89"/>
      <c r="I29" s="88"/>
      <c r="J29" s="89"/>
      <c r="K29" s="88"/>
      <c r="L29" s="89">
        <f t="shared" si="4"/>
        <v>220</v>
      </c>
      <c r="M29" s="97">
        <f t="shared" si="1"/>
        <v>1.5263263897739467E-2</v>
      </c>
      <c r="N29" s="93">
        <v>1114.0454500000001</v>
      </c>
      <c r="O29" s="88">
        <f t="shared" ref="O29:O42" si="7">N29/$N$90</f>
        <v>3.9622093228944451E-2</v>
      </c>
      <c r="P29" s="89"/>
      <c r="Q29" s="88"/>
      <c r="R29" s="89"/>
      <c r="S29" s="94"/>
      <c r="T29" s="89"/>
      <c r="U29" s="94"/>
      <c r="V29" s="124">
        <f t="shared" si="5"/>
        <v>1114.0454500000001</v>
      </c>
      <c r="W29" s="96">
        <f t="shared" si="2"/>
        <v>1.8873300090162071E-2</v>
      </c>
      <c r="X29" s="125">
        <v>147594.52007845257</v>
      </c>
      <c r="Y29" s="97">
        <f t="shared" si="3"/>
        <v>2.9666383934951596E-2</v>
      </c>
      <c r="Z29" s="67"/>
      <c r="AA29" s="84"/>
      <c r="AB29" s="84"/>
      <c r="AC29" s="128"/>
      <c r="AD29" s="84"/>
      <c r="AE29" s="84"/>
      <c r="AF29" s="84"/>
      <c r="AG29" s="84"/>
      <c r="AH29" s="84"/>
      <c r="AI29" s="84"/>
      <c r="AJ29" s="84"/>
      <c r="AK29" s="100"/>
      <c r="AL29" s="100"/>
      <c r="AM29" s="100"/>
      <c r="AN29" s="100"/>
      <c r="AO29" s="126"/>
      <c r="AP29" s="126"/>
      <c r="AQ29" s="126"/>
      <c r="AR29" s="126"/>
      <c r="AS29" s="126"/>
      <c r="AT29" s="126"/>
      <c r="AV29" s="3"/>
      <c r="AW29" s="3"/>
      <c r="AX29" s="3"/>
      <c r="AY29" s="3"/>
      <c r="AZ29" s="3"/>
      <c r="BA29" s="3"/>
      <c r="BB29" s="3"/>
      <c r="BC29" s="3"/>
    </row>
    <row r="30" spans="1:55" s="73" customFormat="1" ht="19.5" customHeight="1" x14ac:dyDescent="0.25">
      <c r="A30" s="67"/>
      <c r="B30" s="122">
        <v>20</v>
      </c>
      <c r="C30" s="123" t="s">
        <v>101</v>
      </c>
      <c r="D30" s="89">
        <v>1.65</v>
      </c>
      <c r="E30" s="88">
        <f t="shared" si="6"/>
        <v>4.3706571561166941E-4</v>
      </c>
      <c r="F30" s="89"/>
      <c r="G30" s="88"/>
      <c r="H30" s="89"/>
      <c r="I30" s="88"/>
      <c r="J30" s="89"/>
      <c r="K30" s="88"/>
      <c r="L30" s="89">
        <f t="shared" si="4"/>
        <v>1.65</v>
      </c>
      <c r="M30" s="97">
        <f t="shared" si="1"/>
        <v>1.1447447923304599E-4</v>
      </c>
      <c r="N30" s="93">
        <v>6.7415349999999998</v>
      </c>
      <c r="O30" s="88">
        <f t="shared" si="7"/>
        <v>2.397691479070194E-4</v>
      </c>
      <c r="P30" s="89"/>
      <c r="Q30" s="88"/>
      <c r="R30" s="89"/>
      <c r="S30" s="94"/>
      <c r="T30" s="89"/>
      <c r="U30" s="94"/>
      <c r="V30" s="124">
        <f t="shared" si="5"/>
        <v>6.7415349999999998</v>
      </c>
      <c r="W30" s="96">
        <f t="shared" si="2"/>
        <v>1.1420989433001208E-4</v>
      </c>
      <c r="X30" s="125">
        <v>1390.7052888006888</v>
      </c>
      <c r="Y30" s="97">
        <f t="shared" si="3"/>
        <v>2.7953068322590213E-4</v>
      </c>
      <c r="Z30" s="67"/>
      <c r="AA30" s="84"/>
      <c r="AB30" s="84"/>
      <c r="AC30" s="128"/>
      <c r="AD30" s="84"/>
      <c r="AE30" s="84"/>
      <c r="AF30" s="84"/>
      <c r="AG30" s="84"/>
      <c r="AH30" s="84"/>
      <c r="AI30" s="84"/>
      <c r="AJ30" s="84"/>
      <c r="AK30" s="100"/>
      <c r="AL30" s="100"/>
      <c r="AM30" s="100"/>
      <c r="AN30" s="100"/>
      <c r="AO30" s="126"/>
      <c r="AP30" s="126"/>
      <c r="AQ30" s="126"/>
      <c r="AR30" s="126"/>
      <c r="AS30" s="126"/>
      <c r="AT30" s="126"/>
      <c r="AV30" s="3"/>
      <c r="AW30" s="3"/>
      <c r="AX30" s="3"/>
      <c r="AY30" s="3"/>
      <c r="AZ30" s="3"/>
      <c r="BA30" s="3"/>
      <c r="BB30" s="3"/>
      <c r="BC30" s="3"/>
    </row>
    <row r="31" spans="1:55" s="73" customFormat="1" ht="19.5" customHeight="1" x14ac:dyDescent="0.25">
      <c r="A31" s="67"/>
      <c r="B31" s="122">
        <v>21</v>
      </c>
      <c r="C31" s="123" t="s">
        <v>102</v>
      </c>
      <c r="D31" s="89">
        <v>0.59200000000000008</v>
      </c>
      <c r="E31" s="88">
        <f t="shared" si="6"/>
        <v>1.5681388099521719E-4</v>
      </c>
      <c r="F31" s="89"/>
      <c r="G31" s="88"/>
      <c r="H31" s="89"/>
      <c r="I31" s="88"/>
      <c r="J31" s="89"/>
      <c r="K31" s="88"/>
      <c r="L31" s="89">
        <f t="shared" si="4"/>
        <v>0.59200000000000008</v>
      </c>
      <c r="M31" s="97">
        <f t="shared" si="1"/>
        <v>4.107205557937166E-5</v>
      </c>
      <c r="N31" s="93">
        <v>4.5511890000000008</v>
      </c>
      <c r="O31" s="88">
        <f t="shared" si="7"/>
        <v>1.6186739496180024E-4</v>
      </c>
      <c r="P31" s="89"/>
      <c r="Q31" s="88"/>
      <c r="R31" s="89"/>
      <c r="S31" s="94"/>
      <c r="T31" s="89"/>
      <c r="U31" s="94"/>
      <c r="V31" s="124">
        <f t="shared" si="5"/>
        <v>4.5511890000000008</v>
      </c>
      <c r="W31" s="96">
        <f t="shared" si="2"/>
        <v>7.710273917823069E-5</v>
      </c>
      <c r="X31" s="125">
        <v>216.58164337231494</v>
      </c>
      <c r="Y31" s="97">
        <f t="shared" si="3"/>
        <v>4.3532742151474217E-5</v>
      </c>
      <c r="Z31" s="67"/>
      <c r="AA31" s="84"/>
      <c r="AB31" s="84"/>
      <c r="AC31" s="128"/>
      <c r="AD31" s="84"/>
      <c r="AE31" s="84"/>
      <c r="AF31" s="84"/>
      <c r="AG31" s="84"/>
      <c r="AH31" s="84"/>
      <c r="AI31" s="84"/>
      <c r="AJ31" s="84"/>
      <c r="AK31" s="100"/>
      <c r="AL31" s="100"/>
      <c r="AM31" s="100"/>
      <c r="AN31" s="100"/>
      <c r="AO31" s="126"/>
      <c r="AP31" s="126"/>
      <c r="AQ31" s="126"/>
      <c r="AR31" s="126"/>
      <c r="AS31" s="126"/>
      <c r="AT31" s="126"/>
      <c r="AV31" s="3"/>
      <c r="AW31" s="3"/>
      <c r="AX31" s="3"/>
      <c r="AY31" s="3"/>
      <c r="AZ31" s="3"/>
      <c r="BA31" s="3"/>
      <c r="BB31" s="3"/>
      <c r="BC31" s="3"/>
    </row>
    <row r="32" spans="1:55" s="73" customFormat="1" ht="19.5" customHeight="1" x14ac:dyDescent="0.25">
      <c r="A32" s="67"/>
      <c r="B32" s="122">
        <v>22</v>
      </c>
      <c r="C32" s="123" t="s">
        <v>57</v>
      </c>
      <c r="D32" s="89">
        <v>4.1550000000000002</v>
      </c>
      <c r="E32" s="88">
        <f t="shared" si="6"/>
        <v>1.1006109384039313E-3</v>
      </c>
      <c r="F32" s="89"/>
      <c r="G32" s="88"/>
      <c r="H32" s="89"/>
      <c r="I32" s="88"/>
      <c r="J32" s="89"/>
      <c r="K32" s="88"/>
      <c r="L32" s="89">
        <f t="shared" si="4"/>
        <v>4.1550000000000002</v>
      </c>
      <c r="M32" s="97">
        <f t="shared" si="1"/>
        <v>2.8826755225048859E-4</v>
      </c>
      <c r="N32" s="93">
        <v>25.335063999999999</v>
      </c>
      <c r="O32" s="88">
        <f t="shared" si="7"/>
        <v>9.0106581178467555E-4</v>
      </c>
      <c r="P32" s="89"/>
      <c r="Q32" s="88"/>
      <c r="R32" s="89"/>
      <c r="S32" s="94"/>
      <c r="T32" s="89"/>
      <c r="U32" s="94"/>
      <c r="V32" s="124">
        <f t="shared" si="5"/>
        <v>25.335063999999999</v>
      </c>
      <c r="W32" s="96">
        <f t="shared" si="2"/>
        <v>4.2920714381577686E-4</v>
      </c>
      <c r="X32" s="125">
        <v>2267.5909447069307</v>
      </c>
      <c r="Y32" s="97">
        <f t="shared" si="3"/>
        <v>4.5578401919893756E-4</v>
      </c>
      <c r="Z32" s="67"/>
      <c r="AA32" s="84"/>
      <c r="AB32" s="84"/>
      <c r="AC32" s="128"/>
      <c r="AD32" s="84"/>
      <c r="AE32" s="84"/>
      <c r="AF32" s="84"/>
      <c r="AG32" s="84"/>
      <c r="AH32" s="84"/>
      <c r="AI32" s="84"/>
      <c r="AJ32" s="84"/>
      <c r="AK32" s="100"/>
      <c r="AL32" s="100"/>
      <c r="AM32" s="100"/>
      <c r="AN32" s="100"/>
      <c r="AO32" s="126"/>
      <c r="AP32" s="126"/>
      <c r="AQ32" s="126"/>
      <c r="AR32" s="126"/>
      <c r="AS32" s="126"/>
      <c r="AT32" s="126"/>
      <c r="AV32" s="3"/>
      <c r="AW32" s="3"/>
      <c r="AX32" s="3"/>
      <c r="AY32" s="3"/>
      <c r="AZ32" s="3"/>
      <c r="BA32" s="3"/>
      <c r="BB32" s="3"/>
      <c r="BC32" s="3"/>
    </row>
    <row r="33" spans="1:55" s="73" customFormat="1" ht="19.5" customHeight="1" x14ac:dyDescent="0.25">
      <c r="A33" s="67"/>
      <c r="B33" s="122">
        <v>23</v>
      </c>
      <c r="C33" s="123" t="s">
        <v>127</v>
      </c>
      <c r="D33" s="89">
        <v>13.2</v>
      </c>
      <c r="E33" s="88">
        <f t="shared" si="6"/>
        <v>3.4965257248933553E-3</v>
      </c>
      <c r="F33" s="89"/>
      <c r="G33" s="88"/>
      <c r="H33" s="89"/>
      <c r="I33" s="88"/>
      <c r="J33" s="89"/>
      <c r="K33" s="88"/>
      <c r="L33" s="89">
        <f t="shared" si="4"/>
        <v>13.2</v>
      </c>
      <c r="M33" s="97">
        <f t="shared" si="1"/>
        <v>9.1579583386436792E-4</v>
      </c>
      <c r="N33" s="93">
        <v>76.772508999999999</v>
      </c>
      <c r="O33" s="88">
        <f t="shared" si="7"/>
        <v>2.7304877992347411E-3</v>
      </c>
      <c r="P33" s="89"/>
      <c r="Q33" s="88"/>
      <c r="R33" s="89"/>
      <c r="S33" s="94"/>
      <c r="T33" s="89"/>
      <c r="U33" s="94"/>
      <c r="V33" s="124">
        <f t="shared" si="5"/>
        <v>76.772508999999999</v>
      </c>
      <c r="W33" s="96">
        <f t="shared" si="2"/>
        <v>1.3006207251523431E-3</v>
      </c>
      <c r="X33" s="125">
        <v>3046.303724396158</v>
      </c>
      <c r="Y33" s="97">
        <f t="shared" si="3"/>
        <v>6.1230468327938276E-4</v>
      </c>
      <c r="Z33" s="67"/>
      <c r="AA33" s="84"/>
      <c r="AB33" s="84"/>
      <c r="AC33" s="128"/>
      <c r="AD33" s="84"/>
      <c r="AE33" s="84"/>
      <c r="AF33" s="84"/>
      <c r="AG33" s="84"/>
      <c r="AH33" s="84"/>
      <c r="AI33" s="84"/>
      <c r="AJ33" s="84"/>
      <c r="AK33" s="100"/>
      <c r="AL33" s="100"/>
      <c r="AM33" s="100"/>
      <c r="AN33" s="100"/>
      <c r="AO33" s="126"/>
      <c r="AP33" s="126"/>
      <c r="AQ33" s="126"/>
      <c r="AR33" s="126"/>
      <c r="AS33" s="126"/>
      <c r="AT33" s="126"/>
      <c r="AV33" s="3"/>
      <c r="AW33" s="3"/>
      <c r="AX33" s="3"/>
      <c r="AY33" s="3"/>
      <c r="AZ33" s="3"/>
      <c r="BA33" s="3"/>
      <c r="BB33" s="3"/>
      <c r="BC33" s="3"/>
    </row>
    <row r="34" spans="1:55" s="73" customFormat="1" ht="19.5" customHeight="1" x14ac:dyDescent="0.25">
      <c r="A34" s="67"/>
      <c r="B34" s="122">
        <v>24</v>
      </c>
      <c r="C34" s="123" t="s">
        <v>77</v>
      </c>
      <c r="D34" s="89">
        <v>5</v>
      </c>
      <c r="E34" s="88">
        <f t="shared" si="6"/>
        <v>1.3244415624596045E-3</v>
      </c>
      <c r="F34" s="89"/>
      <c r="G34" s="88"/>
      <c r="H34" s="89"/>
      <c r="I34" s="88"/>
      <c r="J34" s="89"/>
      <c r="K34" s="88"/>
      <c r="L34" s="89">
        <f t="shared" si="4"/>
        <v>5</v>
      </c>
      <c r="M34" s="97">
        <f t="shared" si="1"/>
        <v>3.4689236131226061E-4</v>
      </c>
      <c r="N34" s="93">
        <v>33.878750000000011</v>
      </c>
      <c r="O34" s="88">
        <f t="shared" si="7"/>
        <v>1.2049301857299467E-3</v>
      </c>
      <c r="P34" s="89"/>
      <c r="Q34" s="88"/>
      <c r="R34" s="89"/>
      <c r="S34" s="94"/>
      <c r="T34" s="89"/>
      <c r="U34" s="94"/>
      <c r="V34" s="124">
        <f t="shared" si="5"/>
        <v>33.878750000000011</v>
      </c>
      <c r="W34" s="96">
        <f t="shared" si="2"/>
        <v>5.7394769255561203E-4</v>
      </c>
      <c r="X34" s="125">
        <v>3165.3471350470945</v>
      </c>
      <c r="Y34" s="97">
        <f t="shared" si="3"/>
        <v>6.3623231638811604E-4</v>
      </c>
      <c r="Z34" s="67"/>
      <c r="AA34" s="84"/>
      <c r="AB34" s="84"/>
      <c r="AC34" s="128"/>
      <c r="AD34" s="84"/>
      <c r="AE34" s="84"/>
      <c r="AF34" s="84"/>
      <c r="AG34" s="84"/>
      <c r="AH34" s="84"/>
      <c r="AI34" s="84"/>
      <c r="AJ34" s="84"/>
      <c r="AK34" s="100"/>
      <c r="AL34" s="100"/>
      <c r="AM34" s="100"/>
      <c r="AN34" s="100"/>
      <c r="AO34" s="126"/>
      <c r="AP34" s="126"/>
      <c r="AQ34" s="126"/>
      <c r="AR34" s="126"/>
      <c r="AS34" s="126"/>
      <c r="AT34" s="126"/>
      <c r="AV34" s="3"/>
      <c r="AW34" s="3"/>
      <c r="AX34" s="3"/>
      <c r="AY34" s="3"/>
      <c r="AZ34" s="3"/>
      <c r="BA34" s="3"/>
      <c r="BB34" s="3"/>
      <c r="BC34" s="3"/>
    </row>
    <row r="35" spans="1:55" s="73" customFormat="1" ht="19.5" customHeight="1" x14ac:dyDescent="0.25">
      <c r="A35" s="67"/>
      <c r="B35" s="122">
        <v>25</v>
      </c>
      <c r="C35" s="123" t="s">
        <v>78</v>
      </c>
      <c r="D35" s="89">
        <v>72.88600000000001</v>
      </c>
      <c r="E35" s="88">
        <f t="shared" si="6"/>
        <v>1.930664954428615E-2</v>
      </c>
      <c r="F35" s="89"/>
      <c r="G35" s="88"/>
      <c r="H35" s="89"/>
      <c r="I35" s="88"/>
      <c r="J35" s="89"/>
      <c r="K35" s="88"/>
      <c r="L35" s="89">
        <f t="shared" si="4"/>
        <v>72.88600000000001</v>
      </c>
      <c r="M35" s="97">
        <f t="shared" si="1"/>
        <v>5.0567193293210863E-3</v>
      </c>
      <c r="N35" s="93">
        <v>376.920748</v>
      </c>
      <c r="O35" s="88">
        <f t="shared" si="7"/>
        <v>1.3405547338467633E-2</v>
      </c>
      <c r="P35" s="89"/>
      <c r="Q35" s="88"/>
      <c r="R35" s="89"/>
      <c r="S35" s="94"/>
      <c r="T35" s="89"/>
      <c r="U35" s="94"/>
      <c r="V35" s="124">
        <f t="shared" si="5"/>
        <v>376.920748</v>
      </c>
      <c r="W35" s="96">
        <f t="shared" si="2"/>
        <v>6.3855010468489909E-3</v>
      </c>
      <c r="X35" s="125">
        <v>26653.365420333863</v>
      </c>
      <c r="Y35" s="97">
        <f t="shared" si="3"/>
        <v>5.357305754291504E-3</v>
      </c>
      <c r="Z35" s="67"/>
      <c r="AA35" s="84"/>
      <c r="AB35" s="84"/>
      <c r="AC35" s="128"/>
      <c r="AD35" s="84"/>
      <c r="AE35" s="84"/>
      <c r="AF35" s="84"/>
      <c r="AG35" s="84"/>
      <c r="AH35" s="84"/>
      <c r="AI35" s="84"/>
      <c r="AJ35" s="84"/>
      <c r="AK35" s="100"/>
      <c r="AL35" s="100"/>
      <c r="AM35" s="100"/>
      <c r="AN35" s="100"/>
      <c r="AO35" s="126"/>
      <c r="AP35" s="126"/>
      <c r="AQ35" s="126"/>
      <c r="AR35" s="126"/>
      <c r="AS35" s="126"/>
      <c r="AT35" s="126"/>
      <c r="AV35" s="3"/>
      <c r="AW35" s="3"/>
      <c r="AX35" s="3"/>
      <c r="AY35" s="3"/>
      <c r="AZ35" s="3"/>
      <c r="BA35" s="3"/>
      <c r="BB35" s="3"/>
      <c r="BC35" s="3"/>
    </row>
    <row r="36" spans="1:55" s="73" customFormat="1" ht="19.5" customHeight="1" x14ac:dyDescent="0.25">
      <c r="A36" s="67"/>
      <c r="B36" s="122">
        <v>26</v>
      </c>
      <c r="C36" s="123" t="s">
        <v>103</v>
      </c>
      <c r="D36" s="89">
        <v>20</v>
      </c>
      <c r="E36" s="88">
        <f t="shared" si="6"/>
        <v>5.2977662498384179E-3</v>
      </c>
      <c r="F36" s="89"/>
      <c r="G36" s="88"/>
      <c r="H36" s="89"/>
      <c r="I36" s="88"/>
      <c r="J36" s="89"/>
      <c r="K36" s="88"/>
      <c r="L36" s="89">
        <f t="shared" si="4"/>
        <v>20</v>
      </c>
      <c r="M36" s="97">
        <f t="shared" si="1"/>
        <v>1.3875694452490425E-3</v>
      </c>
      <c r="N36" s="93">
        <v>134.00719100000003</v>
      </c>
      <c r="O36" s="88">
        <f t="shared" si="7"/>
        <v>4.7660940719707317E-3</v>
      </c>
      <c r="P36" s="89"/>
      <c r="Q36" s="88"/>
      <c r="R36" s="89"/>
      <c r="S36" s="94"/>
      <c r="T36" s="89"/>
      <c r="U36" s="94"/>
      <c r="V36" s="124">
        <f t="shared" si="5"/>
        <v>134.00719100000003</v>
      </c>
      <c r="W36" s="96">
        <f t="shared" si="2"/>
        <v>2.2702466313045547E-3</v>
      </c>
      <c r="X36" s="125">
        <v>9567.6229699673422</v>
      </c>
      <c r="Y36" s="97">
        <f t="shared" si="3"/>
        <v>1.9230847881143696E-3</v>
      </c>
      <c r="Z36" s="67"/>
      <c r="AA36" s="84"/>
      <c r="AB36" s="84"/>
      <c r="AC36" s="128"/>
      <c r="AD36" s="84"/>
      <c r="AE36" s="84"/>
      <c r="AF36" s="84"/>
      <c r="AG36" s="84"/>
      <c r="AH36" s="84"/>
      <c r="AI36" s="84"/>
      <c r="AJ36" s="84"/>
      <c r="AK36" s="100"/>
      <c r="AL36" s="100"/>
      <c r="AM36" s="100"/>
      <c r="AN36" s="100"/>
      <c r="AO36" s="126"/>
      <c r="AP36" s="126"/>
      <c r="AQ36" s="126"/>
      <c r="AR36" s="126"/>
      <c r="AS36" s="126"/>
      <c r="AT36" s="126"/>
      <c r="AV36" s="3"/>
      <c r="AW36" s="3"/>
      <c r="AX36" s="3"/>
      <c r="AY36" s="3"/>
      <c r="AZ36" s="3"/>
      <c r="BA36" s="3"/>
      <c r="BB36" s="3"/>
      <c r="BC36" s="3"/>
    </row>
    <row r="37" spans="1:55" s="73" customFormat="1" ht="19.5" customHeight="1" x14ac:dyDescent="0.25">
      <c r="A37" s="67"/>
      <c r="B37" s="122">
        <v>27</v>
      </c>
      <c r="C37" s="123" t="s">
        <v>195</v>
      </c>
      <c r="D37" s="89">
        <v>20.861999999999998</v>
      </c>
      <c r="E37" s="88">
        <f t="shared" si="6"/>
        <v>5.5260999752064525E-3</v>
      </c>
      <c r="F37" s="89"/>
      <c r="G37" s="88"/>
      <c r="H37" s="89"/>
      <c r="I37" s="88"/>
      <c r="J37" s="89"/>
      <c r="K37" s="88"/>
      <c r="L37" s="89">
        <f t="shared" si="4"/>
        <v>20.861999999999998</v>
      </c>
      <c r="M37" s="97">
        <f t="shared" si="1"/>
        <v>1.447373688339276E-3</v>
      </c>
      <c r="N37" s="93">
        <v>165.64451800000001</v>
      </c>
      <c r="O37" s="88">
        <f t="shared" si="7"/>
        <v>5.8913059023395923E-3</v>
      </c>
      <c r="P37" s="89"/>
      <c r="Q37" s="88"/>
      <c r="R37" s="89"/>
      <c r="S37" s="94"/>
      <c r="T37" s="89"/>
      <c r="U37" s="94"/>
      <c r="V37" s="124">
        <f t="shared" si="5"/>
        <v>165.64451800000001</v>
      </c>
      <c r="W37" s="96">
        <f t="shared" si="2"/>
        <v>2.8062218615086602E-3</v>
      </c>
      <c r="X37" s="125">
        <v>13703.42299537544</v>
      </c>
      <c r="Y37" s="97">
        <f t="shared" si="3"/>
        <v>2.7543773819499822E-3</v>
      </c>
      <c r="Z37" s="67"/>
      <c r="AA37" s="84"/>
      <c r="AB37" s="84"/>
      <c r="AC37" s="128"/>
      <c r="AD37" s="84"/>
      <c r="AE37" s="84"/>
      <c r="AF37" s="84"/>
      <c r="AG37" s="84"/>
      <c r="AH37" s="84"/>
      <c r="AI37" s="84"/>
      <c r="AJ37" s="84"/>
      <c r="AK37" s="100"/>
      <c r="AL37" s="100"/>
      <c r="AM37" s="100"/>
      <c r="AN37" s="100"/>
      <c r="AO37" s="126"/>
      <c r="AP37" s="126"/>
      <c r="AQ37" s="126"/>
      <c r="AR37" s="126"/>
      <c r="AS37" s="126"/>
      <c r="AT37" s="126"/>
      <c r="AV37" s="3"/>
      <c r="AW37" s="3"/>
      <c r="AX37" s="3"/>
      <c r="AY37" s="3"/>
      <c r="AZ37" s="3"/>
      <c r="BA37" s="3"/>
      <c r="BB37" s="3"/>
      <c r="BC37" s="3"/>
    </row>
    <row r="38" spans="1:55" s="73" customFormat="1" ht="19.5" customHeight="1" x14ac:dyDescent="0.25">
      <c r="A38" s="67"/>
      <c r="B38" s="122">
        <v>28</v>
      </c>
      <c r="C38" s="123" t="s">
        <v>87</v>
      </c>
      <c r="D38" s="89">
        <v>467.78499999999997</v>
      </c>
      <c r="E38" s="88">
        <f t="shared" si="6"/>
        <v>0.1239107792590332</v>
      </c>
      <c r="F38" s="89"/>
      <c r="G38" s="88"/>
      <c r="H38" s="89"/>
      <c r="I38" s="88"/>
      <c r="J38" s="89"/>
      <c r="K38" s="88"/>
      <c r="L38" s="89">
        <f t="shared" si="4"/>
        <v>467.78499999999997</v>
      </c>
      <c r="M38" s="97">
        <f t="shared" si="1"/>
        <v>3.2454208647291163E-2</v>
      </c>
      <c r="N38" s="93">
        <v>1810.532991</v>
      </c>
      <c r="O38" s="88">
        <f t="shared" si="7"/>
        <v>6.4393339574683989E-2</v>
      </c>
      <c r="P38" s="89"/>
      <c r="Q38" s="88"/>
      <c r="R38" s="89"/>
      <c r="S38" s="94"/>
      <c r="T38" s="89"/>
      <c r="U38" s="94"/>
      <c r="V38" s="124">
        <f t="shared" si="5"/>
        <v>1810.532991</v>
      </c>
      <c r="W38" s="96">
        <f t="shared" si="2"/>
        <v>3.0672655646393696E-2</v>
      </c>
      <c r="X38" s="125">
        <v>159474.85403919834</v>
      </c>
      <c r="Y38" s="97">
        <f t="shared" si="3"/>
        <v>3.2054321836491491E-2</v>
      </c>
      <c r="Z38" s="67"/>
      <c r="AA38" s="84"/>
      <c r="AB38" s="84"/>
      <c r="AC38" s="128"/>
      <c r="AD38" s="84"/>
      <c r="AE38" s="84"/>
      <c r="AF38" s="84"/>
      <c r="AG38" s="84"/>
      <c r="AH38" s="84"/>
      <c r="AI38" s="84"/>
      <c r="AJ38" s="84"/>
      <c r="AK38" s="100"/>
      <c r="AL38" s="100"/>
      <c r="AM38" s="100"/>
      <c r="AN38" s="100"/>
      <c r="AO38" s="126"/>
      <c r="AP38" s="126"/>
      <c r="AQ38" s="126"/>
      <c r="AR38" s="126"/>
      <c r="AS38" s="126"/>
      <c r="AT38" s="126"/>
      <c r="AV38" s="3"/>
      <c r="AW38" s="3"/>
      <c r="AX38" s="3"/>
      <c r="AY38" s="3"/>
      <c r="AZ38" s="3"/>
      <c r="BA38" s="3"/>
      <c r="BB38" s="3"/>
      <c r="BC38" s="3"/>
    </row>
    <row r="39" spans="1:55" s="73" customFormat="1" ht="19.5" customHeight="1" x14ac:dyDescent="0.25">
      <c r="A39" s="67"/>
      <c r="B39" s="122">
        <v>29</v>
      </c>
      <c r="C39" s="123" t="s">
        <v>58</v>
      </c>
      <c r="D39" s="89">
        <v>96.759999999999991</v>
      </c>
      <c r="E39" s="88">
        <f t="shared" si="6"/>
        <v>2.563059311671826E-2</v>
      </c>
      <c r="F39" s="89"/>
      <c r="G39" s="88"/>
      <c r="H39" s="89"/>
      <c r="I39" s="88"/>
      <c r="J39" s="89"/>
      <c r="K39" s="88"/>
      <c r="L39" s="89">
        <f t="shared" si="4"/>
        <v>96.759999999999991</v>
      </c>
      <c r="M39" s="97">
        <f t="shared" si="1"/>
        <v>6.7130609761148667E-3</v>
      </c>
      <c r="N39" s="93">
        <v>324.01706800000005</v>
      </c>
      <c r="O39" s="88">
        <f t="shared" si="7"/>
        <v>1.1523977299189395E-2</v>
      </c>
      <c r="P39" s="89"/>
      <c r="Q39" s="88"/>
      <c r="R39" s="89"/>
      <c r="S39" s="94"/>
      <c r="T39" s="89"/>
      <c r="U39" s="94"/>
      <c r="V39" s="124">
        <f t="shared" si="5"/>
        <v>324.01706800000005</v>
      </c>
      <c r="W39" s="96">
        <f t="shared" si="2"/>
        <v>5.4892476412864944E-3</v>
      </c>
      <c r="X39" s="125">
        <v>36202.830398627331</v>
      </c>
      <c r="Y39" s="97">
        <f t="shared" si="3"/>
        <v>7.2767408001783275E-3</v>
      </c>
      <c r="Z39" s="67"/>
      <c r="AA39" s="84"/>
      <c r="AB39" s="84"/>
      <c r="AC39" s="128"/>
      <c r="AD39" s="84"/>
      <c r="AE39" s="84"/>
      <c r="AF39" s="84"/>
      <c r="AG39" s="84"/>
      <c r="AH39" s="84"/>
      <c r="AI39" s="84"/>
      <c r="AJ39" s="84"/>
      <c r="AK39" s="100"/>
      <c r="AL39" s="100"/>
      <c r="AM39" s="100"/>
      <c r="AN39" s="100"/>
      <c r="AO39" s="126"/>
      <c r="AP39" s="126"/>
      <c r="AQ39" s="126"/>
      <c r="AR39" s="126"/>
      <c r="AS39" s="126"/>
      <c r="AT39" s="126"/>
      <c r="AV39" s="3"/>
      <c r="AW39" s="3"/>
      <c r="AX39" s="3"/>
      <c r="AY39" s="3"/>
      <c r="AZ39" s="3"/>
      <c r="BA39" s="3"/>
      <c r="BB39" s="3"/>
      <c r="BC39" s="3"/>
    </row>
    <row r="40" spans="1:55" s="73" customFormat="1" ht="19.5" customHeight="1" x14ac:dyDescent="0.25">
      <c r="A40" s="67"/>
      <c r="B40" s="122">
        <v>30</v>
      </c>
      <c r="C40" s="123" t="s">
        <v>125</v>
      </c>
      <c r="D40" s="89">
        <v>19.899999999999999</v>
      </c>
      <c r="E40" s="88">
        <f t="shared" si="6"/>
        <v>5.2712774185892253E-3</v>
      </c>
      <c r="F40" s="89"/>
      <c r="G40" s="88"/>
      <c r="H40" s="89"/>
      <c r="I40" s="88"/>
      <c r="J40" s="89"/>
      <c r="K40" s="88"/>
      <c r="L40" s="89">
        <f t="shared" si="4"/>
        <v>19.899999999999999</v>
      </c>
      <c r="M40" s="97">
        <f t="shared" si="1"/>
        <v>1.3806315980227971E-3</v>
      </c>
      <c r="N40" s="93">
        <v>110.731844</v>
      </c>
      <c r="O40" s="88">
        <f t="shared" si="7"/>
        <v>3.9382840676571431E-3</v>
      </c>
      <c r="P40" s="89"/>
      <c r="Q40" s="88"/>
      <c r="R40" s="89"/>
      <c r="S40" s="94"/>
      <c r="T40" s="89"/>
      <c r="U40" s="94"/>
      <c r="V40" s="124">
        <f t="shared" si="5"/>
        <v>110.731844</v>
      </c>
      <c r="W40" s="96">
        <f t="shared" si="2"/>
        <v>1.8759336267196391E-3</v>
      </c>
      <c r="X40" s="125">
        <v>6871.7818116568233</v>
      </c>
      <c r="Y40" s="97">
        <f t="shared" si="3"/>
        <v>1.3812228084990423E-3</v>
      </c>
      <c r="Z40" s="67"/>
      <c r="AA40" s="84"/>
      <c r="AB40" s="84"/>
      <c r="AC40" s="128"/>
      <c r="AD40" s="84"/>
      <c r="AE40" s="84"/>
      <c r="AF40" s="84"/>
      <c r="AG40" s="84"/>
      <c r="AH40" s="84"/>
      <c r="AI40" s="84"/>
      <c r="AJ40" s="84"/>
      <c r="AK40" s="100"/>
      <c r="AL40" s="100"/>
      <c r="AM40" s="100"/>
      <c r="AN40" s="100"/>
      <c r="AO40" s="126"/>
      <c r="AP40" s="126"/>
      <c r="AQ40" s="126"/>
      <c r="AR40" s="126"/>
      <c r="AS40" s="126"/>
      <c r="AT40" s="126"/>
      <c r="AV40" s="3"/>
      <c r="AW40" s="3"/>
      <c r="AX40" s="3"/>
      <c r="AY40" s="3"/>
      <c r="AZ40" s="3"/>
      <c r="BA40" s="3"/>
      <c r="BB40" s="3"/>
      <c r="BC40" s="3"/>
    </row>
    <row r="41" spans="1:55" s="73" customFormat="1" ht="19.5" customHeight="1" x14ac:dyDescent="0.25">
      <c r="A41" s="67"/>
      <c r="B41" s="122">
        <v>31</v>
      </c>
      <c r="C41" s="123" t="s">
        <v>79</v>
      </c>
      <c r="D41" s="89">
        <v>20</v>
      </c>
      <c r="E41" s="88">
        <f t="shared" si="6"/>
        <v>5.2977662498384179E-3</v>
      </c>
      <c r="F41" s="89">
        <v>0.31</v>
      </c>
      <c r="G41" s="88">
        <f>F41/$F$90</f>
        <v>4.0307161373361206E-5</v>
      </c>
      <c r="H41" s="89"/>
      <c r="I41" s="88"/>
      <c r="J41" s="89"/>
      <c r="K41" s="88"/>
      <c r="L41" s="89">
        <f t="shared" si="4"/>
        <v>20.309999999999999</v>
      </c>
      <c r="M41" s="97">
        <f t="shared" si="1"/>
        <v>1.4090767716504024E-3</v>
      </c>
      <c r="N41" s="93">
        <v>101.35963599999999</v>
      </c>
      <c r="O41" s="88">
        <f t="shared" si="7"/>
        <v>3.6049525153968123E-3</v>
      </c>
      <c r="P41" s="89"/>
      <c r="Q41" s="88"/>
      <c r="R41" s="89"/>
      <c r="S41" s="94"/>
      <c r="T41" s="89"/>
      <c r="U41" s="94"/>
      <c r="V41" s="124">
        <f>N41+P41+R41+T41</f>
        <v>101.35963599999999</v>
      </c>
      <c r="W41" s="96">
        <f t="shared" si="2"/>
        <v>1.7171568962986157E-3</v>
      </c>
      <c r="X41" s="125">
        <v>8809.9142433141624</v>
      </c>
      <c r="Y41" s="97">
        <f t="shared" si="3"/>
        <v>1.7707859223854232E-3</v>
      </c>
      <c r="Z41" s="67"/>
      <c r="AA41" s="84"/>
      <c r="AB41" s="84"/>
      <c r="AC41" s="128"/>
      <c r="AD41" s="84"/>
      <c r="AE41" s="84"/>
      <c r="AF41" s="84"/>
      <c r="AG41" s="84"/>
      <c r="AH41" s="84"/>
      <c r="AI41" s="84"/>
      <c r="AJ41" s="84"/>
      <c r="AK41" s="100"/>
      <c r="AL41" s="100"/>
      <c r="AM41" s="100"/>
      <c r="AN41" s="100"/>
      <c r="AO41" s="126"/>
      <c r="AP41" s="126"/>
      <c r="AQ41" s="126"/>
      <c r="AR41" s="126"/>
      <c r="AS41" s="126"/>
      <c r="AT41" s="126"/>
      <c r="AV41" s="3"/>
      <c r="AW41" s="3"/>
      <c r="AX41" s="3"/>
      <c r="AY41" s="3"/>
      <c r="AZ41" s="3"/>
      <c r="BA41" s="3"/>
      <c r="BB41" s="3"/>
      <c r="BC41" s="3"/>
    </row>
    <row r="42" spans="1:55" s="73" customFormat="1" ht="19.5" customHeight="1" x14ac:dyDescent="0.25">
      <c r="A42" s="67"/>
      <c r="B42" s="122">
        <v>32</v>
      </c>
      <c r="C42" s="123" t="s">
        <v>104</v>
      </c>
      <c r="D42" s="89">
        <v>568.55100000000016</v>
      </c>
      <c r="E42" s="88">
        <f t="shared" si="6"/>
        <v>0.15060251495559415</v>
      </c>
      <c r="F42" s="89">
        <v>970.7</v>
      </c>
      <c r="G42" s="88">
        <f>F42/$F$90</f>
        <v>0.12621342433910235</v>
      </c>
      <c r="H42" s="89">
        <v>259.41500000000002</v>
      </c>
      <c r="I42" s="88">
        <f>H42/$H$90</f>
        <v>0.64666862766604516</v>
      </c>
      <c r="J42" s="89">
        <v>309.3</v>
      </c>
      <c r="K42" s="88">
        <f>J42/$J$90</f>
        <v>0.3047320663257766</v>
      </c>
      <c r="L42" s="89">
        <f t="shared" si="4"/>
        <v>2107.9660000000003</v>
      </c>
      <c r="M42" s="97">
        <f t="shared" si="1"/>
        <v>0.14624746066119218</v>
      </c>
      <c r="N42" s="93">
        <v>3213.8524630000002</v>
      </c>
      <c r="O42" s="88">
        <f t="shared" si="7"/>
        <v>0.11430374040220598</v>
      </c>
      <c r="P42" s="89">
        <v>4583.092036</v>
      </c>
      <c r="Q42" s="88">
        <f>P42/$P$90</f>
        <v>0.16605205088182326</v>
      </c>
      <c r="R42" s="89">
        <v>396.11109600000003</v>
      </c>
      <c r="S42" s="94">
        <f>R42/$R$90</f>
        <v>0.41417180514338564</v>
      </c>
      <c r="T42" s="89">
        <v>286.815811</v>
      </c>
      <c r="U42" s="94">
        <f>T42/$T$90</f>
        <v>0.12183721416943046</v>
      </c>
      <c r="V42" s="124">
        <f t="shared" ref="V42:V63" si="8">N42+P42+R42+T42</f>
        <v>8479.8714060000002</v>
      </c>
      <c r="W42" s="96">
        <f t="shared" si="2"/>
        <v>0.14365945103175332</v>
      </c>
      <c r="X42" s="125">
        <v>646075.44038089248</v>
      </c>
      <c r="Y42" s="97">
        <f t="shared" si="3"/>
        <v>0.12986066186667761</v>
      </c>
      <c r="Z42" s="67"/>
      <c r="AA42" s="84"/>
      <c r="AB42" s="84"/>
      <c r="AC42" s="128"/>
      <c r="AD42" s="84"/>
      <c r="AE42" s="84"/>
      <c r="AF42" s="84"/>
      <c r="AG42" s="84"/>
      <c r="AH42" s="84"/>
      <c r="AI42" s="84"/>
      <c r="AJ42" s="84"/>
      <c r="AK42" s="100"/>
      <c r="AL42" s="100"/>
      <c r="AM42" s="100"/>
      <c r="AN42" s="100"/>
      <c r="AO42" s="126"/>
      <c r="AP42" s="126"/>
      <c r="AQ42" s="126"/>
      <c r="AR42" s="126"/>
      <c r="AS42" s="126"/>
      <c r="AT42" s="126"/>
      <c r="AV42" s="3"/>
      <c r="AW42" s="3"/>
      <c r="AX42" s="3"/>
      <c r="AY42" s="3"/>
      <c r="AZ42" s="3"/>
      <c r="BA42" s="3"/>
      <c r="BB42" s="3"/>
      <c r="BC42" s="3"/>
    </row>
    <row r="43" spans="1:55" s="73" customFormat="1" ht="19.5" customHeight="1" x14ac:dyDescent="0.25">
      <c r="A43" s="67"/>
      <c r="B43" s="122">
        <v>33</v>
      </c>
      <c r="C43" s="123" t="s">
        <v>105</v>
      </c>
      <c r="D43" s="89"/>
      <c r="E43" s="88"/>
      <c r="F43" s="89">
        <v>330.34000000000003</v>
      </c>
      <c r="G43" s="88">
        <f>F43/$F$90</f>
        <v>4.2951831251858523E-2</v>
      </c>
      <c r="H43" s="89"/>
      <c r="I43" s="88"/>
      <c r="J43" s="89"/>
      <c r="K43" s="88"/>
      <c r="L43" s="89">
        <f t="shared" si="4"/>
        <v>330.34000000000003</v>
      </c>
      <c r="M43" s="97">
        <f t="shared" si="1"/>
        <v>2.2918484527178436E-2</v>
      </c>
      <c r="N43" s="93"/>
      <c r="O43" s="88"/>
      <c r="P43" s="89">
        <v>708.88318800000002</v>
      </c>
      <c r="Q43" s="88">
        <f>P43/$P$90</f>
        <v>2.5683862832870479E-2</v>
      </c>
      <c r="R43" s="89"/>
      <c r="S43" s="94"/>
      <c r="T43" s="89"/>
      <c r="U43" s="94"/>
      <c r="V43" s="124">
        <f t="shared" si="8"/>
        <v>708.88318800000002</v>
      </c>
      <c r="W43" s="96">
        <f t="shared" si="2"/>
        <v>1.2009353061847501E-2</v>
      </c>
      <c r="X43" s="125">
        <v>89795.153692614418</v>
      </c>
      <c r="Y43" s="97">
        <f t="shared" si="3"/>
        <v>1.804875617012823E-2</v>
      </c>
      <c r="Z43" s="67"/>
      <c r="AA43" s="84"/>
      <c r="AB43" s="84"/>
      <c r="AC43" s="128"/>
      <c r="AD43" s="84"/>
      <c r="AE43" s="84"/>
      <c r="AF43" s="84"/>
      <c r="AG43" s="84"/>
      <c r="AH43" s="84"/>
      <c r="AI43" s="84"/>
      <c r="AJ43" s="84"/>
      <c r="AK43" s="100"/>
      <c r="AL43" s="100"/>
      <c r="AM43" s="100"/>
      <c r="AN43" s="100"/>
      <c r="AO43" s="126"/>
      <c r="AP43" s="126"/>
      <c r="AQ43" s="126"/>
      <c r="AR43" s="126"/>
      <c r="AS43" s="126"/>
      <c r="AT43" s="126"/>
      <c r="AV43" s="3"/>
      <c r="AW43" s="3"/>
      <c r="AX43" s="3"/>
      <c r="AY43" s="3"/>
      <c r="AZ43" s="3"/>
      <c r="BA43" s="3"/>
      <c r="BB43" s="3"/>
      <c r="BC43" s="3"/>
    </row>
    <row r="44" spans="1:55" s="73" customFormat="1" ht="19.5" customHeight="1" x14ac:dyDescent="0.25">
      <c r="A44" s="67"/>
      <c r="B44" s="122">
        <v>34</v>
      </c>
      <c r="C44" s="123" t="s">
        <v>196</v>
      </c>
      <c r="D44" s="89"/>
      <c r="E44" s="88"/>
      <c r="F44" s="89"/>
      <c r="G44" s="88"/>
      <c r="H44" s="89"/>
      <c r="I44" s="88"/>
      <c r="J44" s="89"/>
      <c r="K44" s="88"/>
      <c r="L44" s="89">
        <f t="shared" si="4"/>
        <v>0</v>
      </c>
      <c r="M44" s="97">
        <f t="shared" si="1"/>
        <v>0</v>
      </c>
      <c r="N44" s="93"/>
      <c r="O44" s="88"/>
      <c r="P44" s="89"/>
      <c r="Q44" s="88"/>
      <c r="R44" s="89">
        <v>201.47084699999999</v>
      </c>
      <c r="S44" s="94">
        <f>R44/$R$90</f>
        <v>0.21065692233412431</v>
      </c>
      <c r="T44" s="89">
        <v>198.92968200000001</v>
      </c>
      <c r="U44" s="94">
        <f>T44/$T$90</f>
        <v>8.4503843027296341E-2</v>
      </c>
      <c r="V44" s="124">
        <f t="shared" si="8"/>
        <v>400.40052900000001</v>
      </c>
      <c r="W44" s="96">
        <f t="shared" si="2"/>
        <v>6.783277414827771E-3</v>
      </c>
      <c r="X44" s="125">
        <v>36845.12151239629</v>
      </c>
      <c r="Y44" s="97">
        <f t="shared" si="3"/>
        <v>7.4058408153343733E-3</v>
      </c>
      <c r="Z44" s="67"/>
      <c r="AA44" s="84"/>
      <c r="AB44" s="84"/>
      <c r="AC44" s="128"/>
      <c r="AD44" s="84"/>
      <c r="AE44" s="84"/>
      <c r="AF44" s="84"/>
      <c r="AG44" s="84"/>
      <c r="AH44" s="84"/>
      <c r="AI44" s="84"/>
      <c r="AJ44" s="84"/>
      <c r="AK44" s="100"/>
      <c r="AL44" s="100"/>
      <c r="AM44" s="100"/>
      <c r="AN44" s="100"/>
      <c r="AO44" s="126"/>
      <c r="AP44" s="126"/>
      <c r="AQ44" s="126"/>
      <c r="AR44" s="126"/>
      <c r="AS44" s="126"/>
      <c r="AT44" s="126"/>
      <c r="AV44" s="3"/>
      <c r="AW44" s="3"/>
      <c r="AX44" s="3"/>
      <c r="AY44" s="3"/>
      <c r="AZ44" s="3"/>
      <c r="BA44" s="3"/>
      <c r="BB44" s="3"/>
      <c r="BC44" s="3"/>
    </row>
    <row r="45" spans="1:55" s="73" customFormat="1" ht="19.5" customHeight="1" x14ac:dyDescent="0.25">
      <c r="A45" s="67"/>
      <c r="B45" s="122">
        <v>35</v>
      </c>
      <c r="C45" s="123" t="s">
        <v>80</v>
      </c>
      <c r="D45" s="89"/>
      <c r="E45" s="88"/>
      <c r="F45" s="89"/>
      <c r="G45" s="88"/>
      <c r="H45" s="89"/>
      <c r="I45" s="88"/>
      <c r="J45" s="89">
        <v>110</v>
      </c>
      <c r="K45" s="88">
        <f t="shared" ref="K45:K47" si="9">J45/$J$90</f>
        <v>0.1083754519748963</v>
      </c>
      <c r="L45" s="89">
        <f t="shared" si="4"/>
        <v>110</v>
      </c>
      <c r="M45" s="97">
        <f t="shared" si="1"/>
        <v>7.6316319488697335E-3</v>
      </c>
      <c r="N45" s="93"/>
      <c r="O45" s="88"/>
      <c r="P45" s="89"/>
      <c r="Q45" s="88"/>
      <c r="R45" s="89"/>
      <c r="S45" s="94"/>
      <c r="T45" s="89">
        <v>397.78280000000001</v>
      </c>
      <c r="U45" s="94">
        <f>T45/$T$90</f>
        <v>0.16897516223928019</v>
      </c>
      <c r="V45" s="124">
        <f t="shared" si="8"/>
        <v>397.78280000000001</v>
      </c>
      <c r="W45" s="96">
        <f t="shared" si="2"/>
        <v>6.7389298660166163E-3</v>
      </c>
      <c r="X45" s="125">
        <v>58201.320050682312</v>
      </c>
      <c r="Y45" s="97">
        <f t="shared" si="3"/>
        <v>1.1698420139357252E-2</v>
      </c>
      <c r="Z45" s="67"/>
      <c r="AA45" s="84"/>
      <c r="AB45" s="84"/>
      <c r="AC45" s="128"/>
      <c r="AD45" s="84"/>
      <c r="AE45" s="84"/>
      <c r="AF45" s="84"/>
      <c r="AG45" s="84"/>
      <c r="AH45" s="84"/>
      <c r="AI45" s="84"/>
      <c r="AJ45" s="84"/>
      <c r="AK45" s="100"/>
      <c r="AL45" s="100"/>
      <c r="AM45" s="100"/>
      <c r="AN45" s="100"/>
      <c r="AO45" s="126"/>
      <c r="AP45" s="126"/>
      <c r="AQ45" s="126"/>
      <c r="AR45" s="126"/>
      <c r="AS45" s="126"/>
      <c r="AT45" s="126"/>
      <c r="AV45" s="3"/>
      <c r="AW45" s="3"/>
      <c r="AX45" s="3"/>
      <c r="AY45" s="3"/>
      <c r="AZ45" s="3"/>
      <c r="BA45" s="3"/>
      <c r="BB45" s="3"/>
      <c r="BC45" s="3"/>
    </row>
    <row r="46" spans="1:55" s="73" customFormat="1" ht="19.5" customHeight="1" x14ac:dyDescent="0.25">
      <c r="A46" s="67"/>
      <c r="B46" s="122">
        <v>36</v>
      </c>
      <c r="C46" s="123" t="s">
        <v>213</v>
      </c>
      <c r="D46" s="89"/>
      <c r="E46" s="88"/>
      <c r="F46" s="89"/>
      <c r="G46" s="88"/>
      <c r="H46" s="89"/>
      <c r="I46" s="88"/>
      <c r="J46" s="89">
        <v>135.70000000000002</v>
      </c>
      <c r="K46" s="88">
        <f t="shared" si="9"/>
        <v>0.13369589848175845</v>
      </c>
      <c r="L46" s="89">
        <f t="shared" si="4"/>
        <v>135.70000000000002</v>
      </c>
      <c r="M46" s="97">
        <f t="shared" si="1"/>
        <v>9.4146586860147548E-3</v>
      </c>
      <c r="N46" s="93"/>
      <c r="O46" s="88"/>
      <c r="P46" s="89"/>
      <c r="Q46" s="88"/>
      <c r="R46" s="89"/>
      <c r="S46" s="94"/>
      <c r="T46" s="89">
        <v>36.607607999999999</v>
      </c>
      <c r="U46" s="94">
        <f t="shared" ref="U46:U47" si="10">T46/$T$90</f>
        <v>1.5550638441360388E-2</v>
      </c>
      <c r="V46" s="124">
        <f t="shared" si="8"/>
        <v>36.607607999999999</v>
      </c>
      <c r="W46" s="96">
        <f t="shared" si="2"/>
        <v>6.2017790330458941E-4</v>
      </c>
      <c r="X46" s="125">
        <v>93.105297704567988</v>
      </c>
      <c r="Y46" s="97">
        <f t="shared" si="3"/>
        <v>1.8714092546345981E-5</v>
      </c>
      <c r="Z46" s="67"/>
      <c r="AA46" s="84"/>
      <c r="AB46" s="84"/>
      <c r="AC46" s="128"/>
      <c r="AD46" s="84"/>
      <c r="AE46" s="84"/>
      <c r="AF46" s="84"/>
      <c r="AG46" s="84"/>
      <c r="AH46" s="84"/>
      <c r="AI46" s="84"/>
      <c r="AJ46" s="84"/>
      <c r="AK46" s="100"/>
      <c r="AL46" s="100"/>
      <c r="AM46" s="100"/>
      <c r="AN46" s="100"/>
      <c r="AO46" s="126"/>
      <c r="AP46" s="126"/>
      <c r="AQ46" s="126"/>
      <c r="AR46" s="126"/>
      <c r="AS46" s="126"/>
      <c r="AT46" s="126"/>
      <c r="AV46" s="3"/>
      <c r="AW46" s="3"/>
      <c r="AX46" s="3"/>
      <c r="AY46" s="3"/>
      <c r="AZ46" s="3"/>
      <c r="BA46" s="3"/>
      <c r="BB46" s="3"/>
      <c r="BC46" s="3"/>
    </row>
    <row r="47" spans="1:55" s="73" customFormat="1" ht="19.5" customHeight="1" x14ac:dyDescent="0.25">
      <c r="A47" s="67"/>
      <c r="B47" s="122">
        <v>37</v>
      </c>
      <c r="C47" s="123" t="s">
        <v>106</v>
      </c>
      <c r="D47" s="89">
        <v>247.75899999999999</v>
      </c>
      <c r="E47" s="88">
        <f>D47/$D$83</f>
        <v>6.5628463414685825E-2</v>
      </c>
      <c r="F47" s="89">
        <v>2259.86</v>
      </c>
      <c r="G47" s="88">
        <f t="shared" ref="G47:G48" si="11">F47/$F$90</f>
        <v>0.29383400548775501</v>
      </c>
      <c r="H47" s="89">
        <v>44.540999999999997</v>
      </c>
      <c r="I47" s="88">
        <f>H47/$H$90</f>
        <v>0.11103161862218189</v>
      </c>
      <c r="J47" s="89">
        <v>294</v>
      </c>
      <c r="K47" s="88">
        <f t="shared" si="9"/>
        <v>0.28965802618745012</v>
      </c>
      <c r="L47" s="89">
        <f t="shared" si="4"/>
        <v>2846.1600000000003</v>
      </c>
      <c r="M47" s="97">
        <f t="shared" si="1"/>
        <v>0.19746223261450074</v>
      </c>
      <c r="N47" s="93">
        <v>947.86967800000002</v>
      </c>
      <c r="O47" s="88">
        <f>N47/$N$90</f>
        <v>3.3711892769370901E-2</v>
      </c>
      <c r="P47" s="89">
        <v>7053.5689339999999</v>
      </c>
      <c r="Q47" s="88">
        <f t="shared" ref="Q47:Q48" si="12">P47/$P$90</f>
        <v>0.25556100081054883</v>
      </c>
      <c r="R47" s="89">
        <v>107.15962400000001</v>
      </c>
      <c r="S47" s="94">
        <f>R47/$R$90</f>
        <v>0.11204557347357538</v>
      </c>
      <c r="T47" s="89">
        <v>707.82431399999996</v>
      </c>
      <c r="U47" s="94">
        <f t="shared" si="10"/>
        <v>0.30067848156093524</v>
      </c>
      <c r="V47" s="124">
        <f t="shared" si="8"/>
        <v>8816.4225499999993</v>
      </c>
      <c r="W47" s="96">
        <f t="shared" si="2"/>
        <v>0.14936104133616981</v>
      </c>
      <c r="X47" s="125">
        <v>697383.92864205479</v>
      </c>
      <c r="Y47" s="97">
        <f t="shared" si="3"/>
        <v>0.14017362816832971</v>
      </c>
      <c r="Z47" s="67"/>
      <c r="AA47" s="84"/>
      <c r="AB47" s="84"/>
      <c r="AC47" s="128"/>
      <c r="AD47" s="84"/>
      <c r="AE47" s="84"/>
      <c r="AF47" s="84"/>
      <c r="AG47" s="84"/>
      <c r="AH47" s="84"/>
      <c r="AI47" s="84"/>
      <c r="AJ47" s="84"/>
      <c r="AK47" s="100"/>
      <c r="AL47" s="100"/>
      <c r="AM47" s="100"/>
      <c r="AN47" s="100"/>
      <c r="AO47" s="126"/>
      <c r="AP47" s="126"/>
      <c r="AQ47" s="126"/>
      <c r="AR47" s="126"/>
      <c r="AS47" s="126"/>
      <c r="AT47" s="126"/>
      <c r="AV47" s="3"/>
      <c r="AW47" s="3"/>
      <c r="AX47" s="3"/>
      <c r="AY47" s="3"/>
      <c r="AZ47" s="3"/>
      <c r="BA47" s="3"/>
      <c r="BB47" s="3"/>
      <c r="BC47" s="3"/>
    </row>
    <row r="48" spans="1:55" s="73" customFormat="1" ht="19.5" customHeight="1" x14ac:dyDescent="0.25">
      <c r="A48" s="67"/>
      <c r="B48" s="122">
        <v>38</v>
      </c>
      <c r="C48" s="123" t="s">
        <v>107</v>
      </c>
      <c r="D48" s="89"/>
      <c r="E48" s="88"/>
      <c r="F48" s="89">
        <v>578.79999999999995</v>
      </c>
      <c r="G48" s="88">
        <f t="shared" si="11"/>
        <v>7.5257370977101501E-2</v>
      </c>
      <c r="H48" s="89"/>
      <c r="I48" s="88"/>
      <c r="J48" s="89"/>
      <c r="K48" s="88"/>
      <c r="L48" s="89">
        <f t="shared" si="4"/>
        <v>578.79999999999995</v>
      </c>
      <c r="M48" s="97">
        <f t="shared" ref="M48:M79" si="13">L48/$L$90</f>
        <v>4.0156259745507288E-2</v>
      </c>
      <c r="N48" s="93"/>
      <c r="O48" s="88"/>
      <c r="P48" s="89">
        <v>3383.9372860000003</v>
      </c>
      <c r="Q48" s="88">
        <f t="shared" si="12"/>
        <v>0.12260494050348392</v>
      </c>
      <c r="R48" s="89"/>
      <c r="S48" s="94"/>
      <c r="T48" s="89"/>
      <c r="U48" s="94"/>
      <c r="V48" s="124">
        <f t="shared" si="8"/>
        <v>3383.9372860000003</v>
      </c>
      <c r="W48" s="96">
        <f t="shared" ref="W48:W79" si="14">V48/$V$90</f>
        <v>5.7328059537397329E-2</v>
      </c>
      <c r="X48" s="125">
        <v>323137.13669472281</v>
      </c>
      <c r="Y48" s="97">
        <f t="shared" ref="Y48:Y79" si="15">X48/$X$90</f>
        <v>6.4950313573505739E-2</v>
      </c>
      <c r="Z48" s="67"/>
      <c r="AA48" s="84"/>
      <c r="AB48" s="84"/>
      <c r="AC48" s="128"/>
      <c r="AD48" s="84"/>
      <c r="AE48" s="84"/>
      <c r="AF48" s="84"/>
      <c r="AG48" s="84"/>
      <c r="AH48" s="84"/>
      <c r="AI48" s="84"/>
      <c r="AJ48" s="84"/>
      <c r="AK48" s="100"/>
      <c r="AL48" s="100"/>
      <c r="AM48" s="100"/>
      <c r="AN48" s="100"/>
      <c r="AO48" s="126"/>
      <c r="AP48" s="126"/>
      <c r="AQ48" s="126"/>
      <c r="AR48" s="126"/>
      <c r="AS48" s="126"/>
      <c r="AT48" s="126"/>
      <c r="AV48" s="3"/>
      <c r="AW48" s="3"/>
      <c r="AX48" s="3"/>
      <c r="AY48" s="3"/>
      <c r="AZ48" s="3"/>
      <c r="BA48" s="3"/>
      <c r="BB48" s="3"/>
      <c r="BC48" s="3"/>
    </row>
    <row r="49" spans="1:55" s="67" customFormat="1" ht="19.5" customHeight="1" x14ac:dyDescent="0.25">
      <c r="B49" s="122">
        <v>39</v>
      </c>
      <c r="C49" s="123" t="s">
        <v>146</v>
      </c>
      <c r="D49" s="89">
        <v>27.4</v>
      </c>
      <c r="E49" s="88">
        <f>D49/$D$83</f>
        <v>7.2579397622786314E-3</v>
      </c>
      <c r="F49" s="89"/>
      <c r="G49" s="88"/>
      <c r="H49" s="89"/>
      <c r="I49" s="88"/>
      <c r="J49" s="89"/>
      <c r="K49" s="88"/>
      <c r="L49" s="89">
        <f t="shared" si="4"/>
        <v>27.4</v>
      </c>
      <c r="M49" s="97">
        <f t="shared" si="13"/>
        <v>1.900970139991188E-3</v>
      </c>
      <c r="N49" s="93">
        <v>162.50194999999999</v>
      </c>
      <c r="O49" s="88">
        <f t="shared" ref="O49:O50" si="16">N49/$N$90</f>
        <v>5.779537462125328E-3</v>
      </c>
      <c r="P49" s="89"/>
      <c r="Q49" s="88"/>
      <c r="R49" s="89"/>
      <c r="S49" s="94"/>
      <c r="T49" s="89"/>
      <c r="U49" s="94"/>
      <c r="V49" s="124">
        <f t="shared" si="8"/>
        <v>162.50194999999999</v>
      </c>
      <c r="W49" s="96">
        <f t="shared" si="14"/>
        <v>2.7529828945367643E-3</v>
      </c>
      <c r="X49" s="125">
        <v>10171.784124090953</v>
      </c>
      <c r="Y49" s="97">
        <f t="shared" si="15"/>
        <v>2.0445207109879801E-3</v>
      </c>
      <c r="AA49" s="84"/>
      <c r="AB49" s="84"/>
      <c r="AC49" s="128"/>
      <c r="AD49" s="84"/>
      <c r="AE49" s="84"/>
      <c r="AF49" s="84"/>
      <c r="AG49" s="84"/>
      <c r="AH49" s="84"/>
      <c r="AI49" s="84"/>
      <c r="AJ49" s="84"/>
      <c r="AK49" s="100"/>
      <c r="AL49" s="100"/>
      <c r="AM49" s="100"/>
      <c r="AN49" s="100"/>
      <c r="AO49" s="126"/>
      <c r="AP49" s="126"/>
      <c r="AQ49" s="126"/>
      <c r="AR49" s="126"/>
      <c r="AS49" s="126"/>
      <c r="AT49" s="126"/>
      <c r="AU49" s="73"/>
      <c r="AV49" s="5"/>
      <c r="AW49" s="5"/>
      <c r="AX49" s="5"/>
      <c r="AY49" s="5"/>
      <c r="AZ49" s="5"/>
      <c r="BA49" s="5"/>
      <c r="BB49" s="5"/>
      <c r="BC49" s="5"/>
    </row>
    <row r="50" spans="1:55" s="73" customFormat="1" ht="19.5" customHeight="1" x14ac:dyDescent="0.25">
      <c r="A50" s="67"/>
      <c r="B50" s="122">
        <v>40</v>
      </c>
      <c r="C50" s="123" t="s">
        <v>29</v>
      </c>
      <c r="D50" s="89">
        <v>72.86</v>
      </c>
      <c r="E50" s="88">
        <f>D50/$D$83</f>
        <v>1.9299762448161357E-2</v>
      </c>
      <c r="F50" s="89"/>
      <c r="G50" s="88"/>
      <c r="H50" s="89"/>
      <c r="I50" s="88"/>
      <c r="J50" s="89"/>
      <c r="K50" s="88"/>
      <c r="L50" s="89">
        <f t="shared" si="4"/>
        <v>72.86</v>
      </c>
      <c r="M50" s="97">
        <f t="shared" si="13"/>
        <v>5.0549154890422617E-3</v>
      </c>
      <c r="N50" s="93">
        <v>347.93826308249999</v>
      </c>
      <c r="O50" s="88">
        <f t="shared" si="16"/>
        <v>1.2374757509015287E-2</v>
      </c>
      <c r="P50" s="89"/>
      <c r="Q50" s="88"/>
      <c r="R50" s="89"/>
      <c r="S50" s="94"/>
      <c r="T50" s="89"/>
      <c r="U50" s="94"/>
      <c r="V50" s="124">
        <f t="shared" si="8"/>
        <v>347.93826308249999</v>
      </c>
      <c r="W50" s="96">
        <f t="shared" si="14"/>
        <v>5.8945021067190583E-3</v>
      </c>
      <c r="X50" s="125">
        <v>25839.358749883078</v>
      </c>
      <c r="Y50" s="97">
        <f t="shared" si="15"/>
        <v>5.1936910455721791E-3</v>
      </c>
      <c r="Z50" s="67"/>
      <c r="AA50" s="84"/>
      <c r="AB50" s="84"/>
      <c r="AC50" s="128"/>
      <c r="AD50" s="84"/>
      <c r="AE50" s="84"/>
      <c r="AF50" s="84"/>
      <c r="AG50" s="84"/>
      <c r="AH50" s="84"/>
      <c r="AI50" s="84"/>
      <c r="AJ50" s="84"/>
      <c r="AK50" s="100"/>
      <c r="AL50" s="100"/>
      <c r="AM50" s="100"/>
      <c r="AN50" s="100"/>
      <c r="AO50" s="126"/>
      <c r="AP50" s="126"/>
      <c r="AQ50" s="126"/>
      <c r="AR50" s="126"/>
      <c r="AS50" s="126"/>
      <c r="AT50" s="126"/>
      <c r="AV50" s="3"/>
      <c r="AW50" s="3"/>
      <c r="AX50" s="3"/>
      <c r="AY50" s="3"/>
      <c r="AZ50" s="3"/>
      <c r="BA50" s="3"/>
      <c r="BB50" s="3"/>
      <c r="BC50" s="3"/>
    </row>
    <row r="51" spans="1:55" s="73" customFormat="1" ht="19.5" customHeight="1" x14ac:dyDescent="0.25">
      <c r="A51" s="67"/>
      <c r="B51" s="122">
        <v>41</v>
      </c>
      <c r="C51" s="123" t="s">
        <v>147</v>
      </c>
      <c r="D51" s="89"/>
      <c r="E51" s="88"/>
      <c r="F51" s="89">
        <v>81.199999999999989</v>
      </c>
      <c r="G51" s="88">
        <f t="shared" ref="G51:G52" si="17">F51/$F$90</f>
        <v>1.0557875817796547E-2</v>
      </c>
      <c r="H51" s="89"/>
      <c r="I51" s="88"/>
      <c r="J51" s="89"/>
      <c r="K51" s="88"/>
      <c r="L51" s="89">
        <f t="shared" si="4"/>
        <v>81.199999999999989</v>
      </c>
      <c r="M51" s="97">
        <f t="shared" si="13"/>
        <v>5.6335319477111116E-3</v>
      </c>
      <c r="N51" s="93"/>
      <c r="O51" s="88"/>
      <c r="P51" s="89">
        <v>373.82893200000001</v>
      </c>
      <c r="Q51" s="88">
        <f t="shared" ref="Q51" si="18">P51/$P$90</f>
        <v>1.3544362703162971E-2</v>
      </c>
      <c r="R51" s="89"/>
      <c r="S51" s="94"/>
      <c r="T51" s="89"/>
      <c r="U51" s="94"/>
      <c r="V51" s="124">
        <f t="shared" si="8"/>
        <v>373.82893200000001</v>
      </c>
      <c r="W51" s="96">
        <f t="shared" si="14"/>
        <v>6.3331218811771015E-3</v>
      </c>
      <c r="X51" s="125">
        <v>8337.741561964207</v>
      </c>
      <c r="Y51" s="97">
        <f t="shared" si="15"/>
        <v>1.675879580055927E-3</v>
      </c>
      <c r="Z51" s="67"/>
      <c r="AA51" s="84"/>
      <c r="AB51" s="84"/>
      <c r="AC51" s="128"/>
      <c r="AD51" s="84"/>
      <c r="AE51" s="84"/>
      <c r="AF51" s="84"/>
      <c r="AG51" s="84"/>
      <c r="AH51" s="84"/>
      <c r="AI51" s="84"/>
      <c r="AJ51" s="84"/>
      <c r="AK51" s="100"/>
      <c r="AL51" s="100"/>
      <c r="AM51" s="100"/>
      <c r="AN51" s="100"/>
      <c r="AO51" s="126"/>
      <c r="AP51" s="126"/>
      <c r="AQ51" s="126"/>
      <c r="AR51" s="126"/>
      <c r="AS51" s="126"/>
      <c r="AT51" s="126"/>
      <c r="AV51" s="3"/>
      <c r="AW51" s="3"/>
      <c r="AX51" s="3"/>
      <c r="AY51" s="3"/>
      <c r="AZ51" s="3"/>
      <c r="BA51" s="3"/>
      <c r="BB51" s="3"/>
      <c r="BC51" s="3"/>
    </row>
    <row r="52" spans="1:55" s="73" customFormat="1" ht="19.5" customHeight="1" x14ac:dyDescent="0.25">
      <c r="A52" s="67"/>
      <c r="B52" s="122">
        <v>42</v>
      </c>
      <c r="C52" s="123" t="s">
        <v>214</v>
      </c>
      <c r="D52" s="89"/>
      <c r="E52" s="88"/>
      <c r="F52" s="89">
        <v>102.34</v>
      </c>
      <c r="G52" s="88">
        <f t="shared" si="17"/>
        <v>1.3306564177257374E-2</v>
      </c>
      <c r="H52" s="89"/>
      <c r="I52" s="88"/>
      <c r="J52" s="89"/>
      <c r="K52" s="88"/>
      <c r="L52" s="89">
        <f t="shared" si="4"/>
        <v>102.34</v>
      </c>
      <c r="M52" s="97">
        <f t="shared" si="13"/>
        <v>7.1001928513393505E-3</v>
      </c>
      <c r="N52" s="93"/>
      <c r="O52" s="88"/>
      <c r="P52" s="89"/>
      <c r="Q52" s="88"/>
      <c r="R52" s="89"/>
      <c r="S52" s="94"/>
      <c r="T52" s="89"/>
      <c r="U52" s="94"/>
      <c r="V52" s="124">
        <f t="shared" si="8"/>
        <v>0</v>
      </c>
      <c r="W52" s="96">
        <f t="shared" si="14"/>
        <v>0</v>
      </c>
      <c r="X52" s="125">
        <v>0</v>
      </c>
      <c r="Y52" s="97">
        <f t="shared" si="15"/>
        <v>0</v>
      </c>
      <c r="Z52" s="67"/>
      <c r="AA52" s="84"/>
      <c r="AB52" s="84"/>
      <c r="AC52" s="128"/>
      <c r="AD52" s="84"/>
      <c r="AE52" s="84"/>
      <c r="AF52" s="84"/>
      <c r="AG52" s="84"/>
      <c r="AH52" s="84"/>
      <c r="AI52" s="84"/>
      <c r="AJ52" s="84"/>
      <c r="AK52" s="100"/>
      <c r="AL52" s="100"/>
      <c r="AM52" s="100"/>
      <c r="AN52" s="100"/>
      <c r="AO52" s="126"/>
      <c r="AP52" s="126"/>
      <c r="AQ52" s="126"/>
      <c r="AR52" s="126"/>
      <c r="AS52" s="126"/>
      <c r="AT52" s="126"/>
      <c r="AV52" s="3"/>
      <c r="AW52" s="3"/>
      <c r="AX52" s="3"/>
      <c r="AY52" s="3"/>
      <c r="AZ52" s="3"/>
      <c r="BA52" s="3"/>
      <c r="BB52" s="3"/>
      <c r="BC52" s="3"/>
    </row>
    <row r="53" spans="1:55" s="73" customFormat="1" ht="19.5" customHeight="1" x14ac:dyDescent="0.25">
      <c r="A53" s="67"/>
      <c r="B53" s="122">
        <v>43</v>
      </c>
      <c r="C53" s="123" t="s">
        <v>148</v>
      </c>
      <c r="D53" s="89"/>
      <c r="E53" s="88"/>
      <c r="F53" s="89"/>
      <c r="G53" s="88"/>
      <c r="H53" s="89"/>
      <c r="I53" s="88"/>
      <c r="J53" s="89">
        <v>18.37</v>
      </c>
      <c r="K53" s="88">
        <f t="shared" ref="K53:K54" si="19">J53/$J$90</f>
        <v>1.8098700479807682E-2</v>
      </c>
      <c r="L53" s="89">
        <f t="shared" si="4"/>
        <v>18.37</v>
      </c>
      <c r="M53" s="97">
        <f t="shared" si="13"/>
        <v>1.2744825354612456E-3</v>
      </c>
      <c r="N53" s="93"/>
      <c r="O53" s="88"/>
      <c r="P53" s="89"/>
      <c r="Q53" s="88"/>
      <c r="R53" s="89"/>
      <c r="S53" s="94"/>
      <c r="T53" s="89">
        <v>68.227757000000011</v>
      </c>
      <c r="U53" s="94">
        <f t="shared" ref="U53:U54" si="20">T53/$T$90</f>
        <v>2.8982641552870527E-2</v>
      </c>
      <c r="V53" s="124">
        <f t="shared" si="8"/>
        <v>68.227757000000011</v>
      </c>
      <c r="W53" s="96">
        <f t="shared" si="14"/>
        <v>1.1558621170614323E-3</v>
      </c>
      <c r="X53" s="125">
        <v>6899.4514339584966</v>
      </c>
      <c r="Y53" s="97">
        <f t="shared" si="15"/>
        <v>1.3867843810974033E-3</v>
      </c>
      <c r="Z53" s="67"/>
      <c r="AA53" s="84"/>
      <c r="AB53" s="84"/>
      <c r="AC53" s="128"/>
      <c r="AD53" s="84"/>
      <c r="AE53" s="84"/>
      <c r="AF53" s="84"/>
      <c r="AG53" s="84"/>
      <c r="AH53" s="84"/>
      <c r="AI53" s="84"/>
      <c r="AJ53" s="84"/>
      <c r="AK53" s="100"/>
      <c r="AL53" s="100"/>
      <c r="AM53" s="100"/>
      <c r="AN53" s="100"/>
      <c r="AO53" s="126"/>
      <c r="AP53" s="126"/>
      <c r="AQ53" s="126"/>
      <c r="AR53" s="126"/>
      <c r="AS53" s="126"/>
      <c r="AT53" s="126"/>
      <c r="AV53" s="3"/>
      <c r="AW53" s="3"/>
      <c r="AX53" s="3"/>
      <c r="AY53" s="3"/>
      <c r="AZ53" s="3"/>
      <c r="BA53" s="3"/>
      <c r="BB53" s="3"/>
      <c r="BC53" s="3"/>
    </row>
    <row r="54" spans="1:55" s="73" customFormat="1" ht="19.5" customHeight="1" x14ac:dyDescent="0.25">
      <c r="A54" s="67"/>
      <c r="B54" s="122">
        <v>44</v>
      </c>
      <c r="C54" s="123" t="s">
        <v>149</v>
      </c>
      <c r="D54" s="89"/>
      <c r="E54" s="88"/>
      <c r="F54" s="89"/>
      <c r="G54" s="88"/>
      <c r="H54" s="89"/>
      <c r="I54" s="88"/>
      <c r="J54" s="89">
        <v>18.37</v>
      </c>
      <c r="K54" s="88">
        <f t="shared" si="19"/>
        <v>1.8098700479807682E-2</v>
      </c>
      <c r="L54" s="89">
        <f t="shared" si="4"/>
        <v>18.37</v>
      </c>
      <c r="M54" s="97">
        <f t="shared" si="13"/>
        <v>1.2744825354612456E-3</v>
      </c>
      <c r="N54" s="93"/>
      <c r="O54" s="88"/>
      <c r="P54" s="89"/>
      <c r="Q54" s="88"/>
      <c r="R54" s="89"/>
      <c r="S54" s="94"/>
      <c r="T54" s="89">
        <v>82.451320999999993</v>
      </c>
      <c r="U54" s="94">
        <f t="shared" si="20"/>
        <v>3.5024705298514584E-2</v>
      </c>
      <c r="V54" s="124">
        <f t="shared" si="8"/>
        <v>82.451320999999993</v>
      </c>
      <c r="W54" s="96">
        <f t="shared" si="14"/>
        <v>1.3968267848167969E-3</v>
      </c>
      <c r="X54" s="125">
        <v>8222.5194377713378</v>
      </c>
      <c r="Y54" s="97">
        <f t="shared" si="15"/>
        <v>1.6527200225582E-3</v>
      </c>
      <c r="Z54" s="67"/>
      <c r="AA54" s="84"/>
      <c r="AB54" s="84"/>
      <c r="AC54" s="128"/>
      <c r="AD54" s="84"/>
      <c r="AE54" s="84"/>
      <c r="AF54" s="84"/>
      <c r="AG54" s="84"/>
      <c r="AH54" s="84"/>
      <c r="AI54" s="84"/>
      <c r="AJ54" s="84"/>
      <c r="AK54" s="100"/>
      <c r="AL54" s="100"/>
      <c r="AM54" s="100"/>
      <c r="AN54" s="100"/>
      <c r="AO54" s="126"/>
      <c r="AP54" s="126"/>
      <c r="AQ54" s="126"/>
      <c r="AR54" s="126"/>
      <c r="AS54" s="126"/>
      <c r="AT54" s="126"/>
      <c r="AV54" s="3"/>
      <c r="AW54" s="3"/>
      <c r="AX54" s="3"/>
      <c r="AY54" s="3"/>
      <c r="AZ54" s="3"/>
      <c r="BA54" s="3"/>
      <c r="BB54" s="3"/>
      <c r="BC54" s="3"/>
    </row>
    <row r="55" spans="1:55" s="73" customFormat="1" ht="19.5" customHeight="1" x14ac:dyDescent="0.25">
      <c r="A55" s="67"/>
      <c r="B55" s="122">
        <v>45</v>
      </c>
      <c r="C55" s="123" t="s">
        <v>197</v>
      </c>
      <c r="D55" s="89">
        <v>1</v>
      </c>
      <c r="E55" s="88">
        <f>D55/$D$83</f>
        <v>2.6488831249192086E-4</v>
      </c>
      <c r="F55" s="89"/>
      <c r="G55" s="88"/>
      <c r="H55" s="89"/>
      <c r="I55" s="88"/>
      <c r="J55" s="89"/>
      <c r="K55" s="88"/>
      <c r="L55" s="89">
        <f t="shared" si="4"/>
        <v>1</v>
      </c>
      <c r="M55" s="97">
        <f t="shared" si="13"/>
        <v>6.9378472262452125E-5</v>
      </c>
      <c r="N55" s="93">
        <v>1.5498720000000001</v>
      </c>
      <c r="O55" s="88">
        <f>N55/$N$90</f>
        <v>5.5122681823197245E-5</v>
      </c>
      <c r="P55" s="89"/>
      <c r="Q55" s="88"/>
      <c r="R55" s="89"/>
      <c r="S55" s="94"/>
      <c r="T55" s="89"/>
      <c r="U55" s="94"/>
      <c r="V55" s="124">
        <f t="shared" si="8"/>
        <v>1.5498720000000001</v>
      </c>
      <c r="W55" s="96">
        <f t="shared" si="14"/>
        <v>2.6256737871277758E-5</v>
      </c>
      <c r="X55" s="125">
        <v>52.359936496558859</v>
      </c>
      <c r="Y55" s="97">
        <f t="shared" si="15"/>
        <v>1.0524306580562345E-5</v>
      </c>
      <c r="Z55" s="67"/>
      <c r="AA55" s="84"/>
      <c r="AB55" s="84"/>
      <c r="AC55" s="128"/>
      <c r="AD55" s="84"/>
      <c r="AE55" s="84"/>
      <c r="AF55" s="84"/>
      <c r="AG55" s="84"/>
      <c r="AH55" s="84"/>
      <c r="AI55" s="84"/>
      <c r="AJ55" s="84"/>
      <c r="AK55" s="100"/>
      <c r="AL55" s="100"/>
      <c r="AM55" s="100"/>
      <c r="AN55" s="100"/>
      <c r="AO55" s="126"/>
      <c r="AP55" s="126"/>
      <c r="AQ55" s="126"/>
      <c r="AR55" s="126"/>
      <c r="AS55" s="126"/>
      <c r="AT55" s="126"/>
      <c r="AV55" s="3"/>
      <c r="AW55" s="3"/>
      <c r="AX55" s="3"/>
      <c r="AY55" s="3"/>
      <c r="AZ55" s="3"/>
      <c r="BA55" s="3"/>
      <c r="BB55" s="3"/>
      <c r="BC55" s="3"/>
    </row>
    <row r="56" spans="1:55" s="73" customFormat="1" ht="19.5" customHeight="1" x14ac:dyDescent="0.25">
      <c r="A56" s="67"/>
      <c r="B56" s="122">
        <v>46</v>
      </c>
      <c r="C56" s="123" t="s">
        <v>81</v>
      </c>
      <c r="D56" s="89">
        <v>3.97</v>
      </c>
      <c r="E56" s="88">
        <f>D56/$D$83</f>
        <v>1.0516066005929259E-3</v>
      </c>
      <c r="F56" s="89"/>
      <c r="G56" s="88"/>
      <c r="H56" s="89"/>
      <c r="I56" s="88"/>
      <c r="J56" s="89"/>
      <c r="K56" s="88"/>
      <c r="L56" s="89">
        <f t="shared" si="4"/>
        <v>3.97</v>
      </c>
      <c r="M56" s="97">
        <f t="shared" si="13"/>
        <v>2.7543253488193496E-4</v>
      </c>
      <c r="N56" s="93">
        <v>27.927899999999998</v>
      </c>
      <c r="O56" s="88">
        <f>N56/$N$90</f>
        <v>9.9328250700062319E-4</v>
      </c>
      <c r="P56" s="89"/>
      <c r="Q56" s="88"/>
      <c r="R56" s="89"/>
      <c r="S56" s="94"/>
      <c r="T56" s="89"/>
      <c r="U56" s="94"/>
      <c r="V56" s="124">
        <f t="shared" si="8"/>
        <v>27.927899999999998</v>
      </c>
      <c r="W56" s="96">
        <f t="shared" si="14"/>
        <v>4.7313297459097137E-4</v>
      </c>
      <c r="X56" s="125">
        <v>2833.6311078761137</v>
      </c>
      <c r="Y56" s="97">
        <f t="shared" si="15"/>
        <v>5.6955765249002311E-4</v>
      </c>
      <c r="Z56" s="67"/>
      <c r="AA56" s="84"/>
      <c r="AB56" s="84"/>
      <c r="AC56" s="128"/>
      <c r="AD56" s="84"/>
      <c r="AE56" s="84"/>
      <c r="AF56" s="84"/>
      <c r="AG56" s="84"/>
      <c r="AH56" s="84"/>
      <c r="AI56" s="84"/>
      <c r="AJ56" s="84"/>
      <c r="AK56" s="100"/>
      <c r="AL56" s="100"/>
      <c r="AM56" s="100"/>
      <c r="AN56" s="100"/>
      <c r="AO56" s="126"/>
      <c r="AP56" s="126"/>
      <c r="AQ56" s="126"/>
      <c r="AR56" s="126"/>
      <c r="AS56" s="126"/>
      <c r="AT56" s="126"/>
      <c r="AV56" s="3"/>
      <c r="AW56" s="3"/>
      <c r="AX56" s="3"/>
      <c r="AY56" s="3"/>
      <c r="AZ56" s="3"/>
      <c r="BA56" s="3"/>
      <c r="BB56" s="3"/>
      <c r="BC56" s="3"/>
    </row>
    <row r="57" spans="1:55" s="73" customFormat="1" ht="19.5" customHeight="1" x14ac:dyDescent="0.25">
      <c r="A57" s="67"/>
      <c r="B57" s="122">
        <v>47</v>
      </c>
      <c r="C57" s="123" t="s">
        <v>82</v>
      </c>
      <c r="D57" s="89">
        <v>21.3</v>
      </c>
      <c r="E57" s="88">
        <f>D57/$D$83</f>
        <v>5.6421210560779148E-3</v>
      </c>
      <c r="F57" s="89"/>
      <c r="G57" s="88"/>
      <c r="H57" s="89"/>
      <c r="I57" s="88"/>
      <c r="J57" s="89"/>
      <c r="K57" s="88"/>
      <c r="L57" s="89">
        <f t="shared" si="4"/>
        <v>21.3</v>
      </c>
      <c r="M57" s="97">
        <f t="shared" si="13"/>
        <v>1.4777614591902303E-3</v>
      </c>
      <c r="N57" s="93">
        <v>142.499008</v>
      </c>
      <c r="O57" s="88">
        <f>N57/$N$90</f>
        <v>5.0681136752617232E-3</v>
      </c>
      <c r="P57" s="89"/>
      <c r="Q57" s="88"/>
      <c r="R57" s="89"/>
      <c r="S57" s="94"/>
      <c r="T57" s="89"/>
      <c r="U57" s="94"/>
      <c r="V57" s="124">
        <f t="shared" si="8"/>
        <v>142.499008</v>
      </c>
      <c r="W57" s="96">
        <f t="shared" si="14"/>
        <v>2.4141084553905819E-3</v>
      </c>
      <c r="X57" s="125">
        <v>10614.075837757531</v>
      </c>
      <c r="Y57" s="97">
        <f t="shared" si="15"/>
        <v>2.1334210020144081E-3</v>
      </c>
      <c r="Z57" s="67"/>
      <c r="AA57" s="84"/>
      <c r="AB57" s="84"/>
      <c r="AC57" s="128"/>
      <c r="AD57" s="84"/>
      <c r="AE57" s="84"/>
      <c r="AF57" s="84"/>
      <c r="AG57" s="84"/>
      <c r="AH57" s="84"/>
      <c r="AI57" s="84"/>
      <c r="AJ57" s="84"/>
      <c r="AK57" s="100"/>
      <c r="AL57" s="100"/>
      <c r="AM57" s="100"/>
      <c r="AN57" s="100"/>
      <c r="AO57" s="126"/>
      <c r="AP57" s="126"/>
      <c r="AQ57" s="126"/>
      <c r="AR57" s="126"/>
      <c r="AS57" s="126"/>
      <c r="AT57" s="126"/>
      <c r="AV57" s="3"/>
      <c r="AW57" s="3"/>
      <c r="AX57" s="3"/>
      <c r="AY57" s="3"/>
      <c r="AZ57" s="3"/>
      <c r="BA57" s="3"/>
      <c r="BB57" s="3"/>
      <c r="BC57" s="3"/>
    </row>
    <row r="58" spans="1:55" s="73" customFormat="1" ht="19.5" customHeight="1" x14ac:dyDescent="0.25">
      <c r="A58" s="67"/>
      <c r="B58" s="122">
        <v>48</v>
      </c>
      <c r="C58" s="127" t="s">
        <v>128</v>
      </c>
      <c r="D58" s="87">
        <v>19.2</v>
      </c>
      <c r="E58" s="88">
        <f>D58/$D$83</f>
        <v>5.0858555998448806E-3</v>
      </c>
      <c r="F58" s="89"/>
      <c r="G58" s="88"/>
      <c r="H58" s="89"/>
      <c r="I58" s="88"/>
      <c r="J58" s="89"/>
      <c r="K58" s="88"/>
      <c r="L58" s="89">
        <f t="shared" si="4"/>
        <v>19.2</v>
      </c>
      <c r="M58" s="97">
        <f t="shared" si="13"/>
        <v>1.3320666674390806E-3</v>
      </c>
      <c r="N58" s="93">
        <v>137.955084</v>
      </c>
      <c r="O58" s="88">
        <f>N58/$N$90</f>
        <v>4.9065046669818204E-3</v>
      </c>
      <c r="P58" s="89"/>
      <c r="Q58" s="88"/>
      <c r="R58" s="89"/>
      <c r="S58" s="94"/>
      <c r="T58" s="89"/>
      <c r="U58" s="94"/>
      <c r="V58" s="124">
        <f t="shared" si="8"/>
        <v>137.955084</v>
      </c>
      <c r="W58" s="96">
        <f t="shared" si="14"/>
        <v>2.3371287942475921E-3</v>
      </c>
      <c r="X58" s="125">
        <v>13539.138890456643</v>
      </c>
      <c r="Y58" s="97">
        <f t="shared" si="15"/>
        <v>2.7213564044208682E-3</v>
      </c>
      <c r="Z58" s="67"/>
      <c r="AA58" s="84"/>
      <c r="AB58" s="84"/>
      <c r="AC58" s="128"/>
      <c r="AD58" s="84"/>
      <c r="AE58" s="84"/>
      <c r="AF58" s="84"/>
      <c r="AG58" s="84"/>
      <c r="AH58" s="84"/>
      <c r="AI58" s="84"/>
      <c r="AJ58" s="84"/>
      <c r="AK58" s="100"/>
      <c r="AL58" s="100"/>
      <c r="AM58" s="100"/>
      <c r="AN58" s="100"/>
      <c r="AO58" s="126"/>
      <c r="AP58" s="126"/>
      <c r="AQ58" s="126"/>
      <c r="AR58" s="126"/>
      <c r="AS58" s="126"/>
      <c r="AT58" s="126"/>
      <c r="AV58" s="3"/>
      <c r="AW58" s="3"/>
      <c r="AX58" s="3"/>
      <c r="AY58" s="3"/>
      <c r="AZ58" s="3"/>
      <c r="BA58" s="3"/>
      <c r="BB58" s="3"/>
      <c r="BC58" s="3"/>
    </row>
    <row r="59" spans="1:55" s="73" customFormat="1" ht="19.5" customHeight="1" x14ac:dyDescent="0.25">
      <c r="A59" s="67"/>
      <c r="B59" s="122">
        <v>49</v>
      </c>
      <c r="C59" s="127" t="s">
        <v>108</v>
      </c>
      <c r="D59" s="87"/>
      <c r="E59" s="88"/>
      <c r="F59" s="89">
        <v>65.710000000000008</v>
      </c>
      <c r="G59" s="88">
        <f t="shared" ref="G59:G61" si="21">F59/$F$90</f>
        <v>8.5438179801405334E-3</v>
      </c>
      <c r="H59" s="89"/>
      <c r="I59" s="88"/>
      <c r="J59" s="89"/>
      <c r="K59" s="88"/>
      <c r="L59" s="89">
        <f t="shared" si="4"/>
        <v>65.710000000000008</v>
      </c>
      <c r="M59" s="97">
        <f t="shared" si="13"/>
        <v>4.5588594123657294E-3</v>
      </c>
      <c r="N59" s="93"/>
      <c r="O59" s="88"/>
      <c r="P59" s="89">
        <v>3.1378369999999998</v>
      </c>
      <c r="Q59" s="88">
        <f t="shared" ref="Q59" si="22">P59/$P$90</f>
        <v>1.136883713200796E-4</v>
      </c>
      <c r="R59" s="89"/>
      <c r="S59" s="94"/>
      <c r="T59" s="89"/>
      <c r="U59" s="94"/>
      <c r="V59" s="124">
        <f t="shared" si="8"/>
        <v>3.1378369999999998</v>
      </c>
      <c r="W59" s="96">
        <f t="shared" si="14"/>
        <v>5.3158818013227266E-5</v>
      </c>
      <c r="X59" s="125">
        <v>9888.025695681039</v>
      </c>
      <c r="Y59" s="97">
        <f t="shared" si="15"/>
        <v>1.9874854872038421E-3</v>
      </c>
      <c r="Z59" s="67"/>
      <c r="AA59" s="84"/>
      <c r="AB59" s="84"/>
      <c r="AC59" s="128"/>
      <c r="AD59" s="84"/>
      <c r="AE59" s="84"/>
      <c r="AF59" s="84"/>
      <c r="AG59" s="84"/>
      <c r="AH59" s="84"/>
      <c r="AI59" s="84"/>
      <c r="AJ59" s="84"/>
      <c r="AK59" s="100"/>
      <c r="AL59" s="100"/>
      <c r="AM59" s="100"/>
      <c r="AN59" s="100"/>
      <c r="AO59" s="126"/>
      <c r="AP59" s="126"/>
      <c r="AQ59" s="126"/>
      <c r="AR59" s="126"/>
      <c r="AS59" s="126"/>
      <c r="AT59" s="126"/>
      <c r="AV59" s="3"/>
      <c r="AW59" s="3"/>
      <c r="AX59" s="3"/>
      <c r="AY59" s="3"/>
      <c r="AZ59" s="3"/>
      <c r="BA59" s="3"/>
      <c r="BB59" s="3"/>
      <c r="BC59" s="3"/>
    </row>
    <row r="60" spans="1:55" s="73" customFormat="1" ht="19.5" customHeight="1" x14ac:dyDescent="0.25">
      <c r="A60" s="67"/>
      <c r="B60" s="122">
        <v>50</v>
      </c>
      <c r="C60" s="127" t="s">
        <v>129</v>
      </c>
      <c r="D60" s="87">
        <v>100</v>
      </c>
      <c r="E60" s="88">
        <f t="shared" ref="E60:E61" si="23">D60/$D$83</f>
        <v>2.6488831249192088E-2</v>
      </c>
      <c r="F60" s="89"/>
      <c r="G60" s="88"/>
      <c r="H60" s="89"/>
      <c r="I60" s="88"/>
      <c r="J60" s="89"/>
      <c r="K60" s="88"/>
      <c r="L60" s="89">
        <f t="shared" si="4"/>
        <v>100</v>
      </c>
      <c r="M60" s="97">
        <f t="shared" si="13"/>
        <v>6.9378472262452123E-3</v>
      </c>
      <c r="N60" s="93">
        <v>628.62869699999987</v>
      </c>
      <c r="O60" s="88">
        <f t="shared" ref="O60:O61" si="24">N60/$N$90</f>
        <v>2.2357781577873565E-2</v>
      </c>
      <c r="P60" s="89"/>
      <c r="Q60" s="88"/>
      <c r="R60" s="89"/>
      <c r="S60" s="94"/>
      <c r="T60" s="89"/>
      <c r="U60" s="94"/>
      <c r="V60" s="124">
        <f t="shared" si="8"/>
        <v>628.62869699999987</v>
      </c>
      <c r="W60" s="96">
        <f t="shared" si="14"/>
        <v>1.064974327911717E-2</v>
      </c>
      <c r="X60" s="125">
        <v>80370.926628311208</v>
      </c>
      <c r="Y60" s="97">
        <f t="shared" si="15"/>
        <v>1.6154493847711577E-2</v>
      </c>
      <c r="Z60" s="67"/>
      <c r="AA60" s="84"/>
      <c r="AB60" s="84"/>
      <c r="AC60" s="128"/>
      <c r="AD60" s="84"/>
      <c r="AE60" s="84"/>
      <c r="AF60" s="84"/>
      <c r="AG60" s="84"/>
      <c r="AH60" s="84"/>
      <c r="AI60" s="84"/>
      <c r="AJ60" s="84"/>
      <c r="AK60" s="100"/>
      <c r="AL60" s="100"/>
      <c r="AM60" s="100"/>
      <c r="AN60" s="100"/>
      <c r="AO60" s="126"/>
      <c r="AP60" s="126"/>
      <c r="AQ60" s="126"/>
      <c r="AR60" s="126"/>
      <c r="AS60" s="126"/>
      <c r="AT60" s="126"/>
      <c r="AV60" s="3"/>
      <c r="AW60" s="3"/>
      <c r="AX60" s="3"/>
      <c r="AY60" s="3"/>
      <c r="AZ60" s="3"/>
      <c r="BA60" s="3"/>
      <c r="BB60" s="3"/>
      <c r="BC60" s="3"/>
    </row>
    <row r="61" spans="1:55" s="67" customFormat="1" ht="19.5" customHeight="1" x14ac:dyDescent="0.25">
      <c r="B61" s="122">
        <v>51</v>
      </c>
      <c r="C61" s="127" t="s">
        <v>109</v>
      </c>
      <c r="D61" s="87">
        <v>524.26700000000005</v>
      </c>
      <c r="E61" s="88">
        <f t="shared" si="23"/>
        <v>0.13887220092520189</v>
      </c>
      <c r="F61" s="89">
        <v>1285.5999999999999</v>
      </c>
      <c r="G61" s="88">
        <f t="shared" si="21"/>
        <v>0.16715769890836504</v>
      </c>
      <c r="H61" s="89"/>
      <c r="I61" s="88"/>
      <c r="J61" s="89"/>
      <c r="K61" s="88"/>
      <c r="L61" s="89">
        <f t="shared" si="4"/>
        <v>1809.867</v>
      </c>
      <c r="M61" s="97">
        <f t="shared" si="13"/>
        <v>0.12556580745822743</v>
      </c>
      <c r="N61" s="93">
        <v>2768.6340360000004</v>
      </c>
      <c r="O61" s="88">
        <f t="shared" si="24"/>
        <v>9.8469120708873009E-2</v>
      </c>
      <c r="P61" s="89">
        <v>8617.9462010000007</v>
      </c>
      <c r="Q61" s="88">
        <f t="shared" ref="Q61" si="25">P61/$P$90</f>
        <v>0.31224065103310256</v>
      </c>
      <c r="R61" s="89"/>
      <c r="S61" s="94"/>
      <c r="T61" s="89"/>
      <c r="U61" s="94"/>
      <c r="V61" s="124">
        <f t="shared" si="8"/>
        <v>11386.580237000002</v>
      </c>
      <c r="W61" s="96">
        <f t="shared" si="14"/>
        <v>0.19290267359703303</v>
      </c>
      <c r="X61" s="125">
        <v>677030.25368588371</v>
      </c>
      <c r="Y61" s="97">
        <f t="shared" si="15"/>
        <v>0.13608255530589536</v>
      </c>
      <c r="AA61" s="84"/>
      <c r="AB61" s="84"/>
      <c r="AC61" s="128"/>
      <c r="AD61" s="84"/>
      <c r="AE61" s="84"/>
      <c r="AF61" s="84"/>
      <c r="AG61" s="84"/>
      <c r="AH61" s="84"/>
      <c r="AI61" s="84"/>
      <c r="AJ61" s="84"/>
      <c r="AK61" s="100"/>
      <c r="AL61" s="100"/>
      <c r="AM61" s="100"/>
      <c r="AN61" s="100"/>
      <c r="AO61" s="126"/>
      <c r="AP61" s="126"/>
      <c r="AQ61" s="126"/>
      <c r="AR61" s="126"/>
      <c r="AS61" s="126"/>
      <c r="AT61" s="126"/>
      <c r="AU61" s="73"/>
      <c r="AV61" s="5"/>
      <c r="AW61" s="5"/>
      <c r="AX61" s="5"/>
      <c r="AY61" s="5"/>
      <c r="AZ61" s="5"/>
      <c r="BA61" s="5"/>
      <c r="BB61" s="5"/>
      <c r="BC61" s="5"/>
    </row>
    <row r="62" spans="1:55" s="73" customFormat="1" ht="19.5" customHeight="1" x14ac:dyDescent="0.25">
      <c r="A62" s="67"/>
      <c r="B62" s="122">
        <v>52</v>
      </c>
      <c r="C62" s="127" t="s">
        <v>215</v>
      </c>
      <c r="D62" s="87">
        <v>93.73</v>
      </c>
      <c r="E62" s="88">
        <f>D62/$D$83</f>
        <v>2.4827981529867746E-2</v>
      </c>
      <c r="F62" s="89"/>
      <c r="G62" s="88"/>
      <c r="H62" s="89"/>
      <c r="I62" s="88"/>
      <c r="J62" s="89"/>
      <c r="K62" s="88"/>
      <c r="L62" s="89">
        <f t="shared" si="4"/>
        <v>93.73</v>
      </c>
      <c r="M62" s="97">
        <f t="shared" si="13"/>
        <v>6.5028442051596374E-3</v>
      </c>
      <c r="N62" s="93">
        <v>374.83601599999997</v>
      </c>
      <c r="O62" s="88">
        <f>N62/$N$90</f>
        <v>1.3331401848567409E-2</v>
      </c>
      <c r="P62" s="89"/>
      <c r="Q62" s="88"/>
      <c r="R62" s="89"/>
      <c r="S62" s="94"/>
      <c r="T62" s="89"/>
      <c r="U62" s="94"/>
      <c r="V62" s="124">
        <f>N62+P62+R62+T62</f>
        <v>374.83601599999997</v>
      </c>
      <c r="W62" s="96">
        <f t="shared" si="14"/>
        <v>6.3501831227521198E-3</v>
      </c>
      <c r="X62" s="125">
        <v>22313.126170332089</v>
      </c>
      <c r="Y62" s="97">
        <f t="shared" si="15"/>
        <v>4.4849210350508565E-3</v>
      </c>
      <c r="Z62" s="67"/>
      <c r="AA62" s="84"/>
      <c r="AB62" s="84"/>
      <c r="AC62" s="128"/>
      <c r="AD62" s="84"/>
      <c r="AE62" s="84"/>
      <c r="AF62" s="84"/>
      <c r="AG62" s="84"/>
      <c r="AH62" s="84"/>
      <c r="AI62" s="84"/>
      <c r="AJ62" s="84"/>
      <c r="AK62" s="100"/>
      <c r="AL62" s="100"/>
      <c r="AM62" s="100"/>
      <c r="AN62" s="100"/>
      <c r="AO62" s="126"/>
      <c r="AP62" s="126"/>
      <c r="AQ62" s="126"/>
      <c r="AR62" s="126"/>
      <c r="AS62" s="126"/>
      <c r="AT62" s="126"/>
      <c r="AV62" s="3"/>
      <c r="AW62" s="3"/>
      <c r="AX62" s="3"/>
      <c r="AY62" s="3"/>
      <c r="AZ62" s="3"/>
      <c r="BA62" s="3"/>
      <c r="BB62" s="3"/>
      <c r="BC62" s="3"/>
    </row>
    <row r="63" spans="1:55" s="73" customFormat="1" ht="19.5" customHeight="1" x14ac:dyDescent="0.25">
      <c r="A63" s="67"/>
      <c r="B63" s="122">
        <v>53</v>
      </c>
      <c r="C63" s="127" t="s">
        <v>83</v>
      </c>
      <c r="D63" s="87">
        <v>3.8</v>
      </c>
      <c r="E63" s="88">
        <f>D63/$D$83</f>
        <v>1.0065755874692993E-3</v>
      </c>
      <c r="F63" s="89"/>
      <c r="G63" s="88"/>
      <c r="H63" s="89"/>
      <c r="I63" s="88"/>
      <c r="J63" s="89"/>
      <c r="K63" s="88"/>
      <c r="L63" s="89">
        <f t="shared" si="4"/>
        <v>3.8</v>
      </c>
      <c r="M63" s="97">
        <f t="shared" si="13"/>
        <v>2.6363819459731804E-4</v>
      </c>
      <c r="N63" s="93">
        <v>22.988769999999995</v>
      </c>
      <c r="O63" s="88">
        <f>N63/$N$90</f>
        <v>8.1761761888508324E-4</v>
      </c>
      <c r="P63" s="89"/>
      <c r="Q63" s="88"/>
      <c r="R63" s="89"/>
      <c r="S63" s="94"/>
      <c r="T63" s="89"/>
      <c r="U63" s="94"/>
      <c r="V63" s="124">
        <f t="shared" si="8"/>
        <v>22.988769999999995</v>
      </c>
      <c r="W63" s="96">
        <f t="shared" si="14"/>
        <v>3.8945803774317737E-4</v>
      </c>
      <c r="X63" s="125">
        <v>1618.1462108336639</v>
      </c>
      <c r="Y63" s="97">
        <f t="shared" si="15"/>
        <v>3.2524613195640469E-4</v>
      </c>
      <c r="Z63" s="67"/>
      <c r="AA63" s="84"/>
      <c r="AB63" s="84"/>
      <c r="AC63" s="128"/>
      <c r="AD63" s="84"/>
      <c r="AE63" s="84"/>
      <c r="AF63" s="84"/>
      <c r="AG63" s="84"/>
      <c r="AH63" s="84"/>
      <c r="AI63" s="84"/>
      <c r="AJ63" s="84"/>
      <c r="AK63" s="100"/>
      <c r="AL63" s="100"/>
      <c r="AM63" s="100"/>
      <c r="AN63" s="100"/>
      <c r="AO63" s="126"/>
      <c r="AP63" s="126"/>
      <c r="AQ63" s="126"/>
      <c r="AR63" s="126"/>
      <c r="AS63" s="126"/>
      <c r="AT63" s="126"/>
      <c r="AV63" s="3"/>
      <c r="AW63" s="3"/>
      <c r="AX63" s="3"/>
      <c r="AY63" s="3"/>
      <c r="AZ63" s="3"/>
      <c r="BA63" s="3"/>
      <c r="BB63" s="3"/>
      <c r="BC63" s="3"/>
    </row>
    <row r="64" spans="1:55" s="73" customFormat="1" ht="19.5" customHeight="1" x14ac:dyDescent="0.25">
      <c r="A64" s="67"/>
      <c r="B64" s="122">
        <v>54</v>
      </c>
      <c r="C64" s="127" t="s">
        <v>173</v>
      </c>
      <c r="D64" s="87"/>
      <c r="E64" s="88"/>
      <c r="F64" s="87"/>
      <c r="G64" s="88"/>
      <c r="H64" s="89">
        <v>20</v>
      </c>
      <c r="I64" s="88">
        <f>H64/$H$90</f>
        <v>4.9855916401599379E-2</v>
      </c>
      <c r="J64" s="89"/>
      <c r="K64" s="88"/>
      <c r="L64" s="89">
        <f t="shared" si="4"/>
        <v>20</v>
      </c>
      <c r="M64" s="97">
        <f t="shared" si="13"/>
        <v>1.3875694452490425E-3</v>
      </c>
      <c r="N64" s="93"/>
      <c r="O64" s="88"/>
      <c r="P64" s="89"/>
      <c r="Q64" s="88"/>
      <c r="R64" s="89">
        <v>45.751503</v>
      </c>
      <c r="S64" s="94">
        <f t="shared" ref="S64:S65" si="26">R64/$R$90</f>
        <v>4.7837545519131386E-2</v>
      </c>
      <c r="T64" s="89"/>
      <c r="U64" s="94"/>
      <c r="V64" s="124">
        <f>N64+P64+R64+T64</f>
        <v>45.751503</v>
      </c>
      <c r="W64" s="131">
        <f t="shared" si="14"/>
        <v>7.7508673070290825E-4</v>
      </c>
      <c r="X64" s="125">
        <v>12811.370424346591</v>
      </c>
      <c r="Y64" s="97">
        <f t="shared" si="15"/>
        <v>2.575075507813762E-3</v>
      </c>
      <c r="Z64" s="67"/>
      <c r="AA64" s="84"/>
      <c r="AB64" s="84"/>
      <c r="AC64" s="128"/>
      <c r="AD64" s="84"/>
      <c r="AE64" s="84"/>
      <c r="AF64" s="84"/>
      <c r="AG64" s="84"/>
      <c r="AH64" s="84"/>
      <c r="AI64" s="84"/>
      <c r="AJ64" s="84"/>
      <c r="AK64" s="100"/>
      <c r="AL64" s="100"/>
      <c r="AM64" s="100"/>
      <c r="AN64" s="100"/>
      <c r="AO64" s="126"/>
      <c r="AP64" s="126"/>
      <c r="AQ64" s="126"/>
      <c r="AR64" s="126"/>
      <c r="AS64" s="126"/>
      <c r="AT64" s="126"/>
      <c r="AV64" s="3"/>
      <c r="AW64" s="3"/>
      <c r="AX64" s="3"/>
      <c r="AY64" s="3"/>
      <c r="AZ64" s="3"/>
      <c r="BA64" s="3"/>
      <c r="BB64" s="3"/>
      <c r="BC64" s="3"/>
    </row>
    <row r="65" spans="1:55" s="73" customFormat="1" ht="19.5" customHeight="1" x14ac:dyDescent="0.25">
      <c r="A65" s="67"/>
      <c r="B65" s="122">
        <v>55</v>
      </c>
      <c r="C65" s="127" t="s">
        <v>84</v>
      </c>
      <c r="D65" s="87"/>
      <c r="E65" s="88"/>
      <c r="F65" s="87"/>
      <c r="G65" s="88"/>
      <c r="H65" s="89">
        <v>16</v>
      </c>
      <c r="I65" s="88">
        <f>H65/$H$90</f>
        <v>3.9884733121279499E-2</v>
      </c>
      <c r="J65" s="89"/>
      <c r="K65" s="88"/>
      <c r="L65" s="89">
        <f t="shared" si="4"/>
        <v>16</v>
      </c>
      <c r="M65" s="97">
        <f t="shared" si="13"/>
        <v>1.110055556199234E-3</v>
      </c>
      <c r="N65" s="93"/>
      <c r="O65" s="88"/>
      <c r="P65" s="89"/>
      <c r="Q65" s="88"/>
      <c r="R65" s="89">
        <v>47.631478000000001</v>
      </c>
      <c r="S65" s="94">
        <f t="shared" si="26"/>
        <v>4.9803238091839418E-2</v>
      </c>
      <c r="T65" s="89"/>
      <c r="U65" s="94"/>
      <c r="V65" s="124">
        <f>N65+P65+R65+T65</f>
        <v>47.631478000000001</v>
      </c>
      <c r="W65" s="131">
        <f t="shared" si="14"/>
        <v>8.0693581938865485E-4</v>
      </c>
      <c r="X65" s="125">
        <v>8041.3389084323917</v>
      </c>
      <c r="Y65" s="97">
        <f t="shared" si="15"/>
        <v>1.6163028768399856E-3</v>
      </c>
      <c r="Z65" s="67"/>
      <c r="AA65" s="84"/>
      <c r="AB65" s="84"/>
      <c r="AC65" s="128"/>
      <c r="AD65" s="84"/>
      <c r="AE65" s="84"/>
      <c r="AF65" s="84"/>
      <c r="AG65" s="84"/>
      <c r="AH65" s="84"/>
      <c r="AI65" s="84"/>
      <c r="AJ65" s="84"/>
      <c r="AK65" s="100"/>
      <c r="AL65" s="100"/>
      <c r="AM65" s="100"/>
      <c r="AN65" s="100"/>
      <c r="AO65" s="126"/>
      <c r="AP65" s="126"/>
      <c r="AQ65" s="126"/>
      <c r="AR65" s="126"/>
      <c r="AS65" s="126"/>
      <c r="AT65" s="126"/>
      <c r="AV65" s="3"/>
      <c r="AW65" s="3"/>
      <c r="AX65" s="3"/>
      <c r="AY65" s="3"/>
      <c r="AZ65" s="3"/>
      <c r="BA65" s="3"/>
      <c r="BB65" s="3"/>
      <c r="BC65" s="3"/>
    </row>
    <row r="66" spans="1:55" s="73" customFormat="1" ht="19.5" customHeight="1" x14ac:dyDescent="0.25">
      <c r="A66" s="67"/>
      <c r="B66" s="122">
        <v>56</v>
      </c>
      <c r="C66" s="127" t="s">
        <v>130</v>
      </c>
      <c r="D66" s="87">
        <v>357.69200000000001</v>
      </c>
      <c r="E66" s="88">
        <f>D66/$D$83</f>
        <v>9.4748430271860168E-2</v>
      </c>
      <c r="F66" s="87"/>
      <c r="G66" s="88"/>
      <c r="H66" s="89"/>
      <c r="I66" s="88"/>
      <c r="J66" s="89"/>
      <c r="K66" s="88"/>
      <c r="L66" s="89">
        <f t="shared" si="4"/>
        <v>357.69200000000001</v>
      </c>
      <c r="M66" s="97">
        <f t="shared" si="13"/>
        <v>2.4816124500501024E-2</v>
      </c>
      <c r="N66" s="93">
        <v>2071.6143660000002</v>
      </c>
      <c r="O66" s="88">
        <f>N66/$N$90</f>
        <v>7.3678948685686613E-2</v>
      </c>
      <c r="P66" s="89"/>
      <c r="Q66" s="88"/>
      <c r="R66" s="89"/>
      <c r="S66" s="94"/>
      <c r="T66" s="89"/>
      <c r="U66" s="94"/>
      <c r="V66" s="124">
        <f t="shared" ref="V66:V68" si="27">N66+P66+R66+T66</f>
        <v>2071.6143660000002</v>
      </c>
      <c r="W66" s="131">
        <f t="shared" si="14"/>
        <v>3.5095695243500924E-2</v>
      </c>
      <c r="X66" s="125">
        <v>113893.01840382643</v>
      </c>
      <c r="Y66" s="97">
        <f t="shared" si="15"/>
        <v>2.2892408266122988E-2</v>
      </c>
      <c r="Z66" s="67"/>
      <c r="AA66" s="84"/>
      <c r="AB66" s="84"/>
      <c r="AC66" s="128"/>
      <c r="AD66" s="84"/>
      <c r="AE66" s="84"/>
      <c r="AF66" s="84"/>
      <c r="AG66" s="84"/>
      <c r="AH66" s="84"/>
      <c r="AI66" s="84"/>
      <c r="AJ66" s="84"/>
      <c r="AK66" s="100"/>
      <c r="AL66" s="100"/>
      <c r="AM66" s="100"/>
      <c r="AN66" s="100"/>
      <c r="AO66" s="126"/>
      <c r="AP66" s="126"/>
      <c r="AQ66" s="126"/>
      <c r="AR66" s="126"/>
      <c r="AS66" s="126"/>
      <c r="AT66" s="126"/>
      <c r="AV66" s="3"/>
      <c r="AW66" s="3"/>
      <c r="AX66" s="3"/>
      <c r="AY66" s="3"/>
      <c r="AZ66" s="3"/>
      <c r="BA66" s="3"/>
      <c r="BB66" s="3"/>
      <c r="BC66" s="3"/>
    </row>
    <row r="67" spans="1:55" s="73" customFormat="1" ht="19.5" customHeight="1" x14ac:dyDescent="0.25">
      <c r="A67" s="67"/>
      <c r="B67" s="122">
        <v>57</v>
      </c>
      <c r="C67" s="127" t="s">
        <v>110</v>
      </c>
      <c r="D67" s="87"/>
      <c r="E67" s="88"/>
      <c r="F67" s="87"/>
      <c r="G67" s="88"/>
      <c r="H67" s="89">
        <v>20</v>
      </c>
      <c r="I67" s="88">
        <f>H67/$H$90</f>
        <v>4.9855916401599379E-2</v>
      </c>
      <c r="J67" s="89"/>
      <c r="K67" s="88"/>
      <c r="L67" s="89">
        <f t="shared" si="4"/>
        <v>20</v>
      </c>
      <c r="M67" s="97">
        <f t="shared" si="13"/>
        <v>1.3875694452490425E-3</v>
      </c>
      <c r="N67" s="93"/>
      <c r="O67" s="88"/>
      <c r="P67" s="89"/>
      <c r="Q67" s="88"/>
      <c r="R67" s="89">
        <v>58.025829000000002</v>
      </c>
      <c r="S67" s="94">
        <f>R67/$R$90</f>
        <v>6.0671520148154127E-2</v>
      </c>
      <c r="T67" s="89"/>
      <c r="U67" s="94"/>
      <c r="V67" s="124">
        <f t="shared" si="27"/>
        <v>58.025829000000002</v>
      </c>
      <c r="W67" s="131">
        <f t="shared" si="14"/>
        <v>9.8302890936579745E-4</v>
      </c>
      <c r="X67" s="125">
        <v>16347.8331537268</v>
      </c>
      <c r="Y67" s="97">
        <f t="shared" si="15"/>
        <v>3.285901770507485E-3</v>
      </c>
      <c r="Z67" s="67"/>
      <c r="AA67" s="84"/>
      <c r="AB67" s="84"/>
      <c r="AC67" s="128"/>
      <c r="AD67" s="84"/>
      <c r="AE67" s="84"/>
      <c r="AF67" s="84"/>
      <c r="AG67" s="84"/>
      <c r="AH67" s="84"/>
      <c r="AI67" s="84"/>
      <c r="AJ67" s="84"/>
      <c r="AK67" s="100"/>
      <c r="AL67" s="100"/>
      <c r="AM67" s="100"/>
      <c r="AN67" s="100"/>
      <c r="AO67" s="126"/>
      <c r="AP67" s="126"/>
      <c r="AQ67" s="126"/>
      <c r="AR67" s="126"/>
      <c r="AS67" s="126"/>
      <c r="AT67" s="126"/>
      <c r="AV67" s="3"/>
      <c r="AW67" s="3"/>
      <c r="AX67" s="3"/>
      <c r="AY67" s="3"/>
      <c r="AZ67" s="3"/>
      <c r="BA67" s="3"/>
      <c r="BB67" s="3"/>
      <c r="BC67" s="3"/>
    </row>
    <row r="68" spans="1:55" s="73" customFormat="1" ht="19.5" customHeight="1" x14ac:dyDescent="0.25">
      <c r="A68" s="67"/>
      <c r="B68" s="122">
        <v>58</v>
      </c>
      <c r="C68" s="127" t="s">
        <v>111</v>
      </c>
      <c r="D68" s="87"/>
      <c r="E68" s="88"/>
      <c r="F68" s="87"/>
      <c r="G68" s="88"/>
      <c r="H68" s="89"/>
      <c r="I68" s="88"/>
      <c r="J68" s="89">
        <v>32.099999999999994</v>
      </c>
      <c r="K68" s="88">
        <f t="shared" ref="K68:K69" si="28">J68/$J$90</f>
        <v>3.1625927349037915E-2</v>
      </c>
      <c r="L68" s="89">
        <f t="shared" si="4"/>
        <v>32.099999999999994</v>
      </c>
      <c r="M68" s="97">
        <f t="shared" si="13"/>
        <v>2.2270489596247127E-3</v>
      </c>
      <c r="N68" s="93"/>
      <c r="O68" s="88"/>
      <c r="P68" s="89"/>
      <c r="Q68" s="88"/>
      <c r="R68" s="89"/>
      <c r="S68" s="94"/>
      <c r="T68" s="89">
        <v>142.02566400000001</v>
      </c>
      <c r="U68" s="94">
        <f t="shared" ref="U68:U69" si="29">T68/$T$90</f>
        <v>6.0331441220036398E-2</v>
      </c>
      <c r="V68" s="124">
        <f t="shared" si="27"/>
        <v>142.02566400000001</v>
      </c>
      <c r="W68" s="131">
        <f t="shared" si="14"/>
        <v>2.4060894258636648E-3</v>
      </c>
      <c r="X68" s="125">
        <v>16816.098180559995</v>
      </c>
      <c r="Y68" s="97">
        <f t="shared" si="15"/>
        <v>3.3800226773132384E-3</v>
      </c>
      <c r="Z68" s="67"/>
      <c r="AA68" s="84"/>
      <c r="AB68" s="84"/>
      <c r="AC68" s="128"/>
      <c r="AD68" s="84"/>
      <c r="AE68" s="84"/>
      <c r="AF68" s="84"/>
      <c r="AG68" s="84"/>
      <c r="AH68" s="84"/>
      <c r="AI68" s="84"/>
      <c r="AJ68" s="84"/>
      <c r="AK68" s="100"/>
      <c r="AL68" s="100"/>
      <c r="AM68" s="100"/>
      <c r="AN68" s="100"/>
      <c r="AO68" s="126"/>
      <c r="AP68" s="126"/>
      <c r="AQ68" s="126"/>
      <c r="AR68" s="126"/>
      <c r="AS68" s="126"/>
      <c r="AT68" s="126"/>
      <c r="AV68" s="3"/>
      <c r="AW68" s="3"/>
      <c r="AX68" s="3"/>
      <c r="AY68" s="3"/>
      <c r="AZ68" s="3"/>
      <c r="BA68" s="3"/>
      <c r="BB68" s="3"/>
      <c r="BC68" s="3"/>
    </row>
    <row r="69" spans="1:55" s="73" customFormat="1" ht="19.5" customHeight="1" x14ac:dyDescent="0.25">
      <c r="A69" s="67"/>
      <c r="B69" s="122">
        <v>59</v>
      </c>
      <c r="C69" s="127" t="s">
        <v>112</v>
      </c>
      <c r="D69" s="87"/>
      <c r="E69" s="88"/>
      <c r="F69" s="87"/>
      <c r="G69" s="88"/>
      <c r="H69" s="89"/>
      <c r="I69" s="88"/>
      <c r="J69" s="89">
        <v>97.15</v>
      </c>
      <c r="K69" s="88">
        <f t="shared" si="28"/>
        <v>9.5715228721465234E-2</v>
      </c>
      <c r="L69" s="89">
        <f t="shared" ref="L69:L74" si="30">D69+F69+H69+J69</f>
        <v>97.15</v>
      </c>
      <c r="M69" s="97">
        <f t="shared" si="13"/>
        <v>6.7401185802972241E-3</v>
      </c>
      <c r="N69" s="93"/>
      <c r="O69" s="88"/>
      <c r="P69" s="89"/>
      <c r="Q69" s="88"/>
      <c r="R69" s="89"/>
      <c r="S69" s="94"/>
      <c r="T69" s="89">
        <v>433.42540000000008</v>
      </c>
      <c r="U69" s="94">
        <f t="shared" si="29"/>
        <v>0.18411587249027589</v>
      </c>
      <c r="V69" s="124">
        <f t="shared" ref="V69:V74" si="31">N69+P69+R69+T69</f>
        <v>433.42540000000008</v>
      </c>
      <c r="W69" s="131">
        <f t="shared" si="14"/>
        <v>7.3427593469355609E-3</v>
      </c>
      <c r="X69" s="125">
        <v>50786.106871575532</v>
      </c>
      <c r="Y69" s="97">
        <f t="shared" si="15"/>
        <v>1.0207968047951928E-2</v>
      </c>
      <c r="Z69" s="67"/>
      <c r="AA69" s="84"/>
      <c r="AB69" s="84"/>
      <c r="AC69" s="128"/>
      <c r="AD69" s="84"/>
      <c r="AE69" s="84"/>
      <c r="AF69" s="84"/>
      <c r="AG69" s="84"/>
      <c r="AH69" s="84"/>
      <c r="AI69" s="84"/>
      <c r="AJ69" s="84"/>
      <c r="AK69" s="100"/>
      <c r="AL69" s="100"/>
      <c r="AM69" s="100"/>
      <c r="AN69" s="100"/>
      <c r="AO69" s="126"/>
      <c r="AP69" s="126"/>
      <c r="AQ69" s="126"/>
      <c r="AR69" s="126"/>
      <c r="AS69" s="126"/>
      <c r="AT69" s="126"/>
      <c r="AV69" s="3"/>
      <c r="AW69" s="3"/>
      <c r="AX69" s="3"/>
      <c r="AY69" s="3"/>
      <c r="AZ69" s="3"/>
      <c r="BA69" s="3"/>
      <c r="BB69" s="3"/>
      <c r="BC69" s="3"/>
    </row>
    <row r="70" spans="1:55" s="73" customFormat="1" ht="19.5" customHeight="1" x14ac:dyDescent="0.25">
      <c r="A70" s="67"/>
      <c r="B70" s="122">
        <v>60</v>
      </c>
      <c r="C70" s="127" t="s">
        <v>150</v>
      </c>
      <c r="D70" s="87">
        <v>20.827999999999999</v>
      </c>
      <c r="E70" s="88">
        <f>D70/$D$83</f>
        <v>5.5170937725817276E-3</v>
      </c>
      <c r="F70" s="87"/>
      <c r="G70" s="88"/>
      <c r="H70" s="89"/>
      <c r="I70" s="88"/>
      <c r="J70" s="89"/>
      <c r="K70" s="88"/>
      <c r="L70" s="89">
        <f t="shared" si="30"/>
        <v>20.827999999999999</v>
      </c>
      <c r="M70" s="97">
        <f t="shared" si="13"/>
        <v>1.4450148202823528E-3</v>
      </c>
      <c r="N70" s="93">
        <v>79.950069999999997</v>
      </c>
      <c r="O70" s="88">
        <f>N70/$N$90</f>
        <v>2.8435007990029802E-3</v>
      </c>
      <c r="P70" s="89"/>
      <c r="Q70" s="88"/>
      <c r="R70" s="89"/>
      <c r="S70" s="94"/>
      <c r="T70" s="89"/>
      <c r="U70" s="94"/>
      <c r="V70" s="124">
        <f t="shared" si="31"/>
        <v>79.950069999999997</v>
      </c>
      <c r="W70" s="131">
        <f t="shared" si="14"/>
        <v>1.3544525165822129E-3</v>
      </c>
      <c r="X70" s="125">
        <v>4525.7483329766092</v>
      </c>
      <c r="Y70" s="97">
        <f t="shared" si="15"/>
        <v>9.0967190087873958E-4</v>
      </c>
      <c r="Z70" s="67"/>
      <c r="AA70" s="84"/>
      <c r="AB70" s="84"/>
      <c r="AC70" s="128"/>
      <c r="AD70" s="84"/>
      <c r="AE70" s="84"/>
      <c r="AF70" s="84"/>
      <c r="AG70" s="84"/>
      <c r="AH70" s="84"/>
      <c r="AI70" s="84"/>
      <c r="AJ70" s="84"/>
      <c r="AK70" s="100"/>
      <c r="AL70" s="100"/>
      <c r="AM70" s="100"/>
      <c r="AN70" s="100"/>
      <c r="AO70" s="126"/>
      <c r="AP70" s="126"/>
      <c r="AQ70" s="126"/>
      <c r="AR70" s="126"/>
      <c r="AS70" s="126"/>
      <c r="AT70" s="126"/>
      <c r="AV70" s="3"/>
      <c r="AW70" s="3"/>
      <c r="AX70" s="3"/>
      <c r="AY70" s="3"/>
      <c r="AZ70" s="3"/>
      <c r="BA70" s="3"/>
      <c r="BB70" s="3"/>
      <c r="BC70" s="3"/>
    </row>
    <row r="71" spans="1:55" s="73" customFormat="1" ht="19.5" customHeight="1" x14ac:dyDescent="0.25">
      <c r="A71" s="67"/>
      <c r="B71" s="122">
        <v>61</v>
      </c>
      <c r="C71" s="127" t="s">
        <v>131</v>
      </c>
      <c r="D71" s="87"/>
      <c r="E71" s="88"/>
      <c r="F71" s="87">
        <v>12.8</v>
      </c>
      <c r="G71" s="88">
        <f>F71/$F$90</f>
        <v>1.6642956954162048E-3</v>
      </c>
      <c r="H71" s="89"/>
      <c r="I71" s="88"/>
      <c r="J71" s="89"/>
      <c r="K71" s="88"/>
      <c r="L71" s="89">
        <f t="shared" si="30"/>
        <v>12.8</v>
      </c>
      <c r="M71" s="97">
        <f t="shared" si="13"/>
        <v>8.880444449593872E-4</v>
      </c>
      <c r="N71" s="93"/>
      <c r="O71" s="88"/>
      <c r="P71" s="89">
        <v>69.455669999999998</v>
      </c>
      <c r="Q71" s="88">
        <f>P71/$P$90</f>
        <v>2.5164793458821834E-3</v>
      </c>
      <c r="R71" s="89"/>
      <c r="S71" s="94"/>
      <c r="T71" s="89"/>
      <c r="U71" s="94"/>
      <c r="V71" s="124">
        <f t="shared" si="31"/>
        <v>69.455669999999998</v>
      </c>
      <c r="W71" s="131">
        <f t="shared" si="14"/>
        <v>1.176664473494566E-3</v>
      </c>
      <c r="X71" s="125">
        <v>10093.361939315635</v>
      </c>
      <c r="Y71" s="97">
        <f t="shared" si="15"/>
        <v>2.0287579127396056E-3</v>
      </c>
      <c r="Z71" s="67"/>
      <c r="AA71" s="84"/>
      <c r="AB71" s="84"/>
      <c r="AC71" s="128"/>
      <c r="AD71" s="84"/>
      <c r="AE71" s="84"/>
      <c r="AF71" s="84"/>
      <c r="AG71" s="84"/>
      <c r="AH71" s="84"/>
      <c r="AI71" s="84"/>
      <c r="AJ71" s="84"/>
      <c r="AK71" s="100"/>
      <c r="AL71" s="100"/>
      <c r="AM71" s="100"/>
      <c r="AN71" s="100"/>
      <c r="AO71" s="126"/>
      <c r="AP71" s="126"/>
      <c r="AQ71" s="126"/>
      <c r="AR71" s="126"/>
      <c r="AS71" s="126"/>
      <c r="AT71" s="126"/>
      <c r="AV71" s="3"/>
      <c r="AW71" s="3"/>
      <c r="AX71" s="3"/>
      <c r="AY71" s="3"/>
      <c r="AZ71" s="3"/>
      <c r="BA71" s="3"/>
      <c r="BB71" s="3"/>
      <c r="BC71" s="3"/>
    </row>
    <row r="72" spans="1:55" s="73" customFormat="1" ht="19.5" customHeight="1" x14ac:dyDescent="0.25">
      <c r="A72" s="67"/>
      <c r="B72" s="122">
        <v>62</v>
      </c>
      <c r="C72" s="127" t="s">
        <v>113</v>
      </c>
      <c r="D72" s="87"/>
      <c r="E72" s="88"/>
      <c r="F72" s="87">
        <v>235.63</v>
      </c>
      <c r="G72" s="88">
        <f>F72/$F$90</f>
        <v>3.0637343336790648E-2</v>
      </c>
      <c r="H72" s="89"/>
      <c r="I72" s="88"/>
      <c r="J72" s="89"/>
      <c r="K72" s="88"/>
      <c r="L72" s="89">
        <f t="shared" si="30"/>
        <v>235.63</v>
      </c>
      <c r="M72" s="97">
        <f t="shared" si="13"/>
        <v>1.6347649419201592E-2</v>
      </c>
      <c r="N72" s="93"/>
      <c r="O72" s="88"/>
      <c r="P72" s="89">
        <v>8.3169310000000003</v>
      </c>
      <c r="Q72" s="88">
        <f>P72/$P$90</f>
        <v>3.0133443508107051E-4</v>
      </c>
      <c r="R72" s="89"/>
      <c r="S72" s="94"/>
      <c r="T72" s="89"/>
      <c r="U72" s="94"/>
      <c r="V72" s="124">
        <f t="shared" si="31"/>
        <v>8.3169310000000003</v>
      </c>
      <c r="W72" s="131">
        <f t="shared" si="14"/>
        <v>1.4089904015331846E-4</v>
      </c>
      <c r="X72" s="125">
        <v>28161.033620176455</v>
      </c>
      <c r="Y72" s="97">
        <f t="shared" si="15"/>
        <v>5.6603458918201427E-3</v>
      </c>
      <c r="Z72" s="67"/>
      <c r="AA72" s="84"/>
      <c r="AB72" s="84"/>
      <c r="AC72" s="128"/>
      <c r="AD72" s="84"/>
      <c r="AE72" s="84"/>
      <c r="AF72" s="84"/>
      <c r="AG72" s="84"/>
      <c r="AH72" s="84"/>
      <c r="AI72" s="84"/>
      <c r="AJ72" s="84"/>
      <c r="AK72" s="100"/>
      <c r="AL72" s="100"/>
      <c r="AM72" s="100"/>
      <c r="AN72" s="100"/>
      <c r="AO72" s="126"/>
      <c r="AP72" s="126"/>
      <c r="AQ72" s="126"/>
      <c r="AR72" s="126"/>
      <c r="AS72" s="126"/>
      <c r="AT72" s="126"/>
      <c r="AV72" s="3"/>
      <c r="AW72" s="3"/>
      <c r="AX72" s="3"/>
      <c r="AY72" s="3"/>
      <c r="AZ72" s="3"/>
      <c r="BA72" s="3"/>
      <c r="BB72" s="3"/>
      <c r="BC72" s="3"/>
    </row>
    <row r="73" spans="1:55" s="73" customFormat="1" ht="19.5" customHeight="1" x14ac:dyDescent="0.25">
      <c r="A73" s="67"/>
      <c r="B73" s="122">
        <v>63</v>
      </c>
      <c r="C73" s="127" t="s">
        <v>174</v>
      </c>
      <c r="D73" s="87"/>
      <c r="E73" s="88"/>
      <c r="F73" s="87"/>
      <c r="G73" s="88"/>
      <c r="H73" s="89">
        <v>20</v>
      </c>
      <c r="I73" s="88">
        <f>H73/$H$90</f>
        <v>4.9855916401599379E-2</v>
      </c>
      <c r="J73" s="89"/>
      <c r="K73" s="88"/>
      <c r="L73" s="89">
        <f t="shared" si="30"/>
        <v>20</v>
      </c>
      <c r="M73" s="97">
        <f t="shared" si="13"/>
        <v>1.3875694452490425E-3</v>
      </c>
      <c r="N73" s="93"/>
      <c r="O73" s="88"/>
      <c r="P73" s="89"/>
      <c r="Q73" s="88"/>
      <c r="R73" s="89">
        <v>44.568316000000003</v>
      </c>
      <c r="S73" s="94">
        <f>R73/$R$90</f>
        <v>4.6600411037010778E-2</v>
      </c>
      <c r="T73" s="89"/>
      <c r="U73" s="94"/>
      <c r="V73" s="124">
        <f t="shared" si="31"/>
        <v>44.568316000000003</v>
      </c>
      <c r="W73" s="131">
        <f t="shared" si="14"/>
        <v>7.5504208771838858E-4</v>
      </c>
      <c r="X73" s="125">
        <v>12659.689748311705</v>
      </c>
      <c r="Y73" s="97">
        <f t="shared" si="15"/>
        <v>2.544587809704292E-3</v>
      </c>
      <c r="Z73" s="67"/>
      <c r="AA73" s="84"/>
      <c r="AB73" s="84"/>
      <c r="AC73" s="128"/>
      <c r="AD73" s="84"/>
      <c r="AE73" s="84"/>
      <c r="AF73" s="84"/>
      <c r="AG73" s="84"/>
      <c r="AH73" s="84"/>
      <c r="AI73" s="84"/>
      <c r="AJ73" s="84"/>
      <c r="AK73" s="100"/>
      <c r="AL73" s="100"/>
      <c r="AM73" s="100"/>
      <c r="AN73" s="100"/>
      <c r="AO73" s="126"/>
      <c r="AP73" s="126"/>
      <c r="AQ73" s="126"/>
      <c r="AR73" s="126"/>
      <c r="AS73" s="126"/>
      <c r="AT73" s="126"/>
      <c r="AV73" s="3"/>
      <c r="AW73" s="3"/>
      <c r="AX73" s="3"/>
      <c r="AY73" s="3"/>
      <c r="AZ73" s="3"/>
      <c r="BA73" s="3"/>
      <c r="BB73" s="3"/>
      <c r="BC73" s="3"/>
    </row>
    <row r="74" spans="1:55" s="73" customFormat="1" ht="19.5" customHeight="1" x14ac:dyDescent="0.25">
      <c r="A74" s="67"/>
      <c r="B74" s="122">
        <v>64</v>
      </c>
      <c r="C74" s="127" t="s">
        <v>114</v>
      </c>
      <c r="D74" s="87"/>
      <c r="E74" s="88"/>
      <c r="F74" s="87">
        <v>726</v>
      </c>
      <c r="G74" s="88">
        <f>F74/$F$90</f>
        <v>9.4396771474387853E-2</v>
      </c>
      <c r="H74" s="89"/>
      <c r="I74" s="88"/>
      <c r="J74" s="89"/>
      <c r="K74" s="88"/>
      <c r="L74" s="89">
        <f t="shared" si="30"/>
        <v>726</v>
      </c>
      <c r="M74" s="97">
        <f t="shared" si="13"/>
        <v>5.0368770862540241E-2</v>
      </c>
      <c r="N74" s="93"/>
      <c r="O74" s="88"/>
      <c r="P74" s="89">
        <v>298.87794099999996</v>
      </c>
      <c r="Q74" s="88">
        <f>P74/$P$90</f>
        <v>1.0828779932096168E-2</v>
      </c>
      <c r="R74" s="89"/>
      <c r="S74" s="94"/>
      <c r="T74" s="89"/>
      <c r="U74" s="94"/>
      <c r="V74" s="124">
        <f t="shared" si="31"/>
        <v>298.87794099999996</v>
      </c>
      <c r="W74" s="131">
        <f t="shared" si="14"/>
        <v>5.0633599112341002E-3</v>
      </c>
      <c r="X74" s="125">
        <v>152072.32117485572</v>
      </c>
      <c r="Y74" s="97">
        <f t="shared" si="15"/>
        <v>3.0566418478508044E-2</v>
      </c>
      <c r="Z74" s="67"/>
      <c r="AA74" s="84"/>
      <c r="AB74" s="84"/>
      <c r="AC74" s="128"/>
      <c r="AD74" s="84"/>
      <c r="AE74" s="84"/>
      <c r="AF74" s="84"/>
      <c r="AG74" s="84"/>
      <c r="AH74" s="84"/>
      <c r="AI74" s="84"/>
      <c r="AJ74" s="84"/>
      <c r="AK74" s="100"/>
      <c r="AL74" s="100"/>
      <c r="AM74" s="100"/>
      <c r="AN74" s="100"/>
      <c r="AO74" s="126"/>
      <c r="AP74" s="126"/>
      <c r="AQ74" s="126"/>
      <c r="AR74" s="126"/>
      <c r="AS74" s="126"/>
      <c r="AT74" s="126"/>
      <c r="AV74" s="3"/>
      <c r="AW74" s="3"/>
      <c r="AX74" s="3"/>
      <c r="AY74" s="3"/>
      <c r="AZ74" s="3"/>
      <c r="BA74" s="3"/>
      <c r="BB74" s="3"/>
      <c r="BC74" s="3"/>
    </row>
    <row r="75" spans="1:55" s="73" customFormat="1" ht="19.5" customHeight="1" x14ac:dyDescent="0.25">
      <c r="A75" s="67"/>
      <c r="B75" s="122">
        <v>65</v>
      </c>
      <c r="C75" s="127" t="s">
        <v>115</v>
      </c>
      <c r="D75" s="87"/>
      <c r="E75" s="88"/>
      <c r="F75" s="87"/>
      <c r="G75" s="88"/>
      <c r="H75" s="89"/>
      <c r="I75" s="88"/>
      <c r="J75" s="89"/>
      <c r="K75" s="88"/>
      <c r="L75" s="89">
        <f t="shared" ref="L75" si="32">D75+F75+H75+J75</f>
        <v>0</v>
      </c>
      <c r="M75" s="97">
        <f t="shared" si="13"/>
        <v>0</v>
      </c>
      <c r="N75" s="93"/>
      <c r="O75" s="88"/>
      <c r="P75" s="89">
        <v>118.96315099999998</v>
      </c>
      <c r="Q75" s="88">
        <f t="shared" ref="Q75:Q78" si="33">P75/$P$90</f>
        <v>4.3102069624058542E-3</v>
      </c>
      <c r="R75" s="89"/>
      <c r="S75" s="94"/>
      <c r="T75" s="89"/>
      <c r="U75" s="94"/>
      <c r="V75" s="124">
        <f t="shared" ref="V75" si="34">N75+P75+R75+T75</f>
        <v>118.96315099999998</v>
      </c>
      <c r="W75" s="131">
        <f t="shared" si="14"/>
        <v>2.0153820910037948E-3</v>
      </c>
      <c r="X75" s="125">
        <v>11753.708207657775</v>
      </c>
      <c r="Y75" s="97">
        <f t="shared" si="15"/>
        <v>2.3624862234886785E-3</v>
      </c>
      <c r="Z75" s="67"/>
      <c r="AA75" s="84"/>
      <c r="AB75" s="84"/>
      <c r="AC75" s="128"/>
      <c r="AD75" s="84"/>
      <c r="AE75" s="84"/>
      <c r="AF75" s="84"/>
      <c r="AG75" s="84"/>
      <c r="AH75" s="84"/>
      <c r="AI75" s="84"/>
      <c r="AJ75" s="84"/>
      <c r="AK75" s="100"/>
      <c r="AL75" s="100"/>
      <c r="AM75" s="100"/>
      <c r="AN75" s="100"/>
      <c r="AO75" s="126"/>
      <c r="AP75" s="126"/>
      <c r="AQ75" s="126"/>
      <c r="AR75" s="126"/>
      <c r="AS75" s="126"/>
      <c r="AT75" s="126"/>
      <c r="AV75" s="3"/>
      <c r="AW75" s="3"/>
      <c r="AX75" s="3"/>
      <c r="AY75" s="3"/>
      <c r="AZ75" s="3"/>
      <c r="BA75" s="3"/>
      <c r="BB75" s="3"/>
      <c r="BC75" s="3"/>
    </row>
    <row r="76" spans="1:55" s="73" customFormat="1" ht="19.5" customHeight="1" x14ac:dyDescent="0.25">
      <c r="A76" s="67"/>
      <c r="B76" s="122">
        <v>66</v>
      </c>
      <c r="C76" s="127" t="s">
        <v>116</v>
      </c>
      <c r="D76" s="87"/>
      <c r="E76" s="88"/>
      <c r="F76" s="87">
        <v>69.087999999999994</v>
      </c>
      <c r="G76" s="88">
        <f>F76/$F$90</f>
        <v>8.9830360160089631E-3</v>
      </c>
      <c r="H76" s="89"/>
      <c r="I76" s="88"/>
      <c r="J76" s="89"/>
      <c r="K76" s="88"/>
      <c r="L76" s="89">
        <f t="shared" ref="L76:L81" si="35">D76+F76+H76+J76</f>
        <v>69.087999999999994</v>
      </c>
      <c r="M76" s="97">
        <f t="shared" ref="M76:M81" si="36">L76/$L$90</f>
        <v>4.7932198916682918E-3</v>
      </c>
      <c r="N76" s="93"/>
      <c r="O76" s="88"/>
      <c r="P76" s="89">
        <v>26.200107000000003</v>
      </c>
      <c r="Q76" s="88">
        <f t="shared" si="33"/>
        <v>9.4926775777129824E-4</v>
      </c>
      <c r="R76" s="89"/>
      <c r="S76" s="94"/>
      <c r="T76" s="89"/>
      <c r="U76" s="94"/>
      <c r="V76" s="124">
        <f t="shared" ref="V76:V81" si="37">N76+P76+R76+T76</f>
        <v>26.200107000000003</v>
      </c>
      <c r="W76" s="131">
        <f t="shared" ref="W76:W81" si="38">V76/$V$90</f>
        <v>4.4386203615423049E-4</v>
      </c>
      <c r="X76" s="125">
        <v>46831.522219919025</v>
      </c>
      <c r="Y76" s="97">
        <f t="shared" ref="Y76:Y81" si="39">X76/$X$90</f>
        <v>9.413099603534418E-3</v>
      </c>
      <c r="Z76" s="67"/>
      <c r="AA76" s="84"/>
      <c r="AB76" s="84"/>
      <c r="AC76" s="128"/>
      <c r="AD76" s="84"/>
      <c r="AE76" s="84"/>
      <c r="AF76" s="84"/>
      <c r="AG76" s="84"/>
      <c r="AH76" s="84"/>
      <c r="AI76" s="84"/>
      <c r="AJ76" s="84"/>
      <c r="AK76" s="100"/>
      <c r="AL76" s="100"/>
      <c r="AM76" s="100"/>
      <c r="AN76" s="100"/>
      <c r="AO76" s="126"/>
      <c r="AP76" s="126"/>
      <c r="AQ76" s="126"/>
      <c r="AR76" s="126"/>
      <c r="AS76" s="126"/>
      <c r="AT76" s="126"/>
      <c r="AV76" s="3"/>
      <c r="AW76" s="3"/>
      <c r="AX76" s="3"/>
      <c r="AY76" s="3"/>
      <c r="AZ76" s="3"/>
      <c r="BA76" s="3"/>
      <c r="BB76" s="3"/>
      <c r="BC76" s="3"/>
    </row>
    <row r="77" spans="1:55" s="73" customFormat="1" ht="19.5" customHeight="1" x14ac:dyDescent="0.25">
      <c r="A77" s="67"/>
      <c r="B77" s="122">
        <v>67</v>
      </c>
      <c r="C77" s="127" t="s">
        <v>117</v>
      </c>
      <c r="D77" s="87">
        <v>59.199999999999996</v>
      </c>
      <c r="E77" s="88">
        <f>D77/$D$83</f>
        <v>1.5681388099521715E-2</v>
      </c>
      <c r="F77" s="87"/>
      <c r="G77" s="88"/>
      <c r="H77" s="89"/>
      <c r="I77" s="88"/>
      <c r="J77" s="89"/>
      <c r="K77" s="88"/>
      <c r="L77" s="89">
        <f t="shared" si="35"/>
        <v>59.199999999999996</v>
      </c>
      <c r="M77" s="97">
        <f t="shared" si="36"/>
        <v>4.1072055579371653E-3</v>
      </c>
      <c r="N77" s="93">
        <v>340.04523300000005</v>
      </c>
      <c r="O77" s="88">
        <f>N77/$N$90</f>
        <v>1.2094034335838038E-2</v>
      </c>
      <c r="P77" s="89"/>
      <c r="Q77" s="88"/>
      <c r="R77" s="89"/>
      <c r="S77" s="94"/>
      <c r="T77" s="89"/>
      <c r="U77" s="94"/>
      <c r="V77" s="124">
        <f t="shared" si="37"/>
        <v>340.04523300000005</v>
      </c>
      <c r="W77" s="131">
        <f t="shared" si="38"/>
        <v>5.7607844694649432E-3</v>
      </c>
      <c r="X77" s="125">
        <v>27613.831470954854</v>
      </c>
      <c r="Y77" s="97">
        <f t="shared" si="39"/>
        <v>5.5503586847056108E-3</v>
      </c>
      <c r="Z77" s="67"/>
      <c r="AA77" s="84"/>
      <c r="AB77" s="84"/>
      <c r="AC77" s="128"/>
      <c r="AD77" s="84"/>
      <c r="AE77" s="84"/>
      <c r="AF77" s="84"/>
      <c r="AG77" s="84"/>
      <c r="AH77" s="84"/>
      <c r="AI77" s="84"/>
      <c r="AJ77" s="84"/>
      <c r="AK77" s="100"/>
      <c r="AL77" s="100"/>
      <c r="AM77" s="100"/>
      <c r="AN77" s="100"/>
      <c r="AO77" s="126"/>
      <c r="AP77" s="126"/>
      <c r="AQ77" s="126"/>
      <c r="AR77" s="126"/>
      <c r="AS77" s="126"/>
      <c r="AT77" s="126"/>
      <c r="AV77" s="3"/>
      <c r="AW77" s="3"/>
      <c r="AX77" s="3"/>
      <c r="AY77" s="3"/>
      <c r="AZ77" s="3"/>
      <c r="BA77" s="3"/>
      <c r="BB77" s="3"/>
      <c r="BC77" s="3"/>
    </row>
    <row r="78" spans="1:55" s="73" customFormat="1" ht="19.5" customHeight="1" x14ac:dyDescent="0.25">
      <c r="A78" s="67"/>
      <c r="B78" s="122">
        <v>68</v>
      </c>
      <c r="C78" s="127" t="s">
        <v>151</v>
      </c>
      <c r="D78" s="87"/>
      <c r="E78" s="88"/>
      <c r="F78" s="87">
        <v>213.20500000000001</v>
      </c>
      <c r="G78" s="88">
        <f>F78/$F$90</f>
        <v>2.7721575292282183E-2</v>
      </c>
      <c r="H78" s="89"/>
      <c r="I78" s="88"/>
      <c r="J78" s="89"/>
      <c r="K78" s="88"/>
      <c r="L78" s="89">
        <f t="shared" si="35"/>
        <v>213.20500000000001</v>
      </c>
      <c r="M78" s="97">
        <f t="shared" si="36"/>
        <v>1.4791837178716105E-2</v>
      </c>
      <c r="N78" s="93"/>
      <c r="O78" s="88"/>
      <c r="P78" s="89">
        <v>10.023271000000001</v>
      </c>
      <c r="Q78" s="88">
        <f t="shared" si="33"/>
        <v>3.631576003756045E-4</v>
      </c>
      <c r="R78" s="89"/>
      <c r="S78" s="94"/>
      <c r="T78" s="89"/>
      <c r="U78" s="94"/>
      <c r="V78" s="124">
        <f t="shared" si="37"/>
        <v>10.023271000000001</v>
      </c>
      <c r="W78" s="131">
        <f t="shared" si="38"/>
        <v>1.6980653838496348E-4</v>
      </c>
      <c r="X78" s="125">
        <v>5768.5123254849186</v>
      </c>
      <c r="Y78" s="97">
        <f t="shared" si="39"/>
        <v>1.1594664984199477E-3</v>
      </c>
      <c r="Z78" s="67"/>
      <c r="AA78" s="84"/>
      <c r="AB78" s="84"/>
      <c r="AC78" s="128"/>
      <c r="AD78" s="84"/>
      <c r="AE78" s="84"/>
      <c r="AF78" s="84"/>
      <c r="AG78" s="84"/>
      <c r="AH78" s="84"/>
      <c r="AI78" s="84"/>
      <c r="AJ78" s="84"/>
      <c r="AK78" s="100"/>
      <c r="AL78" s="100"/>
      <c r="AM78" s="100"/>
      <c r="AN78" s="100"/>
      <c r="AO78" s="126"/>
      <c r="AP78" s="126"/>
      <c r="AQ78" s="126"/>
      <c r="AR78" s="126"/>
      <c r="AS78" s="126"/>
      <c r="AT78" s="126"/>
      <c r="AV78" s="3"/>
      <c r="AW78" s="3"/>
      <c r="AX78" s="3"/>
      <c r="AY78" s="3"/>
      <c r="AZ78" s="3"/>
      <c r="BA78" s="3"/>
      <c r="BB78" s="3"/>
      <c r="BC78" s="3"/>
    </row>
    <row r="79" spans="1:55" s="73" customFormat="1" ht="19.5" customHeight="1" x14ac:dyDescent="0.25">
      <c r="A79" s="67"/>
      <c r="B79" s="122">
        <v>69</v>
      </c>
      <c r="C79" s="127" t="s">
        <v>216</v>
      </c>
      <c r="D79" s="87">
        <v>441.54900000000015</v>
      </c>
      <c r="E79" s="88">
        <f>D79/$D$83</f>
        <v>0.11696116949249521</v>
      </c>
      <c r="F79" s="87"/>
      <c r="G79" s="88"/>
      <c r="H79" s="89"/>
      <c r="I79" s="88"/>
      <c r="J79" s="89"/>
      <c r="K79" s="88"/>
      <c r="L79" s="89">
        <f t="shared" si="35"/>
        <v>441.54900000000015</v>
      </c>
      <c r="M79" s="97">
        <f t="shared" si="36"/>
        <v>3.0633995049013481E-2</v>
      </c>
      <c r="N79" s="93">
        <v>2337.9492920000002</v>
      </c>
      <c r="O79" s="88">
        <f>N79/$N$90</f>
        <v>8.3151405368756426E-2</v>
      </c>
      <c r="P79" s="89"/>
      <c r="Q79" s="88"/>
      <c r="R79" s="89"/>
      <c r="S79" s="94"/>
      <c r="T79" s="89"/>
      <c r="U79" s="94"/>
      <c r="V79" s="124">
        <f t="shared" si="37"/>
        <v>2337.9492920000002</v>
      </c>
      <c r="W79" s="131">
        <f t="shared" si="38"/>
        <v>3.9607736455903084E-2</v>
      </c>
      <c r="X79" s="125">
        <v>137983.06532323951</v>
      </c>
      <c r="Y79" s="97">
        <f t="shared" si="39"/>
        <v>2.773448899203634E-2</v>
      </c>
      <c r="Z79" s="67"/>
      <c r="AA79" s="84"/>
      <c r="AB79" s="84"/>
      <c r="AC79" s="128"/>
      <c r="AD79" s="84"/>
      <c r="AE79" s="84"/>
      <c r="AF79" s="84"/>
      <c r="AG79" s="84"/>
      <c r="AH79" s="84"/>
      <c r="AI79" s="84"/>
      <c r="AJ79" s="84"/>
      <c r="AK79" s="100"/>
      <c r="AL79" s="100"/>
      <c r="AM79" s="100"/>
      <c r="AN79" s="100"/>
      <c r="AO79" s="126"/>
      <c r="AP79" s="126"/>
      <c r="AQ79" s="126"/>
      <c r="AR79" s="126"/>
      <c r="AS79" s="126"/>
      <c r="AT79" s="126"/>
      <c r="AV79" s="3"/>
      <c r="AW79" s="3"/>
      <c r="AX79" s="3"/>
      <c r="AY79" s="3"/>
      <c r="AZ79" s="3"/>
      <c r="BA79" s="3"/>
      <c r="BB79" s="3"/>
      <c r="BC79" s="3"/>
    </row>
    <row r="80" spans="1:55" s="73" customFormat="1" ht="19.5" customHeight="1" x14ac:dyDescent="0.25">
      <c r="A80" s="67"/>
      <c r="B80" s="122">
        <v>70</v>
      </c>
      <c r="C80" s="127" t="s">
        <v>118</v>
      </c>
      <c r="D80" s="87"/>
      <c r="E80" s="88"/>
      <c r="F80" s="87"/>
      <c r="G80" s="88"/>
      <c r="H80" s="89">
        <v>20</v>
      </c>
      <c r="I80" s="88">
        <f>H80/$H$90</f>
        <v>4.9855916401599379E-2</v>
      </c>
      <c r="J80" s="89"/>
      <c r="K80" s="88"/>
      <c r="L80" s="89">
        <f t="shared" si="35"/>
        <v>20</v>
      </c>
      <c r="M80" s="97">
        <f t="shared" si="36"/>
        <v>1.3875694452490425E-3</v>
      </c>
      <c r="N80" s="93"/>
      <c r="O80" s="88"/>
      <c r="P80" s="89"/>
      <c r="Q80" s="88"/>
      <c r="R80" s="89">
        <v>53.352775000000001</v>
      </c>
      <c r="S80" s="94">
        <f>R80/$R$90</f>
        <v>5.5785397971176494E-2</v>
      </c>
      <c r="T80" s="89"/>
      <c r="U80" s="94"/>
      <c r="V80" s="124">
        <f t="shared" si="37"/>
        <v>53.352775000000001</v>
      </c>
      <c r="W80" s="131">
        <f t="shared" si="38"/>
        <v>9.0386162720551186E-4</v>
      </c>
      <c r="X80" s="125">
        <v>15411.020422214429</v>
      </c>
      <c r="Y80" s="97">
        <f t="shared" si="39"/>
        <v>3.0976031388684228E-3</v>
      </c>
      <c r="Z80" s="67"/>
      <c r="AA80" s="84"/>
      <c r="AB80" s="84"/>
      <c r="AC80" s="128"/>
      <c r="AD80" s="84"/>
      <c r="AE80" s="84"/>
      <c r="AF80" s="84"/>
      <c r="AG80" s="84"/>
      <c r="AH80" s="84"/>
      <c r="AI80" s="84"/>
      <c r="AJ80" s="84"/>
      <c r="AK80" s="100"/>
      <c r="AL80" s="100"/>
      <c r="AM80" s="100"/>
      <c r="AN80" s="100"/>
      <c r="AO80" s="126"/>
      <c r="AP80" s="126"/>
      <c r="AQ80" s="126"/>
      <c r="AR80" s="126"/>
      <c r="AS80" s="126"/>
      <c r="AT80" s="126"/>
      <c r="AV80" s="3"/>
      <c r="AW80" s="3"/>
      <c r="AX80" s="3"/>
      <c r="AY80" s="3"/>
      <c r="AZ80" s="3"/>
      <c r="BA80" s="3"/>
      <c r="BB80" s="3"/>
      <c r="BC80" s="3"/>
    </row>
    <row r="81" spans="1:55" s="73" customFormat="1" ht="19.5" customHeight="1" x14ac:dyDescent="0.25">
      <c r="A81" s="67"/>
      <c r="B81" s="122">
        <v>71</v>
      </c>
      <c r="C81" s="127" t="s">
        <v>119</v>
      </c>
      <c r="D81" s="87"/>
      <c r="E81" s="88"/>
      <c r="F81" s="87">
        <v>300</v>
      </c>
      <c r="G81" s="88">
        <f>F81/$F$90</f>
        <v>3.9006930361317298E-2</v>
      </c>
      <c r="H81" s="89"/>
      <c r="I81" s="88"/>
      <c r="J81" s="89"/>
      <c r="K81" s="88"/>
      <c r="L81" s="89">
        <f t="shared" si="35"/>
        <v>300</v>
      </c>
      <c r="M81" s="97">
        <f t="shared" si="36"/>
        <v>2.0813541678735635E-2</v>
      </c>
      <c r="N81" s="93"/>
      <c r="O81" s="88"/>
      <c r="P81" s="89">
        <v>1586.3483839999999</v>
      </c>
      <c r="Q81" s="88">
        <f t="shared" ref="Q81" si="40">P81/$P$90</f>
        <v>5.7475695558182348E-2</v>
      </c>
      <c r="R81" s="89"/>
      <c r="S81" s="94"/>
      <c r="T81" s="89"/>
      <c r="U81" s="94"/>
      <c r="V81" s="124">
        <f t="shared" si="37"/>
        <v>1586.3483839999999</v>
      </c>
      <c r="W81" s="131">
        <f t="shared" si="38"/>
        <v>2.6874692678629634E-2</v>
      </c>
      <c r="X81" s="125">
        <v>127778.99515578225</v>
      </c>
      <c r="Y81" s="97">
        <f t="shared" si="39"/>
        <v>2.568347881140046E-2</v>
      </c>
      <c r="Z81" s="67"/>
      <c r="AA81" s="84"/>
      <c r="AB81" s="84"/>
      <c r="AC81" s="128"/>
      <c r="AD81" s="84"/>
      <c r="AE81" s="84"/>
      <c r="AF81" s="84"/>
      <c r="AG81" s="84"/>
      <c r="AH81" s="84"/>
      <c r="AI81" s="84"/>
      <c r="AJ81" s="84"/>
      <c r="AK81" s="100"/>
      <c r="AL81" s="100"/>
      <c r="AM81" s="100"/>
      <c r="AN81" s="100"/>
      <c r="AO81" s="126"/>
      <c r="AP81" s="126"/>
      <c r="AQ81" s="126"/>
      <c r="AR81" s="126"/>
      <c r="AS81" s="126"/>
      <c r="AT81" s="126"/>
      <c r="AV81" s="3"/>
      <c r="AW81" s="3"/>
      <c r="AX81" s="3"/>
      <c r="AY81" s="3"/>
      <c r="AZ81" s="3"/>
      <c r="BA81" s="3"/>
      <c r="BB81" s="3"/>
      <c r="BC81" s="3"/>
    </row>
    <row r="82" spans="1:55" s="73" customFormat="1" ht="19.5" customHeight="1" thickBot="1" x14ac:dyDescent="0.3">
      <c r="A82" s="67"/>
      <c r="B82" s="122">
        <v>72</v>
      </c>
      <c r="C82" s="132" t="s">
        <v>120</v>
      </c>
      <c r="D82" s="87"/>
      <c r="E82" s="88"/>
      <c r="F82" s="87">
        <v>202.64</v>
      </c>
      <c r="G82" s="88">
        <f>F82/$F$90</f>
        <v>2.6347881228057788E-2</v>
      </c>
      <c r="H82" s="89"/>
      <c r="I82" s="88"/>
      <c r="J82" s="89"/>
      <c r="K82" s="88"/>
      <c r="L82" s="89">
        <f t="shared" si="4"/>
        <v>202.64</v>
      </c>
      <c r="M82" s="97">
        <f>L82/$L$90</f>
        <v>1.4058853619263297E-2</v>
      </c>
      <c r="N82" s="93"/>
      <c r="O82" s="88"/>
      <c r="P82" s="89">
        <v>363.94926100000004</v>
      </c>
      <c r="Q82" s="88">
        <f>P82/$P$90</f>
        <v>1.3186407938409984E-2</v>
      </c>
      <c r="R82" s="89"/>
      <c r="S82" s="94"/>
      <c r="T82" s="89"/>
      <c r="U82" s="94"/>
      <c r="V82" s="124">
        <f>N82+P82+R82+T82</f>
        <v>363.94926100000004</v>
      </c>
      <c r="W82" s="131">
        <f>V82/$V$90</f>
        <v>6.1657481034061217E-3</v>
      </c>
      <c r="X82" s="133">
        <v>60129.8641970264</v>
      </c>
      <c r="Y82" s="97">
        <f>X82/$X$90</f>
        <v>1.2086056015340563E-2</v>
      </c>
      <c r="Z82" s="67"/>
      <c r="AA82" s="84"/>
      <c r="AB82" s="128"/>
      <c r="AC82" s="84"/>
      <c r="AD82" s="84"/>
      <c r="AE82" s="84"/>
      <c r="AF82" s="100"/>
      <c r="AG82" s="100"/>
      <c r="AH82" s="100"/>
      <c r="AI82" s="100"/>
      <c r="AJ82" s="100"/>
      <c r="AK82" s="100"/>
      <c r="AL82" s="100"/>
      <c r="AM82" s="100"/>
      <c r="AN82" s="100"/>
      <c r="AO82" s="126"/>
      <c r="AP82" s="126"/>
      <c r="AQ82" s="126"/>
      <c r="AR82" s="126"/>
      <c r="AS82" s="126"/>
      <c r="AT82" s="126"/>
      <c r="AV82" s="3"/>
      <c r="AW82" s="3"/>
      <c r="AX82" s="3"/>
      <c r="AY82" s="3"/>
      <c r="AZ82" s="3"/>
      <c r="BA82" s="3"/>
      <c r="BB82" s="3"/>
      <c r="BC82" s="3"/>
    </row>
    <row r="83" spans="1:55" s="73" customFormat="1" ht="19.5" customHeight="1" thickTop="1" thickBot="1" x14ac:dyDescent="0.3">
      <c r="A83" s="67"/>
      <c r="B83" s="134"/>
      <c r="C83" s="135" t="s">
        <v>2</v>
      </c>
      <c r="D83" s="136">
        <f>SUM(D16:D82)</f>
        <v>3775.1760000000004</v>
      </c>
      <c r="E83" s="137"/>
      <c r="F83" s="136">
        <f>SUM(F16:F82)</f>
        <v>7571.1930000000002</v>
      </c>
      <c r="G83" s="137"/>
      <c r="H83" s="136">
        <f>SUM(H16:H82)</f>
        <v>401.15600000000001</v>
      </c>
      <c r="I83" s="137"/>
      <c r="J83" s="136">
        <f>SUM(J16:J82)</f>
        <v>1014.99</v>
      </c>
      <c r="K83" s="138"/>
      <c r="L83" s="136">
        <f>SUM(L16:L82)</f>
        <v>12762.514999999996</v>
      </c>
      <c r="M83" s="107">
        <f>SUM(M16:M82)</f>
        <v>0.88544379292662934</v>
      </c>
      <c r="N83" s="136">
        <f>SUM(N16:N82)</f>
        <v>19180.131401082501</v>
      </c>
      <c r="O83" s="137"/>
      <c r="P83" s="136">
        <f>SUM(P16:P82)</f>
        <v>27480.969127000004</v>
      </c>
      <c r="Q83" s="137"/>
      <c r="R83" s="136">
        <f>SUM(R16:R82)</f>
        <v>956.39319499999999</v>
      </c>
      <c r="S83" s="138"/>
      <c r="T83" s="136">
        <f>SUM(T16:T82)</f>
        <v>2354.090357</v>
      </c>
      <c r="U83" s="138"/>
      <c r="V83" s="136">
        <f>SUM(V16:V82)</f>
        <v>49971.584080082495</v>
      </c>
      <c r="W83" s="107">
        <f>SUM(W16:W82)</f>
        <v>0.84658009448731386</v>
      </c>
      <c r="X83" s="136">
        <f>SUM(X16:X82)</f>
        <v>4140244.8042020388</v>
      </c>
      <c r="Y83" s="107">
        <f>SUM(Y16:Y40)+SUM(Y41:Y82)</f>
        <v>0.83218599092201395</v>
      </c>
      <c r="Z83" s="67"/>
      <c r="AA83" s="84"/>
      <c r="AB83" s="128"/>
      <c r="AC83" s="84"/>
      <c r="AD83" s="84"/>
      <c r="AE83" s="84"/>
      <c r="AF83" s="100"/>
      <c r="AG83" s="100"/>
      <c r="AH83" s="100"/>
      <c r="AI83" s="100"/>
      <c r="AJ83" s="100"/>
      <c r="AK83" s="100"/>
      <c r="AL83" s="100"/>
      <c r="AM83" s="100"/>
      <c r="AN83" s="100"/>
      <c r="AO83" s="126"/>
      <c r="AP83" s="126"/>
      <c r="AQ83" s="126"/>
      <c r="AR83" s="126"/>
      <c r="AS83" s="126"/>
      <c r="AT83" s="126"/>
      <c r="AV83" s="3"/>
      <c r="AW83" s="3"/>
      <c r="AX83" s="3"/>
      <c r="AY83" s="3"/>
      <c r="AZ83" s="3"/>
      <c r="BA83" s="3"/>
      <c r="BB83" s="3"/>
      <c r="BC83" s="3"/>
    </row>
    <row r="84" spans="1:55" s="73" customFormat="1" ht="19.5" customHeight="1" x14ac:dyDescent="0.25">
      <c r="A84" s="67"/>
      <c r="B84" s="113"/>
      <c r="C84" s="139"/>
      <c r="D84" s="140"/>
      <c r="E84" s="141"/>
      <c r="F84" s="140"/>
      <c r="G84" s="141"/>
      <c r="H84" s="140"/>
      <c r="I84" s="141"/>
      <c r="J84" s="141"/>
      <c r="K84" s="141"/>
      <c r="L84" s="142"/>
      <c r="M84" s="143"/>
      <c r="N84" s="140"/>
      <c r="O84" s="141"/>
      <c r="P84" s="140"/>
      <c r="Q84" s="141"/>
      <c r="R84" s="140"/>
      <c r="S84" s="141"/>
      <c r="T84" s="141"/>
      <c r="U84" s="141"/>
      <c r="V84" s="142"/>
      <c r="W84" s="143"/>
      <c r="X84" s="142"/>
      <c r="Y84" s="144"/>
      <c r="Z84" s="67"/>
      <c r="AA84" s="84"/>
      <c r="AB84" s="84"/>
      <c r="AC84" s="84"/>
      <c r="AD84" s="84"/>
      <c r="AE84" s="84"/>
      <c r="AF84" s="130"/>
      <c r="AG84" s="130"/>
      <c r="AH84" s="130"/>
      <c r="AI84" s="130"/>
      <c r="AJ84" s="130"/>
      <c r="AK84" s="130"/>
      <c r="AL84" s="130"/>
      <c r="AM84" s="130"/>
      <c r="AN84" s="130"/>
      <c r="AO84" s="145"/>
      <c r="AP84" s="146"/>
      <c r="AQ84" s="126"/>
      <c r="AR84" s="126"/>
      <c r="AS84" s="126"/>
      <c r="AT84" s="146"/>
      <c r="AV84" s="3"/>
      <c r="AW84" s="3"/>
      <c r="AX84" s="3"/>
      <c r="AY84" s="3"/>
      <c r="AZ84" s="3"/>
      <c r="BA84" s="3"/>
      <c r="BB84" s="3"/>
      <c r="BC84" s="3"/>
    </row>
    <row r="85" spans="1:55" s="73" customFormat="1" ht="19.5" customHeight="1" x14ac:dyDescent="0.25">
      <c r="A85" s="67"/>
      <c r="B85" s="5"/>
      <c r="C85" s="67"/>
      <c r="D85" s="147"/>
      <c r="E85" s="67"/>
      <c r="F85" s="147"/>
      <c r="G85" s="67"/>
      <c r="H85" s="147"/>
      <c r="I85" s="67"/>
      <c r="J85" s="147"/>
      <c r="K85" s="67"/>
      <c r="L85" s="147"/>
      <c r="M85" s="67"/>
      <c r="N85" s="147"/>
      <c r="O85" s="67"/>
      <c r="P85" s="147"/>
      <c r="Q85" s="67"/>
      <c r="R85" s="147"/>
      <c r="S85" s="67"/>
      <c r="T85" s="147"/>
      <c r="U85" s="67"/>
      <c r="V85" s="147"/>
      <c r="W85" s="67"/>
      <c r="X85" s="115"/>
      <c r="Y85" s="67"/>
      <c r="Z85" s="67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148"/>
      <c r="AV85" s="3"/>
      <c r="AW85" s="3"/>
      <c r="AX85" s="3"/>
      <c r="AY85" s="3"/>
      <c r="AZ85" s="3"/>
      <c r="BA85" s="3"/>
      <c r="BB85" s="3"/>
      <c r="BC85" s="3"/>
    </row>
    <row r="86" spans="1:55" s="73" customFormat="1" ht="19.5" customHeight="1" x14ac:dyDescent="0.25">
      <c r="A86" s="67"/>
      <c r="B86" s="149"/>
      <c r="C86" s="139"/>
      <c r="D86" s="114"/>
      <c r="E86" s="141"/>
      <c r="F86" s="114"/>
      <c r="G86" s="141"/>
      <c r="H86" s="141"/>
      <c r="I86" s="141"/>
      <c r="J86" s="141"/>
      <c r="K86" s="141"/>
      <c r="L86" s="142"/>
      <c r="M86" s="141"/>
      <c r="N86" s="116"/>
      <c r="O86" s="116"/>
      <c r="P86" s="116"/>
      <c r="Q86" s="141"/>
      <c r="R86" s="141"/>
      <c r="S86" s="141"/>
      <c r="T86" s="141"/>
      <c r="U86" s="141"/>
      <c r="V86" s="142"/>
      <c r="W86" s="141"/>
      <c r="X86" s="142"/>
      <c r="Y86" s="144"/>
      <c r="Z86" s="67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148"/>
      <c r="AV86" s="3"/>
      <c r="AW86" s="3"/>
      <c r="AX86" s="3"/>
      <c r="AY86" s="3"/>
      <c r="AZ86" s="3"/>
      <c r="BA86" s="3"/>
      <c r="BB86" s="3"/>
      <c r="BC86" s="3"/>
    </row>
    <row r="87" spans="1:55" s="67" customFormat="1" ht="19.5" customHeight="1" thickBot="1" x14ac:dyDescent="0.3">
      <c r="B87" s="101" t="s">
        <v>166</v>
      </c>
      <c r="C87" s="139"/>
      <c r="D87" s="140"/>
      <c r="E87" s="141"/>
      <c r="F87" s="140"/>
      <c r="G87" s="141"/>
      <c r="H87" s="141"/>
      <c r="I87" s="141"/>
      <c r="J87" s="141"/>
      <c r="K87" s="141"/>
      <c r="L87" s="142"/>
      <c r="M87" s="141"/>
      <c r="N87" s="140"/>
      <c r="O87" s="141"/>
      <c r="P87" s="140"/>
      <c r="Q87" s="141"/>
      <c r="R87" s="141"/>
      <c r="S87" s="141"/>
      <c r="T87" s="141"/>
      <c r="U87" s="141"/>
      <c r="V87" s="142"/>
      <c r="W87" s="141"/>
      <c r="X87" s="142"/>
      <c r="Y87" s="14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148"/>
      <c r="AP87" s="73"/>
      <c r="AQ87" s="73"/>
      <c r="AR87" s="73"/>
      <c r="AS87" s="73"/>
      <c r="AT87" s="73"/>
      <c r="AU87" s="73"/>
      <c r="AV87" s="5"/>
      <c r="AW87" s="5"/>
      <c r="AX87" s="5"/>
      <c r="AY87" s="5"/>
      <c r="AZ87" s="5"/>
      <c r="BA87" s="5"/>
      <c r="BB87" s="5"/>
      <c r="BC87" s="5"/>
    </row>
    <row r="88" spans="1:55" s="73" customFormat="1" ht="19.5" customHeight="1" x14ac:dyDescent="0.25">
      <c r="A88" s="67"/>
      <c r="B88" s="150"/>
      <c r="C88" s="151" t="s">
        <v>8</v>
      </c>
      <c r="D88" s="152" t="s">
        <v>198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4" t="s">
        <v>199</v>
      </c>
      <c r="O88" s="153"/>
      <c r="P88" s="153"/>
      <c r="Q88" s="153"/>
      <c r="R88" s="153"/>
      <c r="S88" s="153"/>
      <c r="T88" s="153"/>
      <c r="U88" s="153"/>
      <c r="V88" s="153"/>
      <c r="W88" s="153"/>
      <c r="X88" s="154" t="s">
        <v>200</v>
      </c>
      <c r="Y88" s="155"/>
      <c r="Z88" s="67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148"/>
      <c r="AV88" s="3"/>
      <c r="AW88" s="3"/>
      <c r="AX88" s="3"/>
      <c r="AY88" s="3"/>
      <c r="AZ88" s="3"/>
      <c r="BA88" s="3"/>
      <c r="BB88" s="3"/>
      <c r="BC88" s="3"/>
    </row>
    <row r="89" spans="1:55" s="73" customFormat="1" ht="19.5" customHeight="1" thickBot="1" x14ac:dyDescent="0.3">
      <c r="A89" s="67"/>
      <c r="B89" s="156"/>
      <c r="C89" s="157"/>
      <c r="D89" s="158" t="s">
        <v>0</v>
      </c>
      <c r="E89" s="159" t="s">
        <v>6</v>
      </c>
      <c r="F89" s="160" t="s">
        <v>1</v>
      </c>
      <c r="G89" s="159" t="s">
        <v>6</v>
      </c>
      <c r="H89" s="160" t="s">
        <v>56</v>
      </c>
      <c r="I89" s="161" t="s">
        <v>6</v>
      </c>
      <c r="J89" s="162" t="s">
        <v>66</v>
      </c>
      <c r="K89" s="161" t="s">
        <v>6</v>
      </c>
      <c r="L89" s="160" t="s">
        <v>2</v>
      </c>
      <c r="M89" s="163" t="s">
        <v>6</v>
      </c>
      <c r="N89" s="164" t="s">
        <v>0</v>
      </c>
      <c r="O89" s="159" t="s">
        <v>6</v>
      </c>
      <c r="P89" s="165" t="s">
        <v>1</v>
      </c>
      <c r="Q89" s="159" t="s">
        <v>6</v>
      </c>
      <c r="R89" s="160" t="s">
        <v>56</v>
      </c>
      <c r="S89" s="161" t="s">
        <v>6</v>
      </c>
      <c r="T89" s="160" t="s">
        <v>67</v>
      </c>
      <c r="U89" s="161" t="s">
        <v>6</v>
      </c>
      <c r="V89" s="160" t="s">
        <v>2</v>
      </c>
      <c r="W89" s="166" t="s">
        <v>6</v>
      </c>
      <c r="X89" s="120" t="s">
        <v>26</v>
      </c>
      <c r="Y89" s="167" t="s">
        <v>6</v>
      </c>
      <c r="Z89" s="67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148"/>
      <c r="AV89" s="3"/>
      <c r="AW89" s="3"/>
      <c r="AX89" s="3"/>
      <c r="AY89" s="3"/>
      <c r="AZ89" s="3"/>
      <c r="BA89" s="3"/>
      <c r="BB89" s="3"/>
      <c r="BC89" s="3"/>
    </row>
    <row r="90" spans="1:55" s="73" customFormat="1" ht="26.25" customHeight="1" x14ac:dyDescent="0.25">
      <c r="A90" s="67"/>
      <c r="B90" s="168" t="s">
        <v>10</v>
      </c>
      <c r="C90" s="169"/>
      <c r="D90" s="170">
        <f>D11+D83</f>
        <v>5306.6060000000007</v>
      </c>
      <c r="E90" s="171">
        <f>D90/L90</f>
        <v>0.36816421717876202</v>
      </c>
      <c r="F90" s="170">
        <f>F11+F83</f>
        <v>7690.9409999999998</v>
      </c>
      <c r="G90" s="171">
        <f>F90/L90</f>
        <v>0.5335857368406558</v>
      </c>
      <c r="H90" s="170">
        <f>H11+H83</f>
        <v>401.15600000000001</v>
      </c>
      <c r="I90" s="171">
        <f>H90/L90</f>
        <v>2.7831590418916242E-2</v>
      </c>
      <c r="J90" s="170">
        <f>J11+J83</f>
        <v>1014.99</v>
      </c>
      <c r="K90" s="171">
        <f>J90/L90</f>
        <v>7.0418455561666274E-2</v>
      </c>
      <c r="L90" s="170">
        <f>L11+L83</f>
        <v>14413.692999999996</v>
      </c>
      <c r="M90" s="171">
        <f>E90+G90+I90+K90</f>
        <v>1.0000000000000004</v>
      </c>
      <c r="N90" s="170">
        <f>N11+N83</f>
        <v>28116.774234082503</v>
      </c>
      <c r="O90" s="171">
        <f>N90/V90</f>
        <v>0.47633273641320101</v>
      </c>
      <c r="P90" s="170">
        <f>P11+P83</f>
        <v>27600.333821000004</v>
      </c>
      <c r="Q90" s="171">
        <f>P90/V90</f>
        <v>0.46758360064428489</v>
      </c>
      <c r="R90" s="170">
        <f>R11+R83</f>
        <v>956.39319499999999</v>
      </c>
      <c r="S90" s="171">
        <f>R90/V90</f>
        <v>1.620247699357678E-2</v>
      </c>
      <c r="T90" s="170">
        <f>T11+T83</f>
        <v>2354.090357</v>
      </c>
      <c r="U90" s="171">
        <f>T90/V90</f>
        <v>3.9881185948937505E-2</v>
      </c>
      <c r="V90" s="170">
        <f>V11+V83</f>
        <v>59027.591607082497</v>
      </c>
      <c r="W90" s="171">
        <f>O90+Q90+S90+U90</f>
        <v>1.0000000000000002</v>
      </c>
      <c r="X90" s="170">
        <f>X11+X83</f>
        <v>4975143.5969438581</v>
      </c>
      <c r="Y90" s="172">
        <v>1</v>
      </c>
      <c r="Z90" s="67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148"/>
      <c r="AV90" s="3"/>
      <c r="AW90" s="3"/>
      <c r="AX90" s="3"/>
      <c r="AY90" s="3"/>
      <c r="AZ90" s="3"/>
      <c r="BA90" s="3"/>
      <c r="BB90" s="3"/>
      <c r="BC90" s="3"/>
    </row>
    <row r="91" spans="1:55" s="73" customFormat="1" ht="11.25" customHeight="1" thickBot="1" x14ac:dyDescent="0.3">
      <c r="A91" s="67"/>
      <c r="B91" s="173"/>
      <c r="C91" s="174"/>
      <c r="D91" s="175"/>
      <c r="E91" s="176"/>
      <c r="F91" s="175"/>
      <c r="G91" s="176"/>
      <c r="H91" s="177"/>
      <c r="I91" s="176"/>
      <c r="J91" s="178"/>
      <c r="K91" s="176"/>
      <c r="L91" s="179"/>
      <c r="M91" s="176"/>
      <c r="N91" s="175"/>
      <c r="O91" s="176"/>
      <c r="P91" s="180"/>
      <c r="Q91" s="176"/>
      <c r="R91" s="181"/>
      <c r="S91" s="176"/>
      <c r="T91" s="177"/>
      <c r="U91" s="176"/>
      <c r="V91" s="179"/>
      <c r="W91" s="176"/>
      <c r="X91" s="182"/>
      <c r="Y91" s="183"/>
      <c r="Z91" s="67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148"/>
      <c r="AV91" s="3"/>
      <c r="AW91" s="3"/>
      <c r="AX91" s="3"/>
      <c r="AY91" s="3"/>
      <c r="AZ91" s="3"/>
      <c r="BA91" s="3"/>
      <c r="BB91" s="3"/>
      <c r="BC91" s="3"/>
    </row>
    <row r="92" spans="1:55" s="73" customFormat="1" ht="19.5" customHeight="1" x14ac:dyDescent="0.25">
      <c r="A92" s="67"/>
      <c r="B92" s="184" t="s">
        <v>121</v>
      </c>
      <c r="C92" s="67" t="s">
        <v>204</v>
      </c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148"/>
      <c r="AV92" s="3"/>
      <c r="AW92" s="3"/>
      <c r="AX92" s="3"/>
      <c r="AY92" s="3"/>
      <c r="AZ92" s="3"/>
      <c r="BA92" s="3"/>
      <c r="BB92" s="3"/>
      <c r="BC92" s="3"/>
    </row>
    <row r="93" spans="1:55" s="73" customFormat="1" ht="19.5" customHeight="1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115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115"/>
      <c r="Z93" s="67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148"/>
      <c r="AV93" s="3"/>
      <c r="AW93" s="3"/>
      <c r="AX93" s="3"/>
      <c r="AY93" s="3"/>
      <c r="AZ93" s="3"/>
      <c r="BA93" s="3"/>
      <c r="BB93" s="3"/>
      <c r="BC93" s="3"/>
    </row>
    <row r="94" spans="1:55" s="73" customFormat="1" ht="19.5" customHeight="1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148"/>
      <c r="AV94" s="3"/>
      <c r="AW94" s="3"/>
      <c r="AX94" s="3"/>
      <c r="AY94" s="3"/>
      <c r="AZ94" s="3"/>
      <c r="BA94" s="3"/>
      <c r="BB94" s="3"/>
      <c r="BC94" s="3"/>
    </row>
    <row r="95" spans="1:55" s="73" customFormat="1" ht="19.5" customHeight="1" x14ac:dyDescent="0.25">
      <c r="A95" s="67"/>
      <c r="B95" s="149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148"/>
      <c r="AV95" s="3"/>
      <c r="AW95" s="3"/>
      <c r="AX95" s="3"/>
      <c r="AY95" s="3"/>
      <c r="AZ95" s="3"/>
      <c r="BA95" s="3"/>
      <c r="BB95" s="3"/>
      <c r="BC95" s="3"/>
    </row>
    <row r="96" spans="1:55" s="73" customFormat="1" ht="19.5" customHeight="1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115"/>
      <c r="M96" s="67"/>
      <c r="N96" s="67"/>
      <c r="O96" s="67"/>
      <c r="P96" s="67"/>
      <c r="Q96" s="67"/>
      <c r="R96" s="67"/>
      <c r="S96" s="67"/>
      <c r="T96" s="67"/>
      <c r="U96" s="67"/>
      <c r="V96" s="115"/>
      <c r="W96" s="67"/>
      <c r="X96" s="67"/>
      <c r="Y96" s="67"/>
      <c r="Z96" s="67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148"/>
      <c r="AV96" s="3"/>
      <c r="AW96" s="3"/>
      <c r="AX96" s="3"/>
      <c r="AY96" s="3"/>
      <c r="AZ96" s="3"/>
      <c r="BA96" s="3"/>
      <c r="BB96" s="3"/>
      <c r="BC96" s="3"/>
    </row>
    <row r="97" spans="1:55" s="73" customFormat="1" ht="19.5" customHeight="1" x14ac:dyDescent="0.25">
      <c r="A97" s="67"/>
      <c r="B97" s="185"/>
      <c r="C97" s="18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84"/>
      <c r="AB97" s="84"/>
      <c r="AC97" s="84" t="s">
        <v>132</v>
      </c>
      <c r="AD97" s="84"/>
      <c r="AE97" s="84"/>
      <c r="AF97" s="187" t="s">
        <v>0</v>
      </c>
      <c r="AG97" s="187" t="s">
        <v>1</v>
      </c>
      <c r="AH97" s="187" t="s">
        <v>56</v>
      </c>
      <c r="AI97" s="187" t="s">
        <v>66</v>
      </c>
      <c r="AJ97" s="84"/>
      <c r="AK97" s="84"/>
      <c r="AL97" s="84"/>
      <c r="AM97" s="84"/>
      <c r="AN97" s="84"/>
      <c r="AO97" s="148"/>
      <c r="AV97" s="3"/>
      <c r="AW97" s="3"/>
      <c r="AX97" s="3"/>
      <c r="AY97" s="3"/>
      <c r="AZ97" s="3"/>
      <c r="BA97" s="3"/>
      <c r="BB97" s="3"/>
      <c r="BC97" s="3"/>
    </row>
    <row r="98" spans="1:55" s="73" customFormat="1" ht="19.5" customHeight="1" x14ac:dyDescent="0.25">
      <c r="A98" s="67"/>
      <c r="B98" s="185"/>
      <c r="C98" s="186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99"/>
      <c r="AL98" s="84"/>
      <c r="AM98" s="84"/>
      <c r="AN98" s="84"/>
      <c r="AO98" s="148"/>
      <c r="AV98" s="3"/>
      <c r="AW98" s="3"/>
      <c r="AX98" s="3"/>
      <c r="AY98" s="3"/>
      <c r="AZ98" s="3"/>
      <c r="BA98" s="3"/>
      <c r="BB98" s="3"/>
      <c r="BC98" s="3"/>
    </row>
    <row r="99" spans="1:55" s="73" customFormat="1" ht="19.5" customHeight="1" x14ac:dyDescent="0.25">
      <c r="A99" s="67"/>
      <c r="B99" s="185"/>
      <c r="C99" s="186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84"/>
      <c r="AB99" s="84" t="s">
        <v>7</v>
      </c>
      <c r="AC99" s="188">
        <f>+AF99+AG99+AH99+AI99</f>
        <v>1651.1780000000001</v>
      </c>
      <c r="AD99" s="99">
        <f>AC99/AC101</f>
        <v>0.11455620707337114</v>
      </c>
      <c r="AE99" s="84" t="s">
        <v>7</v>
      </c>
      <c r="AF99" s="188">
        <f>+D11</f>
        <v>1531.43</v>
      </c>
      <c r="AG99" s="188">
        <f>+F11</f>
        <v>119.748</v>
      </c>
      <c r="AH99" s="188">
        <f>H11</f>
        <v>0</v>
      </c>
      <c r="AI99" s="188">
        <f>J11</f>
        <v>0</v>
      </c>
      <c r="AJ99" s="99">
        <f>AF99/AF101</f>
        <v>0.28858935447628858</v>
      </c>
      <c r="AK99" s="99">
        <f>AG99/AG101</f>
        <v>1.5570006323023413E-2</v>
      </c>
      <c r="AL99" s="99">
        <f>AH99/AH100</f>
        <v>0</v>
      </c>
      <c r="AM99" s="99">
        <f>AI99/AI100</f>
        <v>0</v>
      </c>
      <c r="AN99" s="84"/>
      <c r="AO99" s="148"/>
      <c r="AV99" s="3"/>
      <c r="AW99" s="3"/>
      <c r="AX99" s="3"/>
      <c r="AY99" s="3"/>
      <c r="AZ99" s="3"/>
      <c r="BA99" s="3"/>
      <c r="BB99" s="3"/>
      <c r="BC99" s="3"/>
    </row>
    <row r="100" spans="1:55" s="73" customFormat="1" ht="19.5" customHeight="1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84"/>
      <c r="AB100" s="84" t="s">
        <v>9</v>
      </c>
      <c r="AC100" s="188">
        <f>+AF100+AG100+AH100+AI100</f>
        <v>12762.515000000001</v>
      </c>
      <c r="AD100" s="99">
        <f>AC100/AC101</f>
        <v>0.88544379292662889</v>
      </c>
      <c r="AE100" s="84" t="s">
        <v>9</v>
      </c>
      <c r="AF100" s="188">
        <f>+D83</f>
        <v>3775.1760000000004</v>
      </c>
      <c r="AG100" s="188">
        <f>+F83</f>
        <v>7571.1930000000002</v>
      </c>
      <c r="AH100" s="188">
        <f>+H83</f>
        <v>401.15600000000001</v>
      </c>
      <c r="AI100" s="188">
        <f>+J83</f>
        <v>1014.99</v>
      </c>
      <c r="AJ100" s="99">
        <f>AF100/AF101</f>
        <v>0.71141064552371136</v>
      </c>
      <c r="AK100" s="99">
        <f>AG100/AG101</f>
        <v>0.98442999367697659</v>
      </c>
      <c r="AL100" s="99">
        <f>AH100/AH101</f>
        <v>1</v>
      </c>
      <c r="AM100" s="99">
        <f>AI100/AI101</f>
        <v>1</v>
      </c>
      <c r="AN100" s="84"/>
      <c r="AO100" s="148"/>
      <c r="AV100" s="3"/>
      <c r="AW100" s="3"/>
      <c r="AX100" s="3"/>
      <c r="AY100" s="3"/>
      <c r="AZ100" s="3"/>
      <c r="BA100" s="3"/>
      <c r="BB100" s="3"/>
      <c r="BC100" s="3"/>
    </row>
    <row r="101" spans="1:55" s="73" customFormat="1" ht="19.5" customHeight="1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84"/>
      <c r="AB101" s="84"/>
      <c r="AC101" s="188">
        <f>SUM(AC99:AC100)</f>
        <v>14413.693000000001</v>
      </c>
      <c r="AD101" s="84"/>
      <c r="AE101" s="84" t="s">
        <v>133</v>
      </c>
      <c r="AF101" s="188">
        <f>SUM(AF99:AF100)</f>
        <v>5306.6060000000007</v>
      </c>
      <c r="AG101" s="188">
        <f>SUM(AG99:AG100)</f>
        <v>7690.9409999999998</v>
      </c>
      <c r="AH101" s="188">
        <f>SUM(AH99:AH100)</f>
        <v>401.15600000000001</v>
      </c>
      <c r="AI101" s="188">
        <f>SUM(AI99:AI100)</f>
        <v>1014.99</v>
      </c>
      <c r="AJ101" s="188">
        <f>SUM(AF101:AI101)</f>
        <v>14413.693000000001</v>
      </c>
      <c r="AK101" s="84"/>
      <c r="AL101" s="84"/>
      <c r="AM101" s="84"/>
      <c r="AN101" s="84"/>
      <c r="AO101" s="148"/>
      <c r="AV101" s="3"/>
      <c r="AW101" s="3"/>
      <c r="AX101" s="3"/>
      <c r="AY101" s="3"/>
      <c r="AZ101" s="3"/>
      <c r="BA101" s="3"/>
      <c r="BB101" s="3"/>
      <c r="BC101" s="3"/>
    </row>
    <row r="102" spans="1:55" s="73" customFormat="1" ht="19.5" customHeight="1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148"/>
      <c r="AV102" s="3"/>
      <c r="AW102" s="3"/>
      <c r="AX102" s="3"/>
      <c r="AY102" s="3"/>
      <c r="AZ102" s="3"/>
      <c r="BA102" s="3"/>
      <c r="BB102" s="3"/>
      <c r="BC102" s="3"/>
    </row>
    <row r="103" spans="1:55" s="73" customFormat="1" ht="19.5" customHeight="1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84"/>
      <c r="AB103" s="84"/>
      <c r="AC103" s="84" t="s">
        <v>134</v>
      </c>
      <c r="AD103" s="84"/>
      <c r="AE103" s="84"/>
      <c r="AF103" s="187" t="s">
        <v>0</v>
      </c>
      <c r="AG103" s="187" t="s">
        <v>1</v>
      </c>
      <c r="AH103" s="187" t="s">
        <v>56</v>
      </c>
      <c r="AI103" s="187" t="s">
        <v>66</v>
      </c>
      <c r="AJ103" s="84"/>
      <c r="AK103" s="84"/>
      <c r="AL103" s="84"/>
      <c r="AM103" s="84"/>
      <c r="AN103" s="84"/>
      <c r="AO103" s="148"/>
      <c r="AV103" s="3"/>
      <c r="AW103" s="3"/>
      <c r="AX103" s="3"/>
      <c r="AY103" s="3"/>
      <c r="AZ103" s="3"/>
      <c r="BA103" s="3"/>
      <c r="BB103" s="3"/>
      <c r="BC103" s="3"/>
    </row>
    <row r="104" spans="1:55" s="73" customFormat="1" ht="19.5" customHeight="1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84"/>
      <c r="AB104" s="84" t="s">
        <v>7</v>
      </c>
      <c r="AC104" s="188">
        <f>+AF104+AG104+AH104+AI104</f>
        <v>9056.0075270000016</v>
      </c>
      <c r="AD104" s="99">
        <f>AC104/AC107</f>
        <v>0.15341990551268578</v>
      </c>
      <c r="AE104" s="84" t="s">
        <v>7</v>
      </c>
      <c r="AF104" s="188">
        <f>+N11</f>
        <v>8936.6428330000017</v>
      </c>
      <c r="AG104" s="188">
        <f>+P11</f>
        <v>119.364694</v>
      </c>
      <c r="AH104" s="188">
        <f>+Q11</f>
        <v>0</v>
      </c>
      <c r="AI104" s="188">
        <f>+T11</f>
        <v>0</v>
      </c>
      <c r="AJ104" s="99">
        <f>AF104/AF107</f>
        <v>0.31784026000277121</v>
      </c>
      <c r="AK104" s="99">
        <f>AG104/AG107</f>
        <v>4.3247554458627638E-3</v>
      </c>
      <c r="AL104" s="99">
        <f>AH104/AH107</f>
        <v>0</v>
      </c>
      <c r="AM104" s="99">
        <f>AI104/AI107</f>
        <v>0</v>
      </c>
      <c r="AN104" s="84"/>
      <c r="AO104" s="148"/>
      <c r="AV104" s="3"/>
      <c r="AW104" s="3"/>
      <c r="AX104" s="3"/>
      <c r="AY104" s="3"/>
      <c r="AZ104" s="3"/>
      <c r="BA104" s="3"/>
      <c r="BB104" s="3"/>
      <c r="BC104" s="3"/>
    </row>
    <row r="105" spans="1:55" ht="19.5" customHeight="1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AA105" s="84"/>
      <c r="AB105" s="84" t="s">
        <v>9</v>
      </c>
      <c r="AC105" s="188">
        <f>+AF105+AG105+AH105+AI105</f>
        <v>49971.584080082503</v>
      </c>
      <c r="AD105" s="99">
        <f>AC105/AC107</f>
        <v>0.84658009448731419</v>
      </c>
      <c r="AE105" s="84" t="s">
        <v>9</v>
      </c>
      <c r="AF105" s="188">
        <f>+N83</f>
        <v>19180.131401082501</v>
      </c>
      <c r="AG105" s="188">
        <f>+P83</f>
        <v>27480.969127000004</v>
      </c>
      <c r="AH105" s="188">
        <f>+R83</f>
        <v>956.39319499999999</v>
      </c>
      <c r="AI105" s="188">
        <f>+T83</f>
        <v>2354.090357</v>
      </c>
      <c r="AJ105" s="99">
        <f>AF105/AF107</f>
        <v>0.68215973999722879</v>
      </c>
      <c r="AK105" s="99">
        <f>AG105/AG107</f>
        <v>0.99567524455413725</v>
      </c>
      <c r="AL105" s="99">
        <f>AH105/AH107</f>
        <v>1</v>
      </c>
      <c r="AM105" s="99">
        <f>AI105/AI107</f>
        <v>1</v>
      </c>
      <c r="AN105" s="84"/>
      <c r="AO105" s="148"/>
      <c r="AP105" s="73"/>
      <c r="AQ105" s="73"/>
      <c r="AR105" s="73"/>
      <c r="AS105" s="73"/>
      <c r="AT105" s="73"/>
      <c r="AU105" s="73"/>
    </row>
    <row r="106" spans="1:55" ht="19.5" customHeight="1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AA106" s="84"/>
      <c r="AB106" s="84"/>
      <c r="AC106" s="188"/>
      <c r="AD106" s="99"/>
      <c r="AE106" s="84"/>
      <c r="AF106" s="100"/>
      <c r="AG106" s="100"/>
      <c r="AH106" s="100"/>
      <c r="AI106" s="100"/>
      <c r="AJ106" s="99"/>
      <c r="AK106" s="84"/>
      <c r="AL106" s="84"/>
      <c r="AM106" s="84"/>
      <c r="AN106" s="84"/>
      <c r="AO106" s="148"/>
      <c r="AP106" s="73"/>
      <c r="AQ106" s="73"/>
      <c r="AR106" s="73"/>
      <c r="AS106" s="73"/>
      <c r="AT106" s="73"/>
      <c r="AU106" s="73"/>
    </row>
    <row r="107" spans="1:55" ht="19.5" customHeight="1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AA107" s="84"/>
      <c r="AB107" s="84"/>
      <c r="AC107" s="188">
        <f>SUM(AC104:AC105)</f>
        <v>59027.591607082504</v>
      </c>
      <c r="AD107" s="188"/>
      <c r="AE107" s="188"/>
      <c r="AF107" s="188">
        <f>SUM(AF104:AF105)</f>
        <v>28116.774234082503</v>
      </c>
      <c r="AG107" s="188">
        <f>SUM(AG104:AG105)</f>
        <v>27600.333821000004</v>
      </c>
      <c r="AH107" s="188">
        <f>SUM(AH104:AH105)</f>
        <v>956.39319499999999</v>
      </c>
      <c r="AI107" s="188">
        <f>SUM(AI104:AI105)</f>
        <v>2354.090357</v>
      </c>
      <c r="AJ107" s="188">
        <f>+AG107+AF107+AH107+AI107</f>
        <v>59027.591607082504</v>
      </c>
      <c r="AK107" s="84"/>
      <c r="AL107" s="84"/>
      <c r="AM107" s="84"/>
      <c r="AN107" s="84"/>
      <c r="AO107" s="148"/>
      <c r="AP107" s="73"/>
      <c r="AQ107" s="73"/>
      <c r="AR107" s="73"/>
      <c r="AS107" s="73"/>
      <c r="AT107" s="73"/>
      <c r="AU107" s="73"/>
    </row>
    <row r="108" spans="1:55" ht="19.5" customHeight="1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148"/>
      <c r="AP108" s="73"/>
      <c r="AQ108" s="73"/>
      <c r="AR108" s="73"/>
      <c r="AS108" s="73"/>
      <c r="AT108" s="73"/>
      <c r="AU108" s="73"/>
    </row>
    <row r="109" spans="1:55" ht="19.5" customHeight="1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148"/>
      <c r="AP109" s="73"/>
      <c r="AQ109" s="73"/>
      <c r="AR109" s="73"/>
      <c r="AS109" s="73"/>
      <c r="AT109" s="73"/>
      <c r="AU109" s="73"/>
    </row>
    <row r="110" spans="1:55" ht="19.5" customHeight="1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148"/>
      <c r="AP110" s="73"/>
      <c r="AQ110" s="73"/>
      <c r="AR110" s="73"/>
      <c r="AS110" s="73"/>
      <c r="AT110" s="73"/>
      <c r="AU110" s="73"/>
    </row>
    <row r="111" spans="1:55" ht="19.5" customHeight="1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148"/>
      <c r="AP111" s="73"/>
      <c r="AQ111" s="73"/>
      <c r="AR111" s="73"/>
      <c r="AS111" s="73"/>
      <c r="AT111" s="73"/>
      <c r="AU111" s="73"/>
    </row>
    <row r="112" spans="1:55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AA112" s="84"/>
      <c r="AB112" s="84"/>
      <c r="AC112" s="84"/>
      <c r="AD112" s="84"/>
      <c r="AE112" s="84"/>
      <c r="AF112" s="99"/>
      <c r="AG112" s="84"/>
      <c r="AH112" s="84"/>
      <c r="AI112" s="84"/>
      <c r="AJ112" s="84"/>
      <c r="AK112" s="84"/>
      <c r="AL112" s="84"/>
      <c r="AM112" s="84"/>
      <c r="AN112" s="84"/>
      <c r="AO112" s="148"/>
      <c r="AP112" s="73"/>
      <c r="AQ112" s="73"/>
      <c r="AR112" s="73"/>
      <c r="AS112" s="73"/>
      <c r="AT112" s="73"/>
      <c r="AU112" s="73"/>
    </row>
    <row r="113" spans="2:47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AA113" s="84"/>
      <c r="AB113" s="100"/>
      <c r="AC113" s="84"/>
      <c r="AD113" s="84"/>
      <c r="AE113" s="84"/>
      <c r="AF113" s="99"/>
      <c r="AG113" s="84"/>
      <c r="AH113" s="84"/>
      <c r="AI113" s="84"/>
      <c r="AJ113" s="84"/>
      <c r="AK113" s="84"/>
      <c r="AL113" s="84"/>
      <c r="AM113" s="84"/>
      <c r="AN113" s="84"/>
      <c r="AO113" s="148"/>
      <c r="AP113" s="73"/>
      <c r="AQ113" s="73"/>
      <c r="AR113" s="73"/>
      <c r="AS113" s="73"/>
      <c r="AT113" s="73"/>
      <c r="AU113" s="73"/>
    </row>
    <row r="114" spans="2:47" x14ac:dyDescent="0.25"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148"/>
      <c r="AP114" s="73"/>
      <c r="AQ114" s="73"/>
      <c r="AR114" s="73"/>
      <c r="AS114" s="73"/>
      <c r="AT114" s="73"/>
      <c r="AU114" s="73"/>
    </row>
    <row r="115" spans="2:47" x14ac:dyDescent="0.25"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148"/>
      <c r="AP115" s="73"/>
      <c r="AQ115" s="73"/>
      <c r="AR115" s="73"/>
      <c r="AS115" s="73"/>
      <c r="AT115" s="73"/>
      <c r="AU115" s="73"/>
    </row>
    <row r="117" spans="2:47" x14ac:dyDescent="0.25">
      <c r="AB117" s="189"/>
      <c r="AN117" s="189"/>
      <c r="AO117" s="190"/>
      <c r="AP117" s="190"/>
      <c r="AQ117" s="190"/>
    </row>
    <row r="118" spans="2:47" x14ac:dyDescent="0.25">
      <c r="C118" s="191"/>
      <c r="D118" s="192"/>
      <c r="Q118" s="193"/>
      <c r="R118" s="193"/>
      <c r="S118" s="193"/>
      <c r="T118" s="193"/>
      <c r="U118" s="193"/>
      <c r="AB118" s="189"/>
      <c r="AN118" s="189"/>
      <c r="AO118" s="190"/>
      <c r="AP118" s="190"/>
      <c r="AQ118" s="190"/>
    </row>
    <row r="119" spans="2:47" x14ac:dyDescent="0.25">
      <c r="D119" s="192"/>
      <c r="AB119" s="194"/>
      <c r="AN119" s="195"/>
      <c r="AO119" s="196"/>
      <c r="AP119" s="196"/>
      <c r="AQ119" s="196"/>
      <c r="AR119" s="197"/>
      <c r="AS119" s="197"/>
    </row>
    <row r="120" spans="2:47" x14ac:dyDescent="0.25">
      <c r="C120" s="191"/>
      <c r="D120" s="192"/>
      <c r="AB120" s="121"/>
      <c r="AN120" s="198"/>
      <c r="AO120" s="199"/>
      <c r="AP120" s="199"/>
      <c r="AQ120" s="199"/>
      <c r="AR120" s="199"/>
      <c r="AS120" s="199"/>
    </row>
    <row r="121" spans="2:47" ht="15" x14ac:dyDescent="0.25">
      <c r="AB121" s="200"/>
      <c r="AN121" s="201"/>
      <c r="AO121" s="202"/>
      <c r="AP121" s="203"/>
      <c r="AQ121" s="202"/>
      <c r="AR121" s="203"/>
      <c r="AS121" s="202"/>
    </row>
    <row r="122" spans="2:47" ht="15" x14ac:dyDescent="0.25">
      <c r="AB122" s="200"/>
      <c r="AN122" s="201"/>
      <c r="AO122" s="202"/>
      <c r="AP122" s="203"/>
      <c r="AQ122" s="202"/>
    </row>
    <row r="126" spans="2:47" x14ac:dyDescent="0.25">
      <c r="AG126" s="204"/>
      <c r="AH126" s="204"/>
      <c r="AI126" s="204"/>
      <c r="AJ126" s="204"/>
    </row>
    <row r="127" spans="2:47" x14ac:dyDescent="0.25">
      <c r="AD127" s="205"/>
      <c r="AE127" s="206"/>
      <c r="AG127" s="205"/>
      <c r="AH127" s="205"/>
      <c r="AI127" s="205"/>
      <c r="AJ127" s="205"/>
      <c r="AK127" s="206"/>
      <c r="AL127" s="206"/>
    </row>
    <row r="128" spans="2:47" x14ac:dyDescent="0.25">
      <c r="AD128" s="205"/>
      <c r="AE128" s="206"/>
      <c r="AG128" s="205"/>
      <c r="AH128" s="205"/>
      <c r="AI128" s="205"/>
      <c r="AJ128" s="205"/>
      <c r="AK128" s="206"/>
      <c r="AL128" s="206"/>
    </row>
    <row r="129" spans="30:37" x14ac:dyDescent="0.25">
      <c r="AD129" s="205"/>
      <c r="AE129" s="206"/>
      <c r="AG129" s="205"/>
      <c r="AH129" s="205"/>
      <c r="AI129" s="205"/>
      <c r="AJ129" s="205"/>
      <c r="AK129" s="206"/>
    </row>
  </sheetData>
  <mergeCells count="18">
    <mergeCell ref="B14:B15"/>
    <mergeCell ref="C14:C15"/>
    <mergeCell ref="AR119:AS119"/>
    <mergeCell ref="C4:C5"/>
    <mergeCell ref="B91:C91"/>
    <mergeCell ref="D88:M88"/>
    <mergeCell ref="X4:Y4"/>
    <mergeCell ref="N4:W4"/>
    <mergeCell ref="D4:M4"/>
    <mergeCell ref="B90:C90"/>
    <mergeCell ref="D14:M14"/>
    <mergeCell ref="N88:W88"/>
    <mergeCell ref="X88:Y88"/>
    <mergeCell ref="B4:B5"/>
    <mergeCell ref="X14:Y14"/>
    <mergeCell ref="N14:W14"/>
    <mergeCell ref="B88:B89"/>
    <mergeCell ref="C88:C89"/>
  </mergeCells>
  <phoneticPr fontId="0" type="noConversion"/>
  <printOptions horizontalCentered="1"/>
  <pageMargins left="0.78740157480314965" right="0.59055118110236227" top="0.59055118110236227" bottom="0.59055118110236227" header="0.31496062992125984" footer="0.31496062992125984"/>
  <pageSetup paperSize="9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AD99"/>
  <sheetViews>
    <sheetView view="pageBreakPreview" zoomScale="90" zoomScaleNormal="90" zoomScaleSheetLayoutView="90" zoomScalePageLayoutView="70" workbookViewId="0">
      <selection activeCell="P23" sqref="P23"/>
    </sheetView>
  </sheetViews>
  <sheetFormatPr baseColWidth="10" defaultRowHeight="13.5" x14ac:dyDescent="0.25"/>
  <cols>
    <col min="1" max="1" width="2.5703125" style="3" customWidth="1"/>
    <col min="2" max="2" width="8.42578125" style="3" customWidth="1"/>
    <col min="3" max="3" width="47.5703125" style="3" customWidth="1"/>
    <col min="4" max="7" width="10.7109375" style="3" customWidth="1"/>
    <col min="8" max="8" width="13.42578125" style="3" customWidth="1"/>
    <col min="9" max="9" width="11.42578125" style="3" customWidth="1"/>
    <col min="10" max="10" width="16.28515625" style="3" customWidth="1"/>
    <col min="11" max="11" width="13.42578125" style="3" customWidth="1"/>
    <col min="12" max="12" width="15.140625" style="3" customWidth="1"/>
    <col min="13" max="13" width="11.42578125" style="3" customWidth="1"/>
    <col min="14" max="14" width="5" style="3" customWidth="1"/>
    <col min="15" max="15" width="25.140625" style="207" customWidth="1"/>
    <col min="16" max="16" width="49" style="207" bestFit="1" customWidth="1"/>
    <col min="17" max="17" width="48.5703125" style="207" bestFit="1" customWidth="1"/>
    <col min="18" max="18" width="11.140625" style="207" bestFit="1" customWidth="1"/>
    <col min="19" max="19" width="6.140625" style="207" bestFit="1" customWidth="1"/>
    <col min="20" max="20" width="47.28515625" style="207" bestFit="1" customWidth="1"/>
    <col min="21" max="21" width="8.7109375" style="207" bestFit="1" customWidth="1"/>
    <col min="22" max="22" width="10" style="207" bestFit="1" customWidth="1"/>
    <col min="23" max="23" width="8.7109375" style="207" bestFit="1" customWidth="1"/>
    <col min="24" max="24" width="23.7109375" style="207" bestFit="1" customWidth="1"/>
    <col min="25" max="29" width="17.85546875" style="207" customWidth="1"/>
    <col min="30" max="30" width="13.5703125" style="3" bestFit="1" customWidth="1"/>
    <col min="31" max="35" width="11.42578125" style="3"/>
    <col min="36" max="36" width="52.5703125" style="3" customWidth="1"/>
    <col min="37" max="37" width="11.42578125" style="3"/>
    <col min="38" max="38" width="2.5703125" style="3" customWidth="1"/>
    <col min="39" max="39" width="11.42578125" style="3"/>
    <col min="40" max="40" width="2.5703125" style="3" customWidth="1"/>
    <col min="41" max="41" width="11.42578125" style="3"/>
    <col min="42" max="42" width="2.28515625" style="3" customWidth="1"/>
    <col min="43" max="43" width="11.42578125" style="3"/>
    <col min="44" max="44" width="2.5703125" style="3" customWidth="1"/>
    <col min="45" max="45" width="11.42578125" style="3"/>
    <col min="46" max="46" width="2.5703125" style="3" customWidth="1"/>
    <col min="47" max="47" width="17.7109375" style="3" customWidth="1"/>
    <col min="48" max="16384" width="11.42578125" style="3"/>
  </cols>
  <sheetData>
    <row r="1" spans="1:30" x14ac:dyDescent="0.25">
      <c r="A1" s="5"/>
      <c r="B1" s="5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V1" s="208"/>
      <c r="W1" s="208"/>
      <c r="X1" s="208"/>
      <c r="Y1" s="208"/>
      <c r="Z1" s="208"/>
      <c r="AA1" s="208"/>
      <c r="AB1" s="208"/>
      <c r="AC1" s="208"/>
      <c r="AD1" s="209"/>
    </row>
    <row r="2" spans="1:30" ht="15.75" x14ac:dyDescent="0.25">
      <c r="A2" s="5"/>
      <c r="B2" s="210" t="s">
        <v>85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V2" s="208"/>
      <c r="W2" s="208"/>
      <c r="X2" s="208"/>
      <c r="Y2" s="208"/>
      <c r="Z2" s="208"/>
      <c r="AA2" s="208"/>
      <c r="AB2" s="208"/>
      <c r="AC2" s="208"/>
      <c r="AD2" s="209"/>
    </row>
    <row r="3" spans="1:30" ht="15.75" x14ac:dyDescent="0.25">
      <c r="A3" s="5"/>
      <c r="B3" s="212" t="s">
        <v>61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61"/>
      <c r="V3" s="208"/>
      <c r="W3" s="208"/>
      <c r="X3" s="208"/>
      <c r="Y3" s="208"/>
      <c r="Z3" s="208"/>
      <c r="AA3" s="208"/>
      <c r="AB3" s="208"/>
      <c r="AC3" s="208"/>
      <c r="AD3" s="209"/>
    </row>
    <row r="4" spans="1:30" ht="15.75" x14ac:dyDescent="0.25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V4" s="208"/>
      <c r="W4" s="208"/>
      <c r="X4" s="208"/>
      <c r="Y4" s="208"/>
      <c r="Z4" s="208"/>
      <c r="AA4" s="208"/>
      <c r="AB4" s="208"/>
      <c r="AC4" s="208"/>
      <c r="AD4" s="209"/>
    </row>
    <row r="5" spans="1:30" s="73" customFormat="1" ht="18.75" customHeight="1" thickBot="1" x14ac:dyDescent="0.3">
      <c r="A5" s="67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4"/>
      <c r="P5" s="207"/>
      <c r="Q5" s="207"/>
      <c r="R5" s="207"/>
      <c r="S5" s="207"/>
      <c r="T5" s="207"/>
      <c r="U5" s="207"/>
      <c r="V5" s="215"/>
      <c r="W5" s="215"/>
      <c r="X5" s="215"/>
      <c r="Y5" s="215"/>
      <c r="Z5" s="215"/>
      <c r="AA5" s="215"/>
      <c r="AB5" s="215"/>
      <c r="AC5" s="215"/>
      <c r="AD5" s="216"/>
    </row>
    <row r="6" spans="1:30" s="73" customFormat="1" ht="18.75" customHeight="1" x14ac:dyDescent="0.25">
      <c r="A6" s="67"/>
      <c r="B6" s="68" t="s">
        <v>5</v>
      </c>
      <c r="C6" s="117" t="s">
        <v>8</v>
      </c>
      <c r="D6" s="217" t="s">
        <v>31</v>
      </c>
      <c r="E6" s="218"/>
      <c r="F6" s="218"/>
      <c r="G6" s="218"/>
      <c r="H6" s="218"/>
      <c r="I6" s="218"/>
      <c r="J6" s="218"/>
      <c r="K6" s="219"/>
      <c r="L6" s="72" t="s">
        <v>200</v>
      </c>
      <c r="M6" s="71"/>
      <c r="N6" s="220"/>
      <c r="O6" s="214"/>
      <c r="P6" s="207"/>
      <c r="Q6" s="357" t="s">
        <v>218</v>
      </c>
      <c r="R6" s="357"/>
      <c r="S6" s="357"/>
      <c r="T6" s="357" t="s">
        <v>219</v>
      </c>
      <c r="U6" s="357"/>
      <c r="V6" s="357"/>
      <c r="W6" s="357"/>
      <c r="X6" s="357"/>
      <c r="Y6" s="357" t="s">
        <v>2</v>
      </c>
      <c r="Z6" s="357" t="s">
        <v>220</v>
      </c>
      <c r="AA6" s="215"/>
      <c r="AB6" s="215"/>
      <c r="AC6" s="215"/>
      <c r="AD6" s="216"/>
    </row>
    <row r="7" spans="1:30" s="73" customFormat="1" ht="18.75" customHeight="1" x14ac:dyDescent="0.25">
      <c r="A7" s="67"/>
      <c r="B7" s="118"/>
      <c r="C7" s="119"/>
      <c r="D7" s="221" t="s">
        <v>59</v>
      </c>
      <c r="E7" s="77" t="s">
        <v>6</v>
      </c>
      <c r="F7" s="81" t="s">
        <v>32</v>
      </c>
      <c r="G7" s="77" t="s">
        <v>6</v>
      </c>
      <c r="H7" s="81" t="s">
        <v>33</v>
      </c>
      <c r="I7" s="77" t="s">
        <v>6</v>
      </c>
      <c r="J7" s="78" t="s">
        <v>2</v>
      </c>
      <c r="K7" s="79" t="s">
        <v>6</v>
      </c>
      <c r="L7" s="120" t="s">
        <v>34</v>
      </c>
      <c r="M7" s="163" t="s">
        <v>6</v>
      </c>
      <c r="N7" s="220"/>
      <c r="O7" s="214"/>
      <c r="P7" s="222"/>
      <c r="Q7" s="357"/>
      <c r="R7" s="357"/>
      <c r="S7" s="357"/>
      <c r="T7" s="357">
        <v>500</v>
      </c>
      <c r="U7" s="357">
        <v>220</v>
      </c>
      <c r="V7" s="357">
        <v>138</v>
      </c>
      <c r="W7" s="357" t="s">
        <v>221</v>
      </c>
      <c r="X7" s="357" t="s">
        <v>222</v>
      </c>
      <c r="Y7" s="357" t="s">
        <v>223</v>
      </c>
      <c r="Z7" s="357" t="s">
        <v>224</v>
      </c>
      <c r="AA7" s="215"/>
      <c r="AB7" s="215"/>
      <c r="AC7" s="215"/>
      <c r="AD7" s="216"/>
    </row>
    <row r="8" spans="1:30" s="73" customFormat="1" ht="18.75" customHeight="1" x14ac:dyDescent="0.25">
      <c r="A8" s="67"/>
      <c r="B8" s="223">
        <v>1</v>
      </c>
      <c r="C8" s="224" t="s">
        <v>175</v>
      </c>
      <c r="D8" s="225">
        <v>888.34</v>
      </c>
      <c r="E8" s="226">
        <f>+D8/D$32</f>
        <v>0.28046170069015158</v>
      </c>
      <c r="F8" s="227">
        <v>59.580000000000005</v>
      </c>
      <c r="G8" s="228">
        <f>+F8/F$32</f>
        <v>5.7951696414815105E-3</v>
      </c>
      <c r="H8" s="227"/>
      <c r="I8" s="228"/>
      <c r="J8" s="229">
        <f>+F8+H8+D8</f>
        <v>947.92000000000007</v>
      </c>
      <c r="K8" s="230">
        <f>+J8/J$32</f>
        <v>6.0381782688764325E-2</v>
      </c>
      <c r="L8" s="225">
        <v>58819.27630868258</v>
      </c>
      <c r="M8" s="230">
        <f>+L8/L$32</f>
        <v>8.6912316655298735E-2</v>
      </c>
      <c r="N8" s="231"/>
      <c r="O8" s="214"/>
      <c r="P8" s="222" t="b">
        <f>+EXACT(Q8,C8)</f>
        <v>0</v>
      </c>
      <c r="Q8" s="260" t="s">
        <v>226</v>
      </c>
      <c r="R8" s="260">
        <v>58819.27630868258</v>
      </c>
      <c r="S8" s="260"/>
      <c r="T8" s="356">
        <v>888.34</v>
      </c>
      <c r="U8" s="356">
        <v>59.580000000000005</v>
      </c>
      <c r="V8" s="356"/>
      <c r="W8" s="356"/>
      <c r="X8" s="358"/>
      <c r="Y8" s="356">
        <f>+SUM(T8:X8)</f>
        <v>947.92000000000007</v>
      </c>
      <c r="Z8" s="359" t="e">
        <f>+Y8/$I$73*100</f>
        <v>#DIV/0!</v>
      </c>
      <c r="AA8" s="215"/>
      <c r="AB8" s="215"/>
      <c r="AC8" s="215"/>
      <c r="AD8" s="216"/>
    </row>
    <row r="9" spans="1:30" s="73" customFormat="1" ht="18.75" customHeight="1" x14ac:dyDescent="0.25">
      <c r="A9" s="67"/>
      <c r="B9" s="232">
        <f>+B8+1</f>
        <v>2</v>
      </c>
      <c r="C9" s="233" t="s">
        <v>62</v>
      </c>
      <c r="D9" s="234"/>
      <c r="E9" s="226"/>
      <c r="F9" s="115">
        <v>113.48</v>
      </c>
      <c r="G9" s="226">
        <f>+F9/F$32</f>
        <v>1.1037862553127253E-2</v>
      </c>
      <c r="H9" s="115"/>
      <c r="I9" s="226"/>
      <c r="J9" s="235">
        <f t="shared" ref="J9:J29" si="0">+F9+H9+D9</f>
        <v>113.48</v>
      </c>
      <c r="K9" s="236">
        <f>+J9/J$32</f>
        <v>7.2285896484101768E-3</v>
      </c>
      <c r="L9" s="234">
        <v>2029.4865088186366</v>
      </c>
      <c r="M9" s="236">
        <f>+L9/L$32</f>
        <v>2.9988021813873414E-3</v>
      </c>
      <c r="N9" s="231"/>
      <c r="O9" s="214"/>
      <c r="P9" s="222" t="b">
        <f t="shared" ref="P9:P28" si="1">+EXACT(Q9,C9)</f>
        <v>1</v>
      </c>
      <c r="Q9" s="260" t="s">
        <v>62</v>
      </c>
      <c r="R9" s="260">
        <v>2029.4865088186366</v>
      </c>
      <c r="S9" s="260"/>
      <c r="T9" s="356"/>
      <c r="U9" s="356">
        <v>113.48</v>
      </c>
      <c r="V9" s="356"/>
      <c r="W9" s="356"/>
      <c r="X9" s="358"/>
      <c r="Y9" s="356">
        <f>+SUM(T9:X9)</f>
        <v>113.48</v>
      </c>
      <c r="Z9" s="359" t="e">
        <f>+Y9/$I$73*100</f>
        <v>#DIV/0!</v>
      </c>
      <c r="AA9" s="215"/>
      <c r="AB9" s="215"/>
      <c r="AC9" s="215"/>
      <c r="AD9" s="216"/>
    </row>
    <row r="10" spans="1:30" s="73" customFormat="1" ht="18.75" customHeight="1" x14ac:dyDescent="0.25">
      <c r="A10" s="67"/>
      <c r="B10" s="232">
        <f t="shared" ref="B10:B30" si="2">+B9+1</f>
        <v>3</v>
      </c>
      <c r="C10" s="233" t="s">
        <v>68</v>
      </c>
      <c r="D10" s="234"/>
      <c r="E10" s="226"/>
      <c r="F10" s="115">
        <v>263.94</v>
      </c>
      <c r="G10" s="226">
        <f>+F10/F$32</f>
        <v>2.567265987198103E-2</v>
      </c>
      <c r="H10" s="115"/>
      <c r="I10" s="226"/>
      <c r="J10" s="235">
        <f t="shared" si="0"/>
        <v>263.94</v>
      </c>
      <c r="K10" s="236">
        <f>+J10/J$32</f>
        <v>1.6812777157220498E-2</v>
      </c>
      <c r="L10" s="234">
        <v>17925.000604134151</v>
      </c>
      <c r="M10" s="236">
        <f>+L10/L$32</f>
        <v>2.6486271615738313E-2</v>
      </c>
      <c r="N10" s="231"/>
      <c r="O10" s="214"/>
      <c r="P10" s="222" t="b">
        <f t="shared" si="1"/>
        <v>1</v>
      </c>
      <c r="Q10" s="260" t="s">
        <v>68</v>
      </c>
      <c r="R10" s="260">
        <v>17925.000604134151</v>
      </c>
      <c r="S10" s="260"/>
      <c r="T10" s="356"/>
      <c r="U10" s="356">
        <v>263.94</v>
      </c>
      <c r="V10" s="356"/>
      <c r="W10" s="356"/>
      <c r="X10" s="358"/>
      <c r="Y10" s="356">
        <f>+SUM(T10:X10)</f>
        <v>263.94</v>
      </c>
      <c r="Z10" s="359" t="e">
        <f>+Y10/$I$73*100</f>
        <v>#DIV/0!</v>
      </c>
      <c r="AA10" s="215"/>
      <c r="AB10" s="215"/>
      <c r="AC10" s="215"/>
      <c r="AD10" s="216"/>
    </row>
    <row r="11" spans="1:30" s="73" customFormat="1" ht="18.75" customHeight="1" x14ac:dyDescent="0.25">
      <c r="A11" s="67"/>
      <c r="B11" s="232">
        <f t="shared" si="2"/>
        <v>4</v>
      </c>
      <c r="C11" s="233" t="s">
        <v>141</v>
      </c>
      <c r="D11" s="234"/>
      <c r="E11" s="226"/>
      <c r="F11" s="115">
        <v>1038.33</v>
      </c>
      <c r="G11" s="226">
        <f>+F11/F$32</f>
        <v>0.10099527515675555</v>
      </c>
      <c r="H11" s="115">
        <v>3.16</v>
      </c>
      <c r="I11" s="226">
        <f>+H11/$H$32</f>
        <v>1.4042081255782976E-3</v>
      </c>
      <c r="J11" s="235">
        <f t="shared" si="0"/>
        <v>1041.49</v>
      </c>
      <c r="K11" s="236">
        <f>+J11/J$32</f>
        <v>6.6342120487510703E-2</v>
      </c>
      <c r="L11" s="234">
        <v>28365.316523569814</v>
      </c>
      <c r="M11" s="236">
        <f>+L11/L$32</f>
        <v>4.1913051748315437E-2</v>
      </c>
      <c r="N11" s="231"/>
      <c r="O11" s="214"/>
      <c r="P11" s="222" t="b">
        <f t="shared" si="1"/>
        <v>1</v>
      </c>
      <c r="Q11" s="260" t="s">
        <v>141</v>
      </c>
      <c r="R11" s="260">
        <v>28365.316523569814</v>
      </c>
      <c r="S11" s="260"/>
      <c r="T11" s="356"/>
      <c r="U11" s="356">
        <v>1038.33</v>
      </c>
      <c r="V11" s="356">
        <v>3.16</v>
      </c>
      <c r="W11" s="356"/>
      <c r="X11" s="358"/>
      <c r="Y11" s="356">
        <f>+SUM(T11:X11)</f>
        <v>1041.49</v>
      </c>
      <c r="Z11" s="359" t="e">
        <f>+Y11/$I$73*100</f>
        <v>#DIV/0!</v>
      </c>
      <c r="AA11" s="215"/>
      <c r="AB11" s="215"/>
      <c r="AC11" s="215"/>
      <c r="AD11" s="216"/>
    </row>
    <row r="12" spans="1:30" s="73" customFormat="1" ht="18.75" customHeight="1" x14ac:dyDescent="0.25">
      <c r="A12" s="67"/>
      <c r="B12" s="232">
        <f t="shared" si="2"/>
        <v>5</v>
      </c>
      <c r="C12" s="233" t="s">
        <v>63</v>
      </c>
      <c r="D12" s="234"/>
      <c r="E12" s="226"/>
      <c r="F12" s="115"/>
      <c r="G12" s="226"/>
      <c r="H12" s="115">
        <v>181.31</v>
      </c>
      <c r="I12" s="226">
        <f>+H12/$H$32</f>
        <v>8.0568663053354792E-2</v>
      </c>
      <c r="J12" s="235">
        <f t="shared" si="0"/>
        <v>181.31</v>
      </c>
      <c r="K12" s="236">
        <f>+J12/J$32</f>
        <v>1.1549309033779072E-2</v>
      </c>
      <c r="L12" s="234">
        <v>963.78229803352315</v>
      </c>
      <c r="M12" s="236">
        <f>+L12/L$32</f>
        <v>1.4241003550241947E-3</v>
      </c>
      <c r="N12" s="231"/>
      <c r="O12" s="214"/>
      <c r="P12" s="222" t="b">
        <f t="shared" si="1"/>
        <v>1</v>
      </c>
      <c r="Q12" s="260" t="s">
        <v>63</v>
      </c>
      <c r="R12" s="260">
        <v>963.78229803352315</v>
      </c>
      <c r="S12" s="260"/>
      <c r="T12" s="356"/>
      <c r="U12" s="356"/>
      <c r="V12" s="356">
        <v>181.31</v>
      </c>
      <c r="W12" s="356"/>
      <c r="X12" s="358"/>
      <c r="Y12" s="356">
        <f>+SUM(T12:X12)</f>
        <v>181.31</v>
      </c>
      <c r="Z12" s="359" t="e">
        <f>+Y12/$I$73*100</f>
        <v>#DIV/0!</v>
      </c>
      <c r="AA12" s="215"/>
      <c r="AB12" s="215"/>
      <c r="AC12" s="215"/>
      <c r="AD12" s="216"/>
    </row>
    <row r="13" spans="1:30" s="73" customFormat="1" ht="18.75" customHeight="1" x14ac:dyDescent="0.25">
      <c r="A13" s="67"/>
      <c r="B13" s="232">
        <f t="shared" si="2"/>
        <v>6</v>
      </c>
      <c r="C13" s="233" t="s">
        <v>228</v>
      </c>
      <c r="D13" s="234"/>
      <c r="E13" s="226"/>
      <c r="F13" s="115">
        <v>33.9</v>
      </c>
      <c r="G13" s="226">
        <f>+F13/F$32</f>
        <v>3.2973523136324802E-3</v>
      </c>
      <c r="H13" s="115"/>
      <c r="I13" s="226"/>
      <c r="J13" s="235">
        <f t="shared" si="0"/>
        <v>33.9</v>
      </c>
      <c r="K13" s="236">
        <f>+J13/J$32</f>
        <v>2.1594042040985633E-3</v>
      </c>
      <c r="L13" s="234">
        <v>1668.7733361005457</v>
      </c>
      <c r="M13" s="236">
        <f>+L13/L$32</f>
        <v>2.4658065470227544E-3</v>
      </c>
      <c r="N13" s="231"/>
      <c r="O13" s="214"/>
      <c r="P13" s="222" t="b">
        <f t="shared" si="1"/>
        <v>1</v>
      </c>
      <c r="Q13" s="260" t="s">
        <v>228</v>
      </c>
      <c r="R13" s="260">
        <v>1668.7733361005457</v>
      </c>
      <c r="S13" s="260"/>
      <c r="T13" s="356"/>
      <c r="U13" s="356">
        <v>33.9</v>
      </c>
      <c r="V13" s="356"/>
      <c r="W13" s="356"/>
      <c r="X13" s="358"/>
      <c r="Y13" s="356">
        <f>+SUM(T13:X13)</f>
        <v>33.9</v>
      </c>
      <c r="Z13" s="359" t="e">
        <f>+Y13/$I$73*100</f>
        <v>#DIV/0!</v>
      </c>
      <c r="AA13" s="215"/>
      <c r="AB13" s="215"/>
      <c r="AC13" s="215"/>
      <c r="AD13" s="216"/>
    </row>
    <row r="14" spans="1:30" s="73" customFormat="1" ht="18.75" customHeight="1" x14ac:dyDescent="0.25">
      <c r="A14" s="67"/>
      <c r="B14" s="232">
        <f t="shared" si="2"/>
        <v>7</v>
      </c>
      <c r="C14" s="233" t="s">
        <v>187</v>
      </c>
      <c r="D14" s="234"/>
      <c r="E14" s="226"/>
      <c r="F14" s="115"/>
      <c r="G14" s="226"/>
      <c r="H14" s="115"/>
      <c r="I14" s="226"/>
      <c r="J14" s="235">
        <f t="shared" si="0"/>
        <v>0</v>
      </c>
      <c r="K14" s="236">
        <f>+J14/J$32</f>
        <v>0</v>
      </c>
      <c r="L14" s="234">
        <v>757.57129918758221</v>
      </c>
      <c r="M14" s="236">
        <f>+L14/L$32</f>
        <v>1.1193996386221761E-3</v>
      </c>
      <c r="N14" s="231"/>
      <c r="O14" s="214"/>
      <c r="P14" s="222" t="b">
        <f t="shared" si="1"/>
        <v>1</v>
      </c>
      <c r="Q14" s="260" t="s">
        <v>187</v>
      </c>
      <c r="R14" s="260">
        <v>757.57129918758221</v>
      </c>
      <c r="S14" s="260"/>
      <c r="T14" s="356"/>
      <c r="U14" s="356"/>
      <c r="V14" s="356"/>
      <c r="W14" s="356">
        <v>52.4</v>
      </c>
      <c r="X14" s="358"/>
      <c r="Y14" s="356">
        <f>+SUM(T14:X14)</f>
        <v>52.4</v>
      </c>
      <c r="Z14" s="359" t="e">
        <f>+Y14/$I$73*100</f>
        <v>#DIV/0!</v>
      </c>
      <c r="AA14" s="215"/>
      <c r="AB14" s="215"/>
      <c r="AC14" s="215"/>
      <c r="AD14" s="216"/>
    </row>
    <row r="15" spans="1:30" s="73" customFormat="1" ht="18.75" customHeight="1" x14ac:dyDescent="0.25">
      <c r="A15" s="67"/>
      <c r="B15" s="232">
        <f t="shared" si="2"/>
        <v>8</v>
      </c>
      <c r="C15" s="233" t="s">
        <v>229</v>
      </c>
      <c r="D15" s="234"/>
      <c r="E15" s="226"/>
      <c r="F15" s="115">
        <v>365.24299999999994</v>
      </c>
      <c r="G15" s="226">
        <f>+F15/F$32</f>
        <v>3.5526101802007902E-2</v>
      </c>
      <c r="H15" s="115">
        <v>105.69300000000001</v>
      </c>
      <c r="I15" s="226">
        <f>+H15/$H$32</f>
        <v>4.6966762473654118E-2</v>
      </c>
      <c r="J15" s="235">
        <f t="shared" si="0"/>
        <v>470.93599999999992</v>
      </c>
      <c r="K15" s="236">
        <f>+J15/J$32</f>
        <v>2.9998264845467876E-2</v>
      </c>
      <c r="L15" s="234">
        <v>19959.818066408432</v>
      </c>
      <c r="M15" s="236">
        <f>+L15/L$32</f>
        <v>2.9492950900413702E-2</v>
      </c>
      <c r="N15" s="231"/>
      <c r="O15" s="214"/>
      <c r="P15" s="222" t="b">
        <f t="shared" si="1"/>
        <v>1</v>
      </c>
      <c r="Q15" s="260" t="s">
        <v>229</v>
      </c>
      <c r="R15" s="260">
        <v>19959.818066408432</v>
      </c>
      <c r="S15" s="260"/>
      <c r="T15" s="356"/>
      <c r="U15" s="356">
        <v>365.24299999999994</v>
      </c>
      <c r="V15" s="356">
        <v>105.69300000000001</v>
      </c>
      <c r="W15" s="356"/>
      <c r="X15" s="358"/>
      <c r="Y15" s="356">
        <f>+SUM(T15:X15)</f>
        <v>470.93599999999992</v>
      </c>
      <c r="Z15" s="359" t="e">
        <f>+Y15/$I$73*100</f>
        <v>#DIV/0!</v>
      </c>
      <c r="AA15" s="215"/>
      <c r="AB15" s="215"/>
      <c r="AC15" s="215"/>
      <c r="AD15" s="216"/>
    </row>
    <row r="16" spans="1:30" s="73" customFormat="1" ht="18.75" customHeight="1" x14ac:dyDescent="0.25">
      <c r="A16" s="67"/>
      <c r="B16" s="232">
        <f t="shared" si="2"/>
        <v>9</v>
      </c>
      <c r="C16" s="233" t="s">
        <v>178</v>
      </c>
      <c r="D16" s="234"/>
      <c r="E16" s="226"/>
      <c r="F16" s="115">
        <v>505.04000000000019</v>
      </c>
      <c r="G16" s="226">
        <f>+F16/F$32</f>
        <v>4.9123740781030933E-2</v>
      </c>
      <c r="H16" s="115">
        <v>86.45</v>
      </c>
      <c r="I16" s="226">
        <f>+H16/$H$32</f>
        <v>3.8415757106406274E-2</v>
      </c>
      <c r="J16" s="235">
        <f t="shared" si="0"/>
        <v>591.49000000000024</v>
      </c>
      <c r="K16" s="236">
        <f>+J16/J$32</f>
        <v>3.7677462910981119E-2</v>
      </c>
      <c r="L16" s="234">
        <v>14624.190926534888</v>
      </c>
      <c r="M16" s="236">
        <f>+L16/L$32</f>
        <v>2.1608941700748629E-2</v>
      </c>
      <c r="N16" s="231"/>
      <c r="O16" s="214"/>
      <c r="P16" s="222" t="b">
        <f t="shared" si="1"/>
        <v>0</v>
      </c>
      <c r="Q16" s="260" t="s">
        <v>230</v>
      </c>
      <c r="R16" s="260">
        <v>14624.190926534888</v>
      </c>
      <c r="S16" s="260"/>
      <c r="T16" s="356"/>
      <c r="U16" s="356">
        <v>505.04000000000019</v>
      </c>
      <c r="V16" s="356">
        <v>86.45</v>
      </c>
      <c r="W16" s="356">
        <v>326.68</v>
      </c>
      <c r="X16" s="358"/>
      <c r="Y16" s="356">
        <f>+SUM(T16:X16)</f>
        <v>918.1700000000003</v>
      </c>
      <c r="Z16" s="359" t="e">
        <f>+Y16/$I$73*100</f>
        <v>#DIV/0!</v>
      </c>
      <c r="AA16" s="215"/>
      <c r="AB16" s="215"/>
      <c r="AC16" s="215"/>
      <c r="AD16" s="216"/>
    </row>
    <row r="17" spans="1:30" s="73" customFormat="1" ht="18.75" customHeight="1" x14ac:dyDescent="0.25">
      <c r="A17" s="67"/>
      <c r="B17" s="232">
        <f t="shared" si="2"/>
        <v>10</v>
      </c>
      <c r="C17" s="233" t="s">
        <v>179</v>
      </c>
      <c r="D17" s="234"/>
      <c r="E17" s="226"/>
      <c r="F17" s="115">
        <v>10.89</v>
      </c>
      <c r="G17" s="226">
        <f>+F17/F$32</f>
        <v>1.0592379556182217E-3</v>
      </c>
      <c r="H17" s="115"/>
      <c r="I17" s="226"/>
      <c r="J17" s="235">
        <f t="shared" si="0"/>
        <v>10.89</v>
      </c>
      <c r="K17" s="236">
        <f>+J17/J$32</f>
        <v>6.9368471335201642E-4</v>
      </c>
      <c r="L17" s="234">
        <v>348.11841246137351</v>
      </c>
      <c r="M17" s="236">
        <f>+L17/L$32</f>
        <v>5.1438541233661181E-4</v>
      </c>
      <c r="N17" s="231"/>
      <c r="O17" s="214"/>
      <c r="P17" s="222" t="b">
        <f t="shared" si="1"/>
        <v>0</v>
      </c>
      <c r="Q17" s="260" t="s">
        <v>231</v>
      </c>
      <c r="R17" s="260">
        <v>348.11841246137351</v>
      </c>
      <c r="S17" s="260"/>
      <c r="T17" s="356"/>
      <c r="U17" s="356">
        <v>10.89</v>
      </c>
      <c r="V17" s="356"/>
      <c r="W17" s="356"/>
      <c r="X17" s="358"/>
      <c r="Y17" s="356">
        <f>+SUM(T17:X17)</f>
        <v>10.89</v>
      </c>
      <c r="Z17" s="359" t="e">
        <f>+Y17/$I$73*100</f>
        <v>#DIV/0!</v>
      </c>
      <c r="AA17" s="215"/>
      <c r="AB17" s="215"/>
      <c r="AC17" s="215"/>
      <c r="AD17" s="216"/>
    </row>
    <row r="18" spans="1:30" s="73" customFormat="1" ht="18.75" customHeight="1" x14ac:dyDescent="0.25">
      <c r="A18" s="67"/>
      <c r="B18" s="232">
        <f t="shared" si="2"/>
        <v>11</v>
      </c>
      <c r="C18" s="233" t="s">
        <v>35</v>
      </c>
      <c r="D18" s="234">
        <v>2239.61</v>
      </c>
      <c r="E18" s="226">
        <f>+D18/D$32</f>
        <v>0.7070770532483851</v>
      </c>
      <c r="F18" s="115">
        <v>1976.6499999999999</v>
      </c>
      <c r="G18" s="226">
        <f t="shared" ref="G18:G32" si="3">+F18/F$32</f>
        <v>0.19226287465314579</v>
      </c>
      <c r="H18" s="115">
        <v>59.52</v>
      </c>
      <c r="I18" s="226">
        <f>+H18/$H$32</f>
        <v>2.6448882162791225E-2</v>
      </c>
      <c r="J18" s="235">
        <f t="shared" si="0"/>
        <v>4275.78</v>
      </c>
      <c r="K18" s="236">
        <f>+J18/J$32</f>
        <v>0.27236393238349721</v>
      </c>
      <c r="L18" s="234">
        <v>259944.40446417645</v>
      </c>
      <c r="M18" s="236">
        <f>+L18/L$32</f>
        <v>0.3840980680380896</v>
      </c>
      <c r="N18" s="231"/>
      <c r="O18" s="214"/>
      <c r="P18" s="222" t="b">
        <f t="shared" si="1"/>
        <v>1</v>
      </c>
      <c r="Q18" s="260" t="s">
        <v>35</v>
      </c>
      <c r="R18" s="260">
        <v>259944.40446417645</v>
      </c>
      <c r="S18" s="260"/>
      <c r="T18" s="356">
        <v>2239.61</v>
      </c>
      <c r="U18" s="356">
        <v>1976.6499999999999</v>
      </c>
      <c r="V18" s="356">
        <v>59.52</v>
      </c>
      <c r="W18" s="356">
        <v>2.625</v>
      </c>
      <c r="X18" s="358"/>
      <c r="Y18" s="356">
        <f>+SUM(T18:X18)</f>
        <v>4278.4050000000007</v>
      </c>
      <c r="Z18" s="359" t="e">
        <f>+Y18/$I$73*100</f>
        <v>#DIV/0!</v>
      </c>
      <c r="AA18" s="215"/>
      <c r="AB18" s="215"/>
      <c r="AC18" s="215"/>
      <c r="AD18" s="216"/>
    </row>
    <row r="19" spans="1:30" s="73" customFormat="1" ht="18.75" customHeight="1" x14ac:dyDescent="0.25">
      <c r="A19" s="67"/>
      <c r="B19" s="232">
        <f t="shared" si="2"/>
        <v>12</v>
      </c>
      <c r="C19" s="233" t="s">
        <v>188</v>
      </c>
      <c r="D19" s="234"/>
      <c r="E19" s="226"/>
      <c r="F19" s="115"/>
      <c r="G19" s="226"/>
      <c r="H19" s="115"/>
      <c r="I19" s="226"/>
      <c r="J19" s="235">
        <f t="shared" si="0"/>
        <v>0</v>
      </c>
      <c r="K19" s="236">
        <f>+J19/J$32</f>
        <v>0</v>
      </c>
      <c r="L19" s="234">
        <v>10256.42475928079</v>
      </c>
      <c r="M19" s="236">
        <f>+L19/L$32</f>
        <v>1.5155059571827358E-2</v>
      </c>
      <c r="N19" s="231"/>
      <c r="O19" s="214"/>
      <c r="P19" s="222" t="b">
        <f t="shared" si="1"/>
        <v>0</v>
      </c>
      <c r="Q19" s="260" t="s">
        <v>232</v>
      </c>
      <c r="R19" s="260">
        <v>10256.42475928079</v>
      </c>
      <c r="S19" s="260"/>
      <c r="T19" s="356"/>
      <c r="U19" s="356"/>
      <c r="V19" s="356"/>
      <c r="W19" s="356">
        <v>240.93</v>
      </c>
      <c r="X19" s="358">
        <v>19.670000000000002</v>
      </c>
      <c r="Y19" s="356">
        <f>+SUM(T19:X19)</f>
        <v>260.60000000000002</v>
      </c>
      <c r="Z19" s="359" t="e">
        <f>+Y19/$I$73*100</f>
        <v>#DIV/0!</v>
      </c>
      <c r="AA19" s="215"/>
      <c r="AB19" s="215"/>
      <c r="AC19" s="215"/>
      <c r="AD19" s="216"/>
    </row>
    <row r="20" spans="1:30" s="73" customFormat="1" ht="18.75" customHeight="1" x14ac:dyDescent="0.25">
      <c r="A20" s="67"/>
      <c r="B20" s="232">
        <f t="shared" si="2"/>
        <v>13</v>
      </c>
      <c r="C20" s="233" t="s">
        <v>180</v>
      </c>
      <c r="D20" s="234"/>
      <c r="E20" s="226"/>
      <c r="F20" s="115">
        <v>2</v>
      </c>
      <c r="G20" s="226">
        <f t="shared" si="3"/>
        <v>1.9453405980132628E-4</v>
      </c>
      <c r="H20" s="115"/>
      <c r="I20" s="226"/>
      <c r="J20" s="235">
        <f t="shared" si="0"/>
        <v>2</v>
      </c>
      <c r="K20" s="236">
        <f>+J20/J$32</f>
        <v>1.2739847811790936E-4</v>
      </c>
      <c r="L20" s="234">
        <v>1253.0910350149163</v>
      </c>
      <c r="M20" s="236">
        <f>+L20/L$32</f>
        <v>1.8515876370457126E-3</v>
      </c>
      <c r="N20" s="231"/>
      <c r="O20" s="214"/>
      <c r="P20" s="222" t="b">
        <f t="shared" si="1"/>
        <v>0</v>
      </c>
      <c r="Q20" s="260" t="s">
        <v>233</v>
      </c>
      <c r="R20" s="260">
        <v>1253.0910350149163</v>
      </c>
      <c r="S20" s="260"/>
      <c r="T20" s="356"/>
      <c r="U20" s="356">
        <v>2</v>
      </c>
      <c r="V20" s="356"/>
      <c r="W20" s="356">
        <v>32.760000000000005</v>
      </c>
      <c r="X20" s="358"/>
      <c r="Y20" s="356">
        <f>+SUM(T20:X20)</f>
        <v>34.760000000000005</v>
      </c>
      <c r="Z20" s="359" t="e">
        <f>+Y20/$I$73*100</f>
        <v>#DIV/0!</v>
      </c>
      <c r="AA20" s="215"/>
      <c r="AB20" s="215"/>
      <c r="AC20" s="215"/>
      <c r="AD20" s="216"/>
    </row>
    <row r="21" spans="1:30" s="73" customFormat="1" ht="18.75" customHeight="1" x14ac:dyDescent="0.25">
      <c r="A21" s="67"/>
      <c r="B21" s="232">
        <f t="shared" si="2"/>
        <v>14</v>
      </c>
      <c r="C21" s="233" t="s">
        <v>181</v>
      </c>
      <c r="D21" s="234"/>
      <c r="E21" s="226"/>
      <c r="F21" s="115">
        <v>735.73300000000006</v>
      </c>
      <c r="G21" s="226">
        <f t="shared" si="3"/>
        <v>7.1562563709904603E-2</v>
      </c>
      <c r="H21" s="115">
        <v>390.29999999999995</v>
      </c>
      <c r="I21" s="226">
        <f>+H21/$H$32</f>
        <v>0.17343747829531944</v>
      </c>
      <c r="J21" s="235">
        <f t="shared" si="0"/>
        <v>1126.0329999999999</v>
      </c>
      <c r="K21" s="236">
        <f>+J21/J$32</f>
        <v>7.1727445255271902E-2</v>
      </c>
      <c r="L21" s="234">
        <v>32901.317397122948</v>
      </c>
      <c r="M21" s="236">
        <f>+L21/L$32</f>
        <v>4.8615520207839262E-2</v>
      </c>
      <c r="N21" s="231"/>
      <c r="O21" s="214"/>
      <c r="P21" s="222" t="b">
        <f t="shared" si="1"/>
        <v>0</v>
      </c>
      <c r="Q21" s="214" t="s">
        <v>235</v>
      </c>
      <c r="R21" s="214">
        <v>32901.317397122948</v>
      </c>
      <c r="S21" s="260"/>
      <c r="T21" s="356"/>
      <c r="U21" s="356">
        <v>735.73300000000006</v>
      </c>
      <c r="V21" s="356">
        <v>390.29999999999995</v>
      </c>
      <c r="W21" s="356"/>
      <c r="X21" s="358"/>
      <c r="Y21" s="356">
        <f>+SUM(T21:X21)</f>
        <v>1126.0329999999999</v>
      </c>
      <c r="Z21" s="359" t="e">
        <f>+Y21/$I$73*100</f>
        <v>#DIV/0!</v>
      </c>
      <c r="AA21" s="215"/>
      <c r="AB21" s="215"/>
      <c r="AC21" s="215"/>
      <c r="AD21" s="216"/>
    </row>
    <row r="22" spans="1:30" s="73" customFormat="1" ht="18.75" customHeight="1" x14ac:dyDescent="0.25">
      <c r="A22" s="67"/>
      <c r="B22" s="232">
        <f t="shared" si="2"/>
        <v>15</v>
      </c>
      <c r="C22" s="233" t="s">
        <v>135</v>
      </c>
      <c r="D22" s="234"/>
      <c r="E22" s="226"/>
      <c r="F22" s="115">
        <v>18.399999999999999</v>
      </c>
      <c r="G22" s="226">
        <f t="shared" si="3"/>
        <v>1.7897133501722016E-3</v>
      </c>
      <c r="H22" s="115"/>
      <c r="I22" s="226"/>
      <c r="J22" s="235">
        <f t="shared" si="0"/>
        <v>18.399999999999999</v>
      </c>
      <c r="K22" s="236">
        <f>+J22/J$32</f>
        <v>1.1720659986847659E-3</v>
      </c>
      <c r="L22" s="234">
        <v>2794.0772465795908</v>
      </c>
      <c r="M22" s="236">
        <f>+L22/L$32</f>
        <v>4.1285738562928213E-3</v>
      </c>
      <c r="N22" s="231"/>
      <c r="O22" s="214"/>
      <c r="P22" s="222" t="b">
        <f t="shared" si="1"/>
        <v>1</v>
      </c>
      <c r="Q22" s="260" t="s">
        <v>135</v>
      </c>
      <c r="R22" s="260">
        <v>2794.0772465795908</v>
      </c>
      <c r="S22" s="260"/>
      <c r="T22" s="356"/>
      <c r="U22" s="356">
        <v>18.399999999999999</v>
      </c>
      <c r="V22" s="356"/>
      <c r="W22" s="356"/>
      <c r="X22" s="358"/>
      <c r="Y22" s="356">
        <f>+SUM(T22:X22)</f>
        <v>18.399999999999999</v>
      </c>
      <c r="Z22" s="359" t="e">
        <f>+Y22/$I$73*100</f>
        <v>#DIV/0!</v>
      </c>
      <c r="AA22" s="215"/>
      <c r="AB22" s="215"/>
      <c r="AC22" s="215"/>
      <c r="AD22" s="216"/>
    </row>
    <row r="23" spans="1:30" s="73" customFormat="1" ht="18.75" customHeight="1" x14ac:dyDescent="0.25">
      <c r="A23" s="67"/>
      <c r="B23" s="232">
        <f t="shared" si="2"/>
        <v>16</v>
      </c>
      <c r="C23" s="233" t="s">
        <v>225</v>
      </c>
      <c r="D23" s="234"/>
      <c r="E23" s="226"/>
      <c r="F23" s="115">
        <v>0.7</v>
      </c>
      <c r="G23" s="226">
        <f t="shared" si="3"/>
        <v>6.8086920930464197E-5</v>
      </c>
      <c r="H23" s="115"/>
      <c r="I23" s="226"/>
      <c r="J23" s="235">
        <f t="shared" ref="J23" si="4">+F23+H23+D23</f>
        <v>0.7</v>
      </c>
      <c r="K23" s="236">
        <f>+J23/J$32</f>
        <v>4.4589467341268274E-5</v>
      </c>
      <c r="L23" s="234">
        <v>0</v>
      </c>
      <c r="M23" s="236">
        <f>+L23/L$32</f>
        <v>0</v>
      </c>
      <c r="N23" s="231"/>
      <c r="O23" s="214"/>
      <c r="P23" s="222" t="b">
        <f t="shared" si="1"/>
        <v>0</v>
      </c>
      <c r="Q23" s="260" t="s">
        <v>238</v>
      </c>
      <c r="R23" s="260">
        <v>0</v>
      </c>
      <c r="S23" s="260"/>
      <c r="T23" s="356"/>
      <c r="U23" s="356"/>
      <c r="V23" s="356"/>
      <c r="W23" s="356"/>
      <c r="X23" s="358"/>
      <c r="Y23" s="356"/>
      <c r="Z23" s="359"/>
      <c r="AA23" s="215"/>
      <c r="AB23" s="215"/>
      <c r="AC23" s="215"/>
      <c r="AD23" s="216"/>
    </row>
    <row r="24" spans="1:30" s="73" customFormat="1" ht="18.75" customHeight="1" x14ac:dyDescent="0.25">
      <c r="A24" s="67"/>
      <c r="B24" s="232">
        <f t="shared" si="2"/>
        <v>17</v>
      </c>
      <c r="C24" s="239" t="s">
        <v>182</v>
      </c>
      <c r="D24" s="234">
        <v>39.47</v>
      </c>
      <c r="E24" s="226"/>
      <c r="F24" s="115">
        <v>3958.7499999999995</v>
      </c>
      <c r="G24" s="226">
        <f t="shared" si="3"/>
        <v>0.38505585461925018</v>
      </c>
      <c r="H24" s="115">
        <v>1283.4299999999998</v>
      </c>
      <c r="I24" s="226">
        <f>+H24/$H$32</f>
        <v>0.57031735272498552</v>
      </c>
      <c r="J24" s="235">
        <f t="shared" si="0"/>
        <v>5281.65</v>
      </c>
      <c r="K24" s="236">
        <f>+J24/J$32</f>
        <v>0.33643708597572797</v>
      </c>
      <c r="L24" s="240">
        <v>180578.98996505095</v>
      </c>
      <c r="M24" s="236">
        <f>+L24/L$32</f>
        <v>0.26682644435766001</v>
      </c>
      <c r="N24" s="231"/>
      <c r="O24" s="214"/>
      <c r="P24" s="222" t="b">
        <f t="shared" si="1"/>
        <v>0</v>
      </c>
      <c r="Q24" s="360" t="s">
        <v>236</v>
      </c>
      <c r="R24" s="360">
        <v>180578.98996505095</v>
      </c>
      <c r="S24" s="260"/>
      <c r="T24" s="356">
        <v>39.47</v>
      </c>
      <c r="U24" s="356">
        <v>3958.7499999999995</v>
      </c>
      <c r="V24" s="356">
        <v>1283.4299999999998</v>
      </c>
      <c r="W24" s="356">
        <v>34</v>
      </c>
      <c r="X24" s="358"/>
      <c r="Y24" s="356">
        <f>+SUM(T24:X24)</f>
        <v>5315.65</v>
      </c>
      <c r="Z24" s="359" t="e">
        <f>+Y24/$I$73*100</f>
        <v>#DIV/0!</v>
      </c>
      <c r="AA24" s="215"/>
      <c r="AB24" s="215"/>
      <c r="AC24" s="215"/>
      <c r="AD24" s="216"/>
    </row>
    <row r="25" spans="1:30" s="73" customFormat="1" ht="18.75" customHeight="1" x14ac:dyDescent="0.25">
      <c r="A25" s="67"/>
      <c r="B25" s="232">
        <f t="shared" si="2"/>
        <v>18</v>
      </c>
      <c r="C25" s="233" t="s">
        <v>36</v>
      </c>
      <c r="D25" s="234"/>
      <c r="E25" s="226"/>
      <c r="F25" s="115">
        <v>427.83</v>
      </c>
      <c r="G25" s="226">
        <f t="shared" si="3"/>
        <v>4.1613753402400706E-2</v>
      </c>
      <c r="H25" s="115"/>
      <c r="I25" s="226"/>
      <c r="J25" s="235">
        <f t="shared" si="0"/>
        <v>427.83</v>
      </c>
      <c r="K25" s="236">
        <f>+J25/J$32</f>
        <v>2.7252445446592579E-2</v>
      </c>
      <c r="L25" s="234">
        <v>20258.879609063442</v>
      </c>
      <c r="M25" s="236">
        <f>+L25/L$32</f>
        <v>2.9934849086277943E-2</v>
      </c>
      <c r="N25" s="231"/>
      <c r="O25" s="214"/>
      <c r="P25" s="222" t="b">
        <f t="shared" si="1"/>
        <v>1</v>
      </c>
      <c r="Q25" s="360" t="s">
        <v>36</v>
      </c>
      <c r="R25" s="360">
        <v>20258.879609063442</v>
      </c>
      <c r="S25" s="260"/>
      <c r="T25" s="356"/>
      <c r="U25" s="356">
        <v>427.83</v>
      </c>
      <c r="V25" s="356"/>
      <c r="W25" s="356"/>
      <c r="X25" s="358"/>
      <c r="Y25" s="356">
        <f>+SUM(T25:X25)</f>
        <v>427.83</v>
      </c>
      <c r="Z25" s="359" t="e">
        <f>+Y25/$I$73*100</f>
        <v>#DIV/0!</v>
      </c>
      <c r="AA25" s="215"/>
      <c r="AB25" s="215"/>
      <c r="AC25" s="215"/>
      <c r="AD25" s="216"/>
    </row>
    <row r="26" spans="1:30" s="73" customFormat="1" ht="18.75" customHeight="1" x14ac:dyDescent="0.25">
      <c r="A26" s="67"/>
      <c r="B26" s="232">
        <f t="shared" si="2"/>
        <v>19</v>
      </c>
      <c r="C26" s="233" t="s">
        <v>183</v>
      </c>
      <c r="D26" s="234"/>
      <c r="E26" s="226"/>
      <c r="F26" s="115"/>
      <c r="G26" s="226"/>
      <c r="H26" s="115">
        <v>132.69999999999999</v>
      </c>
      <c r="I26" s="226">
        <f>+H26/$H$32</f>
        <v>5.8967853881088626E-2</v>
      </c>
      <c r="J26" s="235">
        <f t="shared" si="0"/>
        <v>132.69999999999999</v>
      </c>
      <c r="K26" s="236">
        <f t="shared" ref="K26:K30" si="5">+J26/J$32</f>
        <v>8.4528890231232844E-3</v>
      </c>
      <c r="L26" s="234">
        <v>1737.9102961880476</v>
      </c>
      <c r="M26" s="236">
        <f t="shared" ref="M26:M30" si="6">+L26/L$32</f>
        <v>2.5679644405707022E-3</v>
      </c>
      <c r="N26" s="231"/>
      <c r="O26" s="214"/>
      <c r="P26" s="222" t="b">
        <f t="shared" si="1"/>
        <v>0</v>
      </c>
      <c r="Q26" s="360" t="s">
        <v>237</v>
      </c>
      <c r="R26" s="360">
        <v>1737.9102961880476</v>
      </c>
      <c r="S26" s="260"/>
      <c r="T26" s="356"/>
      <c r="U26" s="356"/>
      <c r="V26" s="356">
        <v>132.69999999999999</v>
      </c>
      <c r="W26" s="356"/>
      <c r="X26" s="358"/>
      <c r="Y26" s="356">
        <f>+SUM(T26:X26)</f>
        <v>132.69999999999999</v>
      </c>
      <c r="Z26" s="359" t="e">
        <f>+Y26/$I$73*100</f>
        <v>#DIV/0!</v>
      </c>
      <c r="AA26" s="215"/>
      <c r="AB26" s="215"/>
      <c r="AC26" s="215"/>
      <c r="AD26" s="216"/>
    </row>
    <row r="27" spans="1:30" s="73" customFormat="1" ht="18.75" customHeight="1" x14ac:dyDescent="0.25">
      <c r="A27" s="67"/>
      <c r="B27" s="232">
        <f t="shared" si="2"/>
        <v>20</v>
      </c>
      <c r="C27" s="233" t="s">
        <v>136</v>
      </c>
      <c r="D27" s="234"/>
      <c r="E27" s="226"/>
      <c r="F27" s="115">
        <v>110.65</v>
      </c>
      <c r="G27" s="226">
        <f t="shared" si="3"/>
        <v>1.0762596858508377E-2</v>
      </c>
      <c r="H27" s="115">
        <v>4.5756600000000001</v>
      </c>
      <c r="I27" s="226">
        <f>+H27/$H$32</f>
        <v>2.0332844784441751E-3</v>
      </c>
      <c r="J27" s="235">
        <f t="shared" si="0"/>
        <v>115.22566</v>
      </c>
      <c r="K27" s="236">
        <f t="shared" si="5"/>
        <v>7.339786862065832E-3</v>
      </c>
      <c r="L27" s="234">
        <v>6744.1273836679047</v>
      </c>
      <c r="M27" s="236">
        <f t="shared" si="6"/>
        <v>9.9652320041634448E-3</v>
      </c>
      <c r="N27" s="231"/>
      <c r="O27" s="214"/>
      <c r="P27" s="222" t="b">
        <f t="shared" si="1"/>
        <v>1</v>
      </c>
      <c r="Q27" s="214" t="s">
        <v>136</v>
      </c>
      <c r="R27" s="214">
        <v>6744.1273836679047</v>
      </c>
      <c r="S27" s="360"/>
      <c r="T27" s="356"/>
      <c r="U27" s="356">
        <v>110.65</v>
      </c>
      <c r="V27" s="356">
        <v>4.5756600000000001</v>
      </c>
      <c r="W27" s="356"/>
      <c r="X27" s="358"/>
      <c r="Y27" s="356">
        <f>+SUM(T27:X27)</f>
        <v>115.22566</v>
      </c>
      <c r="Z27" s="359" t="e">
        <f>+Y27/$I$73*100</f>
        <v>#DIV/0!</v>
      </c>
      <c r="AA27" s="215"/>
      <c r="AB27" s="215"/>
      <c r="AC27" s="215"/>
      <c r="AD27" s="216"/>
    </row>
    <row r="28" spans="1:30" s="73" customFormat="1" ht="18.75" customHeight="1" x14ac:dyDescent="0.25">
      <c r="A28" s="67"/>
      <c r="B28" s="232">
        <f t="shared" si="2"/>
        <v>21</v>
      </c>
      <c r="C28" s="233" t="s">
        <v>152</v>
      </c>
      <c r="D28" s="234"/>
      <c r="E28" s="226"/>
      <c r="F28" s="115">
        <v>128.78</v>
      </c>
      <c r="G28" s="226">
        <f t="shared" si="3"/>
        <v>1.25260481106074E-2</v>
      </c>
      <c r="H28" s="115"/>
      <c r="I28" s="226"/>
      <c r="J28" s="235">
        <f t="shared" si="0"/>
        <v>128.78</v>
      </c>
      <c r="K28" s="236">
        <f t="shared" si="5"/>
        <v>8.203188006012184E-3</v>
      </c>
      <c r="L28" s="234">
        <v>5055.7522581897456</v>
      </c>
      <c r="M28" s="236">
        <f t="shared" si="6"/>
        <v>7.4704615352376574E-3</v>
      </c>
      <c r="N28" s="231"/>
      <c r="O28" s="214"/>
      <c r="P28" s="222" t="b">
        <f t="shared" si="1"/>
        <v>1</v>
      </c>
      <c r="Q28" s="214" t="s">
        <v>152</v>
      </c>
      <c r="R28" s="214">
        <v>5055.7522581897456</v>
      </c>
      <c r="S28" s="360"/>
      <c r="T28" s="356"/>
      <c r="U28" s="356">
        <v>128.78</v>
      </c>
      <c r="V28" s="356"/>
      <c r="W28" s="356"/>
      <c r="X28" s="358"/>
      <c r="Y28" s="356">
        <f>+SUM(T28:X28)</f>
        <v>128.78</v>
      </c>
      <c r="Z28" s="359" t="e">
        <f>+Y28/$I$73*100</f>
        <v>#DIV/0!</v>
      </c>
      <c r="AA28" s="215"/>
      <c r="AB28" s="215"/>
      <c r="AC28" s="215"/>
      <c r="AD28" s="216"/>
    </row>
    <row r="29" spans="1:30" s="73" customFormat="1" ht="18.75" customHeight="1" x14ac:dyDescent="0.25">
      <c r="A29" s="67"/>
      <c r="B29" s="232">
        <f t="shared" si="2"/>
        <v>22</v>
      </c>
      <c r="C29" s="233" t="s">
        <v>239</v>
      </c>
      <c r="D29" s="234"/>
      <c r="E29" s="226"/>
      <c r="F29" s="115">
        <v>128.68</v>
      </c>
      <c r="G29" s="226">
        <f t="shared" si="3"/>
        <v>1.2516321407617333E-2</v>
      </c>
      <c r="H29" s="115"/>
      <c r="I29" s="226"/>
      <c r="J29" s="235">
        <f t="shared" si="0"/>
        <v>128.68</v>
      </c>
      <c r="K29" s="236">
        <f t="shared" si="5"/>
        <v>8.1968180821062886E-3</v>
      </c>
      <c r="L29" s="234">
        <v>1728.2515196271124</v>
      </c>
      <c r="M29" s="236">
        <f t="shared" si="6"/>
        <v>2.5536924756699225E-3</v>
      </c>
      <c r="N29" s="231"/>
      <c r="O29" s="214"/>
      <c r="P29" s="222"/>
      <c r="Q29" s="214"/>
      <c r="R29" s="214"/>
      <c r="S29" s="360"/>
      <c r="T29" s="356"/>
      <c r="U29" s="356"/>
      <c r="V29" s="356"/>
      <c r="W29" s="356"/>
      <c r="X29" s="358"/>
      <c r="Y29" s="356"/>
      <c r="Z29" s="359"/>
      <c r="AA29" s="215"/>
      <c r="AB29" s="215"/>
      <c r="AC29" s="215"/>
      <c r="AD29" s="216"/>
    </row>
    <row r="30" spans="1:30" s="73" customFormat="1" ht="18.75" customHeight="1" x14ac:dyDescent="0.25">
      <c r="A30" s="67"/>
      <c r="B30" s="232">
        <f t="shared" si="2"/>
        <v>23</v>
      </c>
      <c r="C30" s="233" t="s">
        <v>153</v>
      </c>
      <c r="D30" s="234"/>
      <c r="E30" s="226"/>
      <c r="F30" s="115">
        <v>402.4</v>
      </c>
      <c r="G30" s="226">
        <f t="shared" si="3"/>
        <v>3.9140252832026844E-2</v>
      </c>
      <c r="H30" s="115">
        <v>3.24</v>
      </c>
      <c r="I30" s="226">
        <f>+H30/$H$32</f>
        <v>1.4397576983777481E-3</v>
      </c>
      <c r="J30" s="235">
        <f>+F30+H30+D30</f>
        <v>405.64</v>
      </c>
      <c r="K30" s="236">
        <f t="shared" si="5"/>
        <v>2.5838959331874373E-2</v>
      </c>
      <c r="L30" s="234">
        <v>8051.1569124481011</v>
      </c>
      <c r="M30" s="236">
        <f t="shared" si="6"/>
        <v>1.1896520034417598E-2</v>
      </c>
      <c r="N30" s="231"/>
      <c r="O30" s="214"/>
      <c r="P30" s="222" t="b">
        <f>+EXACT(Q44,C30)</f>
        <v>0</v>
      </c>
      <c r="Q30" s="260" t="s">
        <v>153</v>
      </c>
      <c r="R30" s="260">
        <v>8051.1569124481011</v>
      </c>
      <c r="S30" s="360"/>
      <c r="T30" s="356"/>
      <c r="U30" s="356">
        <v>402.4</v>
      </c>
      <c r="V30" s="356">
        <v>3.24</v>
      </c>
      <c r="W30" s="356"/>
      <c r="X30" s="358"/>
      <c r="Y30" s="356">
        <f>+SUM(T30:X30)</f>
        <v>405.64</v>
      </c>
      <c r="Z30" s="359" t="e">
        <f>+Y30/$I$73*100</f>
        <v>#DIV/0!</v>
      </c>
      <c r="AA30" s="215"/>
      <c r="AB30" s="215"/>
      <c r="AC30" s="215"/>
      <c r="AD30" s="216"/>
    </row>
    <row r="31" spans="1:30" s="73" customFormat="1" ht="18.75" customHeight="1" thickBot="1" x14ac:dyDescent="0.3">
      <c r="A31" s="67"/>
      <c r="B31" s="232"/>
      <c r="C31" s="233"/>
      <c r="D31" s="234"/>
      <c r="E31" s="226"/>
      <c r="F31" s="115"/>
      <c r="G31" s="226"/>
      <c r="H31" s="115"/>
      <c r="I31" s="226"/>
      <c r="J31" s="235"/>
      <c r="K31" s="236"/>
      <c r="L31" s="234"/>
      <c r="M31" s="236"/>
      <c r="N31" s="231"/>
      <c r="O31" s="214"/>
      <c r="P31" s="222" t="b">
        <f>+EXACT(Q30,C31)</f>
        <v>0</v>
      </c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5"/>
      <c r="AB31" s="215"/>
      <c r="AC31" s="215"/>
      <c r="AD31" s="216"/>
    </row>
    <row r="32" spans="1:30" s="73" customFormat="1" ht="18.75" customHeight="1" thickTop="1" thickBot="1" x14ac:dyDescent="0.25">
      <c r="A32" s="67"/>
      <c r="B32" s="241"/>
      <c r="C32" s="242" t="s">
        <v>2</v>
      </c>
      <c r="D32" s="243">
        <f>SUM(D8:D31)</f>
        <v>3167.42</v>
      </c>
      <c r="E32" s="244">
        <f>+D32/D$32</f>
        <v>1</v>
      </c>
      <c r="F32" s="245">
        <f>SUM(F8:F31)</f>
        <v>10280.975999999999</v>
      </c>
      <c r="G32" s="244">
        <f t="shared" si="3"/>
        <v>1</v>
      </c>
      <c r="H32" s="246">
        <f>SUM(H8:H31)</f>
        <v>2250.3786599999994</v>
      </c>
      <c r="I32" s="244">
        <f>+H32/H$32</f>
        <v>1</v>
      </c>
      <c r="J32" s="247">
        <f>SUM(J8:J31)</f>
        <v>15698.774660000001</v>
      </c>
      <c r="K32" s="244">
        <f>+J32/J$32</f>
        <v>1</v>
      </c>
      <c r="L32" s="248">
        <f>SUM(L8:L31)</f>
        <v>676765.71713034157</v>
      </c>
      <c r="M32" s="244">
        <f>+L32/L$32</f>
        <v>1</v>
      </c>
      <c r="N32" s="231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5"/>
      <c r="AB32" s="215"/>
      <c r="AC32" s="215"/>
      <c r="AD32" s="216"/>
    </row>
    <row r="33" spans="1:30" s="73" customFormat="1" ht="18.75" customHeight="1" x14ac:dyDescent="0.25">
      <c r="A33" s="67"/>
      <c r="B33" s="249" t="s">
        <v>205</v>
      </c>
      <c r="C33" s="139"/>
      <c r="D33" s="146"/>
      <c r="E33" s="231"/>
      <c r="F33" s="146"/>
      <c r="G33" s="231"/>
      <c r="H33" s="146"/>
      <c r="I33" s="231"/>
      <c r="J33" s="142"/>
      <c r="K33" s="231"/>
      <c r="L33" s="142"/>
      <c r="M33" s="231"/>
      <c r="N33" s="231"/>
      <c r="O33" s="214"/>
      <c r="P33" s="237"/>
      <c r="Q33" s="214"/>
      <c r="R33" s="214"/>
      <c r="S33" s="207"/>
      <c r="T33" s="238"/>
      <c r="U33" s="215"/>
      <c r="V33" s="214"/>
      <c r="W33" s="214"/>
      <c r="X33" s="215"/>
      <c r="Y33" s="215"/>
      <c r="Z33" s="215"/>
      <c r="AA33" s="215"/>
      <c r="AB33" s="215"/>
      <c r="AC33" s="215"/>
      <c r="AD33" s="216"/>
    </row>
    <row r="34" spans="1:30" s="73" customFormat="1" ht="18.75" customHeight="1" x14ac:dyDescent="0.25">
      <c r="A34" s="149"/>
      <c r="B34" s="67"/>
      <c r="C34" s="67"/>
      <c r="D34" s="147"/>
      <c r="E34" s="250"/>
      <c r="F34" s="147"/>
      <c r="G34" s="250"/>
      <c r="H34" s="147"/>
      <c r="I34" s="67"/>
      <c r="J34" s="67"/>
      <c r="K34" s="67"/>
      <c r="L34" s="67"/>
      <c r="M34" s="67"/>
      <c r="N34" s="67"/>
      <c r="O34" s="214"/>
      <c r="P34" s="214"/>
      <c r="Q34" s="214"/>
      <c r="R34" s="214"/>
      <c r="S34" s="260">
        <v>959.33714305679177</v>
      </c>
      <c r="T34" s="214"/>
      <c r="U34" s="214"/>
      <c r="V34" s="214"/>
      <c r="W34" s="214"/>
      <c r="X34" s="214"/>
      <c r="Y34" s="214"/>
      <c r="Z34" s="214"/>
      <c r="AA34" s="214"/>
      <c r="AB34" s="214"/>
      <c r="AC34" s="214"/>
    </row>
    <row r="35" spans="1:30" s="73" customFormat="1" ht="18.75" customHeight="1" x14ac:dyDescent="0.2">
      <c r="A35" s="67"/>
      <c r="B35" s="67"/>
      <c r="C35" s="67"/>
      <c r="D35" s="251"/>
      <c r="E35" s="251"/>
      <c r="F35" s="67"/>
      <c r="G35" s="67"/>
      <c r="H35" s="67"/>
      <c r="I35" s="67"/>
      <c r="J35" s="67"/>
      <c r="K35" s="67"/>
      <c r="L35" s="115"/>
      <c r="M35" s="67"/>
      <c r="N35" s="67"/>
      <c r="O35" s="214"/>
      <c r="P35" s="214"/>
      <c r="Q35" s="214"/>
      <c r="R35" s="214"/>
      <c r="S35" s="214"/>
      <c r="T35" s="214"/>
      <c r="U35" s="252" t="s">
        <v>59</v>
      </c>
      <c r="V35" s="252" t="s">
        <v>32</v>
      </c>
      <c r="W35" s="252" t="s">
        <v>33</v>
      </c>
      <c r="X35" s="253"/>
      <c r="Y35" s="214"/>
      <c r="Z35" s="214"/>
      <c r="AA35" s="214"/>
      <c r="AB35" s="214"/>
      <c r="AC35" s="214"/>
    </row>
    <row r="36" spans="1:30" x14ac:dyDescent="0.25">
      <c r="A36" s="5"/>
      <c r="B36" s="5"/>
      <c r="C36" s="5"/>
      <c r="D36" s="254"/>
      <c r="E36" s="254"/>
      <c r="F36" s="5"/>
      <c r="G36" s="5"/>
      <c r="H36" s="5"/>
      <c r="I36" s="5"/>
      <c r="J36" s="5"/>
      <c r="K36" s="5"/>
      <c r="L36" s="5"/>
      <c r="M36" s="5"/>
      <c r="N36" s="5"/>
      <c r="Q36" s="207" t="s">
        <v>7</v>
      </c>
      <c r="R36" s="255">
        <v>0</v>
      </c>
      <c r="S36" s="256">
        <f>R36/R38</f>
        <v>0</v>
      </c>
      <c r="U36" s="257">
        <f>+U37/X37</f>
        <v>0.20176224378011426</v>
      </c>
      <c r="V36" s="257">
        <f>+V37/X37</f>
        <v>0.65489034798337564</v>
      </c>
      <c r="W36" s="257">
        <f>+W37/X37</f>
        <v>0.14334740823651007</v>
      </c>
      <c r="X36" s="256"/>
    </row>
    <row r="37" spans="1:30" x14ac:dyDescent="0.25">
      <c r="A37" s="5"/>
      <c r="B37" s="5"/>
      <c r="C37" s="5"/>
      <c r="D37" s="254"/>
      <c r="E37" s="254"/>
      <c r="F37" s="5"/>
      <c r="G37" s="5"/>
      <c r="H37" s="5"/>
      <c r="I37" s="5"/>
      <c r="J37" s="5"/>
      <c r="K37" s="5"/>
      <c r="L37" s="5"/>
      <c r="M37" s="5"/>
      <c r="N37" s="5"/>
      <c r="Q37" s="207" t="s">
        <v>9</v>
      </c>
      <c r="R37" s="255">
        <f>J32</f>
        <v>15698.774660000001</v>
      </c>
      <c r="S37" s="256">
        <f>R37/R38</f>
        <v>1</v>
      </c>
      <c r="T37" s="207" t="s">
        <v>37</v>
      </c>
      <c r="U37" s="258">
        <f>D32</f>
        <v>3167.42</v>
      </c>
      <c r="V37" s="258">
        <f>F32</f>
        <v>10280.975999999999</v>
      </c>
      <c r="W37" s="258">
        <f>+H32</f>
        <v>2250.3786599999994</v>
      </c>
      <c r="X37" s="255">
        <f>SUM(U37:W37)</f>
        <v>15698.774659999999</v>
      </c>
    </row>
    <row r="38" spans="1:30" x14ac:dyDescent="0.25">
      <c r="A38" s="5"/>
      <c r="B38" s="5"/>
      <c r="C38" s="5"/>
      <c r="D38" s="254"/>
      <c r="E38" s="254"/>
      <c r="F38" s="5"/>
      <c r="G38" s="5"/>
      <c r="H38" s="5"/>
      <c r="I38" s="5"/>
      <c r="J38" s="5"/>
      <c r="K38" s="5"/>
      <c r="L38" s="5"/>
      <c r="M38" s="5"/>
      <c r="N38" s="5"/>
      <c r="R38" s="255">
        <f>SUM(R36:R37)</f>
        <v>15698.774660000001</v>
      </c>
    </row>
    <row r="39" spans="1:30" x14ac:dyDescent="0.25">
      <c r="A39" s="5"/>
      <c r="B39" s="5"/>
      <c r="C39" s="5"/>
      <c r="D39" s="254"/>
      <c r="E39" s="254"/>
      <c r="F39" s="5"/>
      <c r="G39" s="5"/>
      <c r="H39" s="5"/>
      <c r="I39" s="5"/>
      <c r="J39" s="5"/>
      <c r="K39" s="5"/>
      <c r="L39" s="5"/>
      <c r="M39" s="5"/>
      <c r="N39" s="5"/>
    </row>
    <row r="40" spans="1:30" x14ac:dyDescent="0.25">
      <c r="A40" s="5"/>
      <c r="B40" s="5"/>
      <c r="C40" s="5"/>
      <c r="D40" s="254"/>
      <c r="E40" s="254"/>
      <c r="F40" s="5"/>
      <c r="G40" s="5"/>
      <c r="H40" s="5"/>
      <c r="I40" s="5"/>
      <c r="J40" s="5"/>
      <c r="K40" s="5"/>
      <c r="L40" s="5"/>
      <c r="M40" s="5"/>
      <c r="N40" s="5"/>
    </row>
    <row r="41" spans="1:30" x14ac:dyDescent="0.25">
      <c r="A41" s="5"/>
      <c r="B41" s="5"/>
      <c r="C41" s="5"/>
      <c r="D41" s="254"/>
      <c r="E41" s="254"/>
      <c r="F41" s="5"/>
      <c r="G41" s="5"/>
      <c r="H41" s="5"/>
      <c r="I41" s="5"/>
      <c r="J41" s="5"/>
      <c r="K41" s="5"/>
      <c r="L41" s="5"/>
      <c r="M41" s="5"/>
      <c r="N41" s="5"/>
      <c r="R41" s="255"/>
      <c r="S41" s="256"/>
      <c r="U41" s="255"/>
      <c r="V41" s="255"/>
      <c r="W41" s="256"/>
    </row>
    <row r="42" spans="1:30" x14ac:dyDescent="0.25">
      <c r="A42" s="5"/>
      <c r="B42" s="5"/>
      <c r="C42" s="5"/>
      <c r="D42" s="254"/>
      <c r="E42" s="254"/>
      <c r="F42" s="5"/>
      <c r="G42" s="5"/>
      <c r="H42" s="5"/>
      <c r="I42" s="5"/>
      <c r="J42" s="5"/>
      <c r="K42" s="5"/>
      <c r="L42" s="5"/>
      <c r="M42" s="5"/>
      <c r="N42" s="5"/>
      <c r="Q42" s="260" t="s">
        <v>227</v>
      </c>
      <c r="R42" s="260">
        <v>854.38046534934631</v>
      </c>
      <c r="S42" s="256"/>
      <c r="U42" s="255"/>
      <c r="V42" s="255"/>
      <c r="W42" s="256"/>
    </row>
    <row r="43" spans="1:30" x14ac:dyDescent="0.25">
      <c r="A43" s="5"/>
      <c r="B43" s="5"/>
      <c r="C43" s="5"/>
      <c r="D43" s="254"/>
      <c r="E43" s="254"/>
      <c r="F43" s="5"/>
      <c r="G43" s="5"/>
      <c r="H43" s="5"/>
      <c r="I43" s="5"/>
      <c r="J43" s="5"/>
      <c r="K43" s="5"/>
      <c r="L43" s="5"/>
      <c r="M43" s="5"/>
      <c r="N43" s="5"/>
      <c r="Q43" s="260" t="s">
        <v>234</v>
      </c>
      <c r="R43" s="260">
        <v>959.33714305679177</v>
      </c>
      <c r="S43" s="256"/>
      <c r="U43" s="255"/>
      <c r="V43" s="255"/>
    </row>
    <row r="44" spans="1:30" x14ac:dyDescent="0.25">
      <c r="A44" s="5"/>
      <c r="B44" s="5"/>
      <c r="C44" s="5"/>
      <c r="D44" s="254"/>
      <c r="E44" s="254"/>
      <c r="F44" s="5"/>
      <c r="G44" s="5"/>
      <c r="H44" s="5"/>
      <c r="I44" s="5"/>
      <c r="J44" s="5"/>
      <c r="K44" s="5"/>
      <c r="L44" s="5"/>
      <c r="M44" s="5"/>
      <c r="N44" s="5"/>
      <c r="Q44" s="214" t="s">
        <v>239</v>
      </c>
      <c r="R44" s="214">
        <v>1728.2515196271124</v>
      </c>
    </row>
    <row r="45" spans="1:30" x14ac:dyDescent="0.25">
      <c r="A45" s="5"/>
      <c r="B45" s="5"/>
      <c r="C45" s="5"/>
      <c r="D45" s="254"/>
      <c r="E45" s="254"/>
      <c r="F45" s="5"/>
      <c r="G45" s="5"/>
      <c r="H45" s="5"/>
      <c r="I45" s="5"/>
      <c r="J45" s="5"/>
      <c r="K45" s="5"/>
      <c r="L45" s="5"/>
      <c r="M45" s="5"/>
      <c r="N45" s="5"/>
      <c r="R45" s="259"/>
    </row>
    <row r="46" spans="1:30" x14ac:dyDescent="0.25">
      <c r="A46" s="5"/>
      <c r="B46" s="5"/>
      <c r="C46" s="5"/>
      <c r="D46" s="254"/>
      <c r="E46" s="254"/>
      <c r="F46" s="5"/>
      <c r="G46" s="5"/>
      <c r="H46" s="5"/>
      <c r="I46" s="5"/>
      <c r="J46" s="5"/>
      <c r="K46" s="5"/>
      <c r="L46" s="5"/>
      <c r="M46" s="5"/>
      <c r="N46" s="5"/>
      <c r="R46" s="259"/>
      <c r="S46" s="256"/>
    </row>
    <row r="47" spans="1:30" x14ac:dyDescent="0.25">
      <c r="A47" s="5"/>
      <c r="B47" s="5"/>
      <c r="C47" s="5"/>
      <c r="D47" s="254"/>
      <c r="E47" s="254"/>
      <c r="F47" s="5"/>
      <c r="G47" s="5"/>
      <c r="H47" s="5"/>
      <c r="I47" s="5"/>
      <c r="J47" s="5"/>
      <c r="K47" s="5"/>
      <c r="L47" s="5"/>
      <c r="M47" s="5"/>
      <c r="N47" s="5"/>
      <c r="R47" s="259"/>
      <c r="S47" s="256"/>
    </row>
    <row r="48" spans="1:3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R48" s="259"/>
      <c r="S48" s="256"/>
    </row>
    <row r="49" spans="1:2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R49" s="259"/>
      <c r="S49" s="256"/>
    </row>
    <row r="50" spans="1:2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R50" s="259"/>
      <c r="S50" s="256"/>
    </row>
    <row r="51" spans="1:2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R51" s="259"/>
      <c r="S51" s="256"/>
    </row>
    <row r="52" spans="1:2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R52" s="259"/>
      <c r="S52" s="256"/>
    </row>
    <row r="53" spans="1:2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R53" s="259"/>
      <c r="S53" s="256"/>
    </row>
    <row r="54" spans="1:23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R54" s="259"/>
      <c r="S54" s="256"/>
    </row>
    <row r="55" spans="1:23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R55" s="259"/>
      <c r="S55" s="256"/>
    </row>
    <row r="56" spans="1:23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R56" s="259"/>
      <c r="S56" s="256"/>
    </row>
    <row r="57" spans="1:23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R57" s="259"/>
      <c r="S57" s="256"/>
    </row>
    <row r="58" spans="1:23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R58" s="255"/>
      <c r="S58" s="256"/>
    </row>
    <row r="59" spans="1:23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2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260"/>
      <c r="P60" s="260"/>
      <c r="Q60" s="260"/>
      <c r="R60" s="261"/>
      <c r="S60" s="260"/>
      <c r="T60" s="260"/>
      <c r="U60" s="260"/>
      <c r="V60" s="260"/>
      <c r="W60" s="260"/>
    </row>
    <row r="61" spans="1:2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260"/>
      <c r="P61" s="260"/>
      <c r="Q61" s="260"/>
      <c r="R61" s="260"/>
      <c r="S61" s="260"/>
      <c r="T61" s="260"/>
      <c r="U61" s="260"/>
      <c r="V61" s="260"/>
      <c r="W61" s="260"/>
    </row>
    <row r="62" spans="1:23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260"/>
      <c r="P62" s="260"/>
      <c r="Q62" s="260"/>
      <c r="R62" s="260"/>
      <c r="S62" s="260"/>
      <c r="T62" s="260"/>
      <c r="U62" s="260"/>
      <c r="V62" s="260"/>
      <c r="W62" s="260"/>
    </row>
    <row r="63" spans="1:2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260"/>
      <c r="P63" s="260"/>
      <c r="Q63" s="260"/>
      <c r="R63" s="260"/>
      <c r="S63" s="260"/>
      <c r="T63" s="260"/>
      <c r="U63" s="260"/>
      <c r="V63" s="260"/>
      <c r="W63" s="260"/>
    </row>
    <row r="64" spans="1:2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260"/>
      <c r="P64" s="260" t="s">
        <v>88</v>
      </c>
      <c r="Q64" s="260" t="s">
        <v>89</v>
      </c>
      <c r="R64" s="260"/>
      <c r="S64" s="260"/>
      <c r="T64" s="260"/>
      <c r="U64" s="260"/>
      <c r="V64" s="260"/>
      <c r="W64" s="260"/>
    </row>
    <row r="65" spans="1:2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260"/>
      <c r="P65" s="260" t="s">
        <v>182</v>
      </c>
      <c r="Q65" s="260" t="s">
        <v>60</v>
      </c>
      <c r="R65" s="206">
        <f>+U65/SUM($U$65:$U$87)</f>
        <v>0.33643708597572797</v>
      </c>
      <c r="S65" s="262"/>
      <c r="T65" s="260" t="s">
        <v>182</v>
      </c>
      <c r="U65" s="260">
        <v>5281.65</v>
      </c>
      <c r="V65" s="206">
        <f>+U65/$U$88</f>
        <v>0.33643708597572797</v>
      </c>
      <c r="W65" s="260"/>
      <c r="X65" s="207" t="s">
        <v>60</v>
      </c>
      <c r="Y65" s="207" t="s">
        <v>182</v>
      </c>
      <c r="Z65" s="57">
        <v>5247.72</v>
      </c>
    </row>
    <row r="66" spans="1:2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260"/>
      <c r="P66" s="260" t="s">
        <v>35</v>
      </c>
      <c r="Q66" s="260" t="s">
        <v>159</v>
      </c>
      <c r="R66" s="206">
        <f t="shared" ref="R66:R75" si="7">+U66/SUM($U$65:$U$87)</f>
        <v>0.27236393238349726</v>
      </c>
      <c r="S66" s="262"/>
      <c r="T66" s="260" t="s">
        <v>35</v>
      </c>
      <c r="U66" s="260">
        <v>4275.78</v>
      </c>
      <c r="V66" s="206">
        <f t="shared" ref="V66:V74" si="8">+U66/$U$88</f>
        <v>0.27236393238349726</v>
      </c>
      <c r="W66" s="260"/>
      <c r="X66" s="207" t="s">
        <v>159</v>
      </c>
      <c r="Y66" s="207" t="s">
        <v>35</v>
      </c>
      <c r="Z66" s="57">
        <v>3883.36</v>
      </c>
    </row>
    <row r="67" spans="1:2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260"/>
      <c r="P67" s="260" t="s">
        <v>181</v>
      </c>
      <c r="Q67" s="260" t="s">
        <v>161</v>
      </c>
      <c r="R67" s="206">
        <f t="shared" si="7"/>
        <v>7.1727445255271916E-2</v>
      </c>
      <c r="S67" s="262"/>
      <c r="T67" s="260" t="s">
        <v>181</v>
      </c>
      <c r="U67" s="260">
        <v>1126.0329999999999</v>
      </c>
      <c r="V67" s="206">
        <f t="shared" si="8"/>
        <v>7.1727445255271916E-2</v>
      </c>
      <c r="W67" s="260"/>
      <c r="X67" s="207" t="s">
        <v>161</v>
      </c>
      <c r="Y67" s="207" t="s">
        <v>181</v>
      </c>
      <c r="Z67" s="57">
        <v>1126.0330000000001</v>
      </c>
    </row>
    <row r="68" spans="1:2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260"/>
      <c r="P68" s="260" t="s">
        <v>141</v>
      </c>
      <c r="Q68" s="260" t="s">
        <v>90</v>
      </c>
      <c r="R68" s="206">
        <f t="shared" si="7"/>
        <v>6.6342120487510717E-2</v>
      </c>
      <c r="S68" s="262"/>
      <c r="T68" s="260" t="s">
        <v>141</v>
      </c>
      <c r="U68" s="260">
        <v>1041.49</v>
      </c>
      <c r="V68" s="206">
        <f t="shared" si="8"/>
        <v>6.6342120487510717E-2</v>
      </c>
      <c r="W68" s="260"/>
      <c r="X68" s="207" t="s">
        <v>90</v>
      </c>
      <c r="Y68" s="207" t="s">
        <v>141</v>
      </c>
      <c r="Z68" s="57">
        <v>1041.4900000000002</v>
      </c>
    </row>
    <row r="69" spans="1:2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260"/>
      <c r="P69" s="260" t="s">
        <v>175</v>
      </c>
      <c r="Q69" s="260" t="s">
        <v>154</v>
      </c>
      <c r="R69" s="206">
        <f t="shared" si="7"/>
        <v>6.0381782688764332E-2</v>
      </c>
      <c r="S69" s="262"/>
      <c r="T69" s="260" t="s">
        <v>175</v>
      </c>
      <c r="U69" s="260">
        <v>947.92000000000007</v>
      </c>
      <c r="V69" s="206">
        <f t="shared" si="8"/>
        <v>6.0381782688764332E-2</v>
      </c>
      <c r="W69" s="260"/>
      <c r="X69" s="207" t="s">
        <v>154</v>
      </c>
      <c r="Y69" s="207" t="s">
        <v>175</v>
      </c>
      <c r="Z69" s="57">
        <v>947.92000000000007</v>
      </c>
    </row>
    <row r="70" spans="1:26" x14ac:dyDescent="0.25">
      <c r="A70" s="5"/>
      <c r="B70" s="5"/>
      <c r="C70" s="263"/>
      <c r="D70" s="263"/>
      <c r="E70" s="5"/>
      <c r="F70" s="5"/>
      <c r="G70" s="5"/>
      <c r="H70" s="5"/>
      <c r="I70" s="5"/>
      <c r="J70" s="5"/>
      <c r="K70" s="5"/>
      <c r="L70" s="5"/>
      <c r="M70" s="5"/>
      <c r="N70" s="5"/>
      <c r="O70" s="260"/>
      <c r="P70" s="260" t="s">
        <v>178</v>
      </c>
      <c r="Q70" s="260" t="s">
        <v>142</v>
      </c>
      <c r="R70" s="206">
        <f t="shared" si="7"/>
        <v>3.7677462910981119E-2</v>
      </c>
      <c r="S70" s="262"/>
      <c r="T70" s="260" t="s">
        <v>178</v>
      </c>
      <c r="U70" s="260">
        <v>591.49000000000024</v>
      </c>
      <c r="V70" s="206">
        <f t="shared" si="8"/>
        <v>3.7677462910981119E-2</v>
      </c>
      <c r="W70" s="260"/>
      <c r="X70" s="207" t="s">
        <v>142</v>
      </c>
      <c r="Y70" s="207" t="s">
        <v>178</v>
      </c>
      <c r="Z70" s="57">
        <v>591.4899999999999</v>
      </c>
    </row>
    <row r="71" spans="1:26" x14ac:dyDescent="0.25">
      <c r="A71" s="5"/>
      <c r="B71" s="5"/>
      <c r="C71" s="263"/>
      <c r="D71" s="263"/>
      <c r="E71" s="5"/>
      <c r="F71" s="5"/>
      <c r="G71" s="5"/>
      <c r="H71" s="5"/>
      <c r="I71" s="5"/>
      <c r="J71" s="5"/>
      <c r="K71" s="5"/>
      <c r="L71" s="5"/>
      <c r="M71" s="5"/>
      <c r="N71" s="5"/>
      <c r="O71" s="260"/>
      <c r="P71" s="260" t="s">
        <v>177</v>
      </c>
      <c r="Q71" s="260" t="s">
        <v>138</v>
      </c>
      <c r="R71" s="206">
        <f t="shared" si="7"/>
        <v>2.999826484546788E-2</v>
      </c>
      <c r="S71" s="262"/>
      <c r="T71" s="260" t="s">
        <v>229</v>
      </c>
      <c r="U71" s="260">
        <v>470.93599999999992</v>
      </c>
      <c r="V71" s="206">
        <f t="shared" si="8"/>
        <v>2.999826484546788E-2</v>
      </c>
      <c r="W71" s="260"/>
      <c r="X71" s="207" t="s">
        <v>138</v>
      </c>
      <c r="Y71" s="207" t="s">
        <v>177</v>
      </c>
      <c r="Z71" s="57">
        <v>470.93600000000004</v>
      </c>
    </row>
    <row r="72" spans="1:26" x14ac:dyDescent="0.25">
      <c r="A72" s="5"/>
      <c r="B72" s="5"/>
      <c r="C72" s="5"/>
      <c r="D72" s="5"/>
      <c r="E72" s="263"/>
      <c r="F72" s="264"/>
      <c r="G72" s="5"/>
      <c r="H72" s="5"/>
      <c r="I72" s="5"/>
      <c r="J72" s="264"/>
      <c r="K72" s="5"/>
      <c r="L72" s="5"/>
      <c r="M72" s="5"/>
      <c r="N72" s="5"/>
      <c r="O72" s="260"/>
      <c r="P72" s="260" t="s">
        <v>36</v>
      </c>
      <c r="Q72" s="260" t="s">
        <v>38</v>
      </c>
      <c r="R72" s="206">
        <f t="shared" si="7"/>
        <v>2.7252445446592583E-2</v>
      </c>
      <c r="S72" s="262"/>
      <c r="T72" s="260" t="s">
        <v>36</v>
      </c>
      <c r="U72" s="260">
        <v>427.83</v>
      </c>
      <c r="V72" s="206">
        <f t="shared" si="8"/>
        <v>2.7252445446592583E-2</v>
      </c>
      <c r="W72" s="260"/>
      <c r="X72" s="207" t="s">
        <v>38</v>
      </c>
      <c r="Y72" s="207" t="s">
        <v>36</v>
      </c>
      <c r="Z72" s="57">
        <v>427.83</v>
      </c>
    </row>
    <row r="73" spans="1:26" x14ac:dyDescent="0.25">
      <c r="A73" s="5"/>
      <c r="B73" s="5"/>
      <c r="C73" s="5"/>
      <c r="D73" s="5"/>
      <c r="E73" s="263"/>
      <c r="F73" s="264"/>
      <c r="G73" s="5"/>
      <c r="H73" s="5"/>
      <c r="I73" s="5"/>
      <c r="J73" s="5"/>
      <c r="K73" s="5"/>
      <c r="L73" s="5"/>
      <c r="M73" s="5"/>
      <c r="N73" s="5"/>
      <c r="O73" s="260"/>
      <c r="P73" s="260" t="s">
        <v>153</v>
      </c>
      <c r="Q73" s="260" t="s">
        <v>64</v>
      </c>
      <c r="R73" s="206">
        <f t="shared" si="7"/>
        <v>2.5838959331874377E-2</v>
      </c>
      <c r="S73" s="262"/>
      <c r="T73" s="260" t="s">
        <v>153</v>
      </c>
      <c r="U73" s="260">
        <v>405.64</v>
      </c>
      <c r="V73" s="206">
        <f t="shared" si="8"/>
        <v>2.5838959331874377E-2</v>
      </c>
      <c r="W73" s="260"/>
      <c r="X73" s="207" t="s">
        <v>64</v>
      </c>
      <c r="Y73" s="207" t="s">
        <v>153</v>
      </c>
      <c r="Z73" s="57">
        <v>405.64</v>
      </c>
    </row>
    <row r="74" spans="1:2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260"/>
      <c r="P74" s="260" t="s">
        <v>68</v>
      </c>
      <c r="Q74" s="260" t="s">
        <v>156</v>
      </c>
      <c r="R74" s="206">
        <f t="shared" si="7"/>
        <v>1.6812777157220498E-2</v>
      </c>
      <c r="S74" s="262"/>
      <c r="T74" s="260" t="s">
        <v>68</v>
      </c>
      <c r="U74" s="260">
        <v>263.94</v>
      </c>
      <c r="V74" s="206">
        <f t="shared" si="8"/>
        <v>1.6812777157220498E-2</v>
      </c>
      <c r="W74" s="206" t="e">
        <f>+V74/U87</f>
        <v>#DIV/0!</v>
      </c>
      <c r="X74" s="207" t="s">
        <v>156</v>
      </c>
      <c r="Y74" s="207" t="s">
        <v>68</v>
      </c>
      <c r="Z74" s="57">
        <v>263.94</v>
      </c>
    </row>
    <row r="75" spans="1:2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260"/>
      <c r="P75" s="260" t="s">
        <v>137</v>
      </c>
      <c r="Q75" s="260" t="s">
        <v>185</v>
      </c>
      <c r="R75" s="206">
        <f t="shared" si="7"/>
        <v>5.5167723517091372E-2</v>
      </c>
      <c r="S75" s="262"/>
      <c r="T75" s="260" t="s">
        <v>137</v>
      </c>
      <c r="U75" s="260">
        <v>866.06566000000009</v>
      </c>
      <c r="V75" s="260"/>
      <c r="W75" s="260"/>
      <c r="X75" s="207" t="s">
        <v>157</v>
      </c>
      <c r="Y75" s="207" t="s">
        <v>63</v>
      </c>
      <c r="Z75" s="57">
        <v>181.31</v>
      </c>
    </row>
    <row r="76" spans="1:26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260"/>
      <c r="P76" s="260"/>
      <c r="Q76" s="260"/>
      <c r="R76" s="206"/>
      <c r="S76" s="262"/>
      <c r="T76" s="260"/>
      <c r="U76" s="260"/>
      <c r="V76" s="260"/>
      <c r="W76" s="260"/>
      <c r="X76" s="207" t="s">
        <v>184</v>
      </c>
      <c r="Y76" s="207" t="s">
        <v>183</v>
      </c>
      <c r="Z76" s="57">
        <v>132.69999999999999</v>
      </c>
    </row>
    <row r="77" spans="1:26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260"/>
      <c r="P77" s="260"/>
      <c r="Q77" s="260"/>
      <c r="R77" s="206"/>
      <c r="S77" s="262"/>
      <c r="T77" s="260"/>
      <c r="U77" s="260"/>
      <c r="V77" s="260"/>
      <c r="W77" s="260"/>
      <c r="X77" s="207" t="s">
        <v>164</v>
      </c>
      <c r="Y77" s="207" t="s">
        <v>152</v>
      </c>
      <c r="Z77" s="57">
        <v>128.78</v>
      </c>
    </row>
    <row r="78" spans="1:26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260"/>
      <c r="P78" s="260"/>
      <c r="Q78" s="260"/>
      <c r="R78" s="260"/>
      <c r="S78" s="262"/>
      <c r="T78" s="260"/>
      <c r="U78" s="260"/>
      <c r="V78" s="260"/>
      <c r="W78" s="260"/>
      <c r="X78" s="207" t="s">
        <v>163</v>
      </c>
      <c r="Y78" s="207" t="s">
        <v>136</v>
      </c>
      <c r="Z78" s="57">
        <v>115.22566</v>
      </c>
    </row>
    <row r="79" spans="1:2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260"/>
      <c r="P79" s="260"/>
      <c r="Q79" s="260"/>
      <c r="R79" s="260"/>
      <c r="S79" s="260"/>
      <c r="T79" s="260"/>
      <c r="U79" s="260"/>
      <c r="V79" s="260"/>
      <c r="W79" s="260"/>
      <c r="X79" s="207" t="s">
        <v>155</v>
      </c>
      <c r="Y79" s="207" t="s">
        <v>62</v>
      </c>
      <c r="Z79" s="57">
        <v>113.48</v>
      </c>
    </row>
    <row r="80" spans="1:2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260"/>
      <c r="P80" s="260"/>
      <c r="Q80" s="260"/>
      <c r="R80" s="260"/>
      <c r="S80" s="260"/>
      <c r="T80" s="260"/>
      <c r="U80" s="260"/>
      <c r="V80" s="260"/>
      <c r="W80" s="260"/>
      <c r="X80" s="207" t="s">
        <v>158</v>
      </c>
      <c r="Y80" s="207" t="s">
        <v>176</v>
      </c>
      <c r="Z80" s="57">
        <v>33.9</v>
      </c>
    </row>
    <row r="81" spans="1:26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260"/>
      <c r="P81" s="260"/>
      <c r="Q81" s="260"/>
      <c r="R81" s="260"/>
      <c r="S81" s="260"/>
      <c r="T81" s="260"/>
      <c r="U81" s="260"/>
      <c r="V81" s="260"/>
      <c r="W81" s="260"/>
      <c r="X81" s="207" t="s">
        <v>162</v>
      </c>
      <c r="Y81" s="207" t="s">
        <v>135</v>
      </c>
      <c r="Z81" s="57">
        <v>18.399999999999999</v>
      </c>
    </row>
    <row r="82" spans="1:26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260"/>
      <c r="P82" s="260"/>
      <c r="Q82" s="260"/>
      <c r="R82" s="260"/>
      <c r="S82" s="260"/>
      <c r="T82" s="260"/>
      <c r="U82" s="260"/>
      <c r="V82" s="260"/>
      <c r="W82" s="260"/>
      <c r="X82" s="207" t="s">
        <v>143</v>
      </c>
      <c r="Y82" s="207" t="s">
        <v>179</v>
      </c>
      <c r="Z82" s="57">
        <v>10.89</v>
      </c>
    </row>
    <row r="83" spans="1:26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260"/>
      <c r="P83" s="260"/>
      <c r="Q83" s="260"/>
      <c r="R83" s="260"/>
      <c r="S83" s="260"/>
      <c r="T83" s="260"/>
      <c r="U83" s="260"/>
      <c r="V83" s="260"/>
      <c r="W83" s="260"/>
      <c r="X83" s="207" t="s">
        <v>160</v>
      </c>
      <c r="Y83" s="207" t="s">
        <v>180</v>
      </c>
      <c r="Z83" s="57">
        <v>2</v>
      </c>
    </row>
    <row r="84" spans="1:26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260"/>
      <c r="P84" s="260"/>
      <c r="Q84" s="260"/>
      <c r="R84" s="260"/>
      <c r="S84" s="260"/>
      <c r="T84" s="260"/>
      <c r="U84" s="260"/>
      <c r="V84" s="260"/>
      <c r="W84" s="260"/>
      <c r="Z84" s="57"/>
    </row>
    <row r="85" spans="1:26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260"/>
      <c r="P85" s="260"/>
      <c r="Q85" s="260"/>
      <c r="R85" s="260"/>
      <c r="S85" s="260"/>
      <c r="T85" s="260"/>
      <c r="U85" s="260"/>
      <c r="V85" s="260"/>
      <c r="W85" s="260"/>
      <c r="Z85" s="57"/>
    </row>
    <row r="86" spans="1:26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260"/>
      <c r="P86" s="260"/>
      <c r="Q86" s="260"/>
      <c r="R86" s="260"/>
      <c r="S86" s="260"/>
      <c r="T86" s="260"/>
      <c r="U86" s="260"/>
      <c r="V86" s="260"/>
      <c r="W86" s="260"/>
    </row>
    <row r="87" spans="1:26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260"/>
      <c r="P87" s="260"/>
      <c r="Q87" s="260"/>
      <c r="R87" s="260"/>
      <c r="S87" s="260"/>
      <c r="T87" s="260"/>
      <c r="U87" s="260"/>
      <c r="V87" s="260"/>
      <c r="W87" s="260"/>
    </row>
    <row r="88" spans="1:26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260"/>
      <c r="P88" s="260"/>
      <c r="Q88" s="260"/>
      <c r="R88" s="260"/>
      <c r="S88" s="260"/>
      <c r="T88" s="260"/>
      <c r="U88" s="260">
        <f>SUM(U65:U87)</f>
        <v>15698.774659999999</v>
      </c>
      <c r="V88" s="260"/>
      <c r="W88" s="260"/>
    </row>
    <row r="89" spans="1:26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260"/>
      <c r="P89" s="260"/>
      <c r="Q89" s="260"/>
      <c r="R89" s="260"/>
      <c r="S89" s="260"/>
      <c r="T89" s="260"/>
      <c r="U89" s="260"/>
      <c r="V89" s="260"/>
      <c r="W89" s="260"/>
    </row>
    <row r="90" spans="1:26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260"/>
      <c r="P90" s="260"/>
      <c r="Q90" s="260"/>
      <c r="R90" s="260"/>
      <c r="S90" s="260"/>
      <c r="T90" s="260"/>
      <c r="U90" s="260"/>
      <c r="V90" s="260"/>
      <c r="W90" s="260"/>
    </row>
    <row r="91" spans="1:26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2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2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26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26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26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</sheetData>
  <sortState xmlns:xlrd2="http://schemas.microsoft.com/office/spreadsheetml/2017/richdata2" ref="T65:U87">
    <sortCondition descending="1" ref="U65:U87"/>
  </sortState>
  <mergeCells count="6">
    <mergeCell ref="B2:M2"/>
    <mergeCell ref="B3:M3"/>
    <mergeCell ref="L6:M6"/>
    <mergeCell ref="D6:K6"/>
    <mergeCell ref="B6:B7"/>
    <mergeCell ref="C6:C7"/>
  </mergeCells>
  <printOptions horizontalCentered="1"/>
  <pageMargins left="0.78740157480314965" right="0.78740157480314965" top="0.78740157480314965" bottom="0.78740157480314965" header="0" footer="0"/>
  <pageSetup paperSize="9" scale="4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AG75"/>
  <sheetViews>
    <sheetView showGridLines="0" view="pageBreakPreview" zoomScale="90" zoomScaleNormal="70" zoomScaleSheetLayoutView="90" zoomScalePageLayoutView="40" workbookViewId="0">
      <selection sqref="A1:P1"/>
    </sheetView>
  </sheetViews>
  <sheetFormatPr baseColWidth="10" defaultRowHeight="13.5" x14ac:dyDescent="0.25"/>
  <cols>
    <col min="1" max="1" width="4.7109375" style="3" customWidth="1"/>
    <col min="2" max="2" width="71.85546875" style="3" customWidth="1"/>
    <col min="3" max="3" width="18.42578125" style="3" customWidth="1"/>
    <col min="4" max="4" width="8.85546875" style="3" customWidth="1"/>
    <col min="5" max="5" width="14.42578125" style="3" customWidth="1"/>
    <col min="6" max="6" width="8.85546875" style="3" customWidth="1"/>
    <col min="7" max="7" width="13.5703125" style="3" customWidth="1"/>
    <col min="8" max="8" width="10.42578125" style="3" customWidth="1"/>
    <col min="9" max="9" width="18.42578125" style="3" customWidth="1"/>
    <col min="10" max="10" width="8.85546875" style="3" customWidth="1"/>
    <col min="11" max="11" width="14.42578125" style="3" customWidth="1"/>
    <col min="12" max="12" width="8.85546875" style="3" customWidth="1"/>
    <col min="13" max="13" width="12.85546875" style="3" customWidth="1"/>
    <col min="14" max="14" width="8.85546875" style="3" customWidth="1"/>
    <col min="15" max="15" width="19.28515625" style="3" bestFit="1" customWidth="1"/>
    <col min="16" max="16" width="8.42578125" style="3" customWidth="1"/>
    <col min="17" max="17" width="4.5703125" style="5" customWidth="1"/>
    <col min="18" max="18" width="34.7109375" style="4" customWidth="1"/>
    <col min="19" max="19" width="40.5703125" style="4" customWidth="1"/>
    <col min="20" max="20" width="11.42578125" style="4"/>
    <col min="21" max="21" width="65" style="4" bestFit="1" customWidth="1"/>
    <col min="22" max="22" width="11.42578125" style="4"/>
    <col min="23" max="23" width="12.42578125" style="4" customWidth="1"/>
    <col min="24" max="24" width="19" style="4" customWidth="1"/>
    <col min="25" max="25" width="13.42578125" style="4" customWidth="1"/>
    <col min="26" max="26" width="14.5703125" style="4" bestFit="1" customWidth="1"/>
    <col min="27" max="27" width="11.42578125" style="4"/>
    <col min="28" max="28" width="16.28515625" style="4" bestFit="1" customWidth="1"/>
    <col min="29" max="29" width="25.5703125" style="4" customWidth="1"/>
    <col min="30" max="16384" width="11.42578125" style="3"/>
  </cols>
  <sheetData>
    <row r="1" spans="1:33" ht="18" x14ac:dyDescent="0.25">
      <c r="A1" s="265" t="s">
        <v>122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3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V2" s="266"/>
      <c r="W2" s="266"/>
      <c r="X2" s="266"/>
      <c r="Y2" s="266"/>
    </row>
    <row r="3" spans="1:33" s="73" customFormat="1" ht="18.75" customHeight="1" thickBot="1" x14ac:dyDescent="0.3">
      <c r="A3" s="267" t="s">
        <v>144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4"/>
      <c r="S3" s="4"/>
      <c r="T3" s="4"/>
      <c r="U3" s="4"/>
      <c r="V3" s="4"/>
      <c r="W3" s="4"/>
      <c r="X3" s="4"/>
      <c r="Y3" s="4"/>
      <c r="Z3" s="4"/>
      <c r="AA3" s="268"/>
      <c r="AB3" s="268"/>
      <c r="AC3" s="268"/>
    </row>
    <row r="4" spans="1:33" s="73" customFormat="1" ht="18.75" customHeight="1" x14ac:dyDescent="0.25">
      <c r="A4" s="217" t="s">
        <v>5</v>
      </c>
      <c r="B4" s="269" t="s">
        <v>8</v>
      </c>
      <c r="C4" s="72" t="s">
        <v>168</v>
      </c>
      <c r="D4" s="70"/>
      <c r="E4" s="70"/>
      <c r="F4" s="70"/>
      <c r="G4" s="70"/>
      <c r="H4" s="71"/>
      <c r="I4" s="72" t="s">
        <v>169</v>
      </c>
      <c r="J4" s="70"/>
      <c r="K4" s="70"/>
      <c r="L4" s="70"/>
      <c r="M4" s="70"/>
      <c r="N4" s="71"/>
      <c r="O4" s="72" t="s">
        <v>206</v>
      </c>
      <c r="P4" s="71"/>
      <c r="Q4" s="67"/>
      <c r="R4" s="4"/>
      <c r="S4" s="4"/>
      <c r="T4" s="4"/>
      <c r="U4" s="4"/>
      <c r="V4" s="4"/>
      <c r="W4" s="4"/>
      <c r="X4" s="57"/>
      <c r="Y4" s="270"/>
      <c r="Z4" s="57"/>
      <c r="AA4" s="268"/>
      <c r="AB4" s="268"/>
      <c r="AC4" s="268"/>
    </row>
    <row r="5" spans="1:33" s="73" customFormat="1" ht="18.75" customHeight="1" x14ac:dyDescent="0.25">
      <c r="A5" s="271"/>
      <c r="B5" s="272"/>
      <c r="C5" s="164" t="s">
        <v>39</v>
      </c>
      <c r="D5" s="159" t="s">
        <v>6</v>
      </c>
      <c r="E5" s="165" t="s">
        <v>40</v>
      </c>
      <c r="F5" s="159" t="s">
        <v>6</v>
      </c>
      <c r="G5" s="165" t="s">
        <v>2</v>
      </c>
      <c r="H5" s="163" t="s">
        <v>6</v>
      </c>
      <c r="I5" s="164" t="s">
        <v>39</v>
      </c>
      <c r="J5" s="159" t="s">
        <v>6</v>
      </c>
      <c r="K5" s="165" t="s">
        <v>40</v>
      </c>
      <c r="L5" s="159" t="s">
        <v>6</v>
      </c>
      <c r="M5" s="165" t="s">
        <v>2</v>
      </c>
      <c r="N5" s="163" t="s">
        <v>6</v>
      </c>
      <c r="O5" s="120" t="s">
        <v>34</v>
      </c>
      <c r="P5" s="163" t="s">
        <v>6</v>
      </c>
      <c r="Q5" s="67"/>
      <c r="R5" s="4"/>
      <c r="S5" s="4"/>
      <c r="T5" s="4"/>
      <c r="U5" s="4"/>
      <c r="V5" s="4"/>
      <c r="W5" s="4"/>
      <c r="X5" s="57"/>
      <c r="Y5" s="270"/>
      <c r="Z5" s="57"/>
      <c r="AA5" s="268"/>
      <c r="AB5" s="268"/>
      <c r="AC5" s="268"/>
      <c r="AE5" s="273"/>
    </row>
    <row r="6" spans="1:33" s="73" customFormat="1" ht="18.75" customHeight="1" x14ac:dyDescent="0.25">
      <c r="A6" s="223">
        <v>1</v>
      </c>
      <c r="B6" s="274" t="s">
        <v>45</v>
      </c>
      <c r="C6" s="275">
        <v>579232.99999999837</v>
      </c>
      <c r="D6" s="276">
        <f t="shared" ref="D6:D19" si="0">C6/C$46</f>
        <v>6.7502065909354855E-2</v>
      </c>
      <c r="E6" s="277">
        <v>50</v>
      </c>
      <c r="F6" s="276">
        <f t="shared" ref="F6:F13" si="1">E6/E$46</f>
        <v>3.0769230769230771E-2</v>
      </c>
      <c r="G6" s="278">
        <f t="shared" ref="G6:G19" si="2">SUM(C6,E6)</f>
        <v>579282.99999999837</v>
      </c>
      <c r="H6" s="279">
        <f t="shared" ref="H6:H19" si="3">G6/G$46</f>
        <v>6.7495111034055796E-2</v>
      </c>
      <c r="I6" s="280">
        <v>886.7387183999964</v>
      </c>
      <c r="J6" s="276">
        <f t="shared" ref="J6:J19" si="4">I6/I$46</f>
        <v>4.5660217080164552E-2</v>
      </c>
      <c r="K6" s="281">
        <v>97.904707599999952</v>
      </c>
      <c r="L6" s="276">
        <f t="shared" ref="L6:L19" si="5">K6/K$46</f>
        <v>2.2001483656050737E-2</v>
      </c>
      <c r="M6" s="282">
        <f t="shared" ref="M6:M19" si="6">SUM(I6,K6)</f>
        <v>984.64342599999634</v>
      </c>
      <c r="N6" s="279">
        <f t="shared" ref="N6:N19" si="7">M6/M$46</f>
        <v>4.1249742223161072E-2</v>
      </c>
      <c r="O6" s="280">
        <v>231069.73893040119</v>
      </c>
      <c r="P6" s="283">
        <f t="shared" ref="P6:P19" si="8">O6/O$46</f>
        <v>5.3124431851814945E-2</v>
      </c>
      <c r="Q6" s="67"/>
      <c r="R6" s="4"/>
      <c r="S6" s="4"/>
      <c r="T6" s="4"/>
      <c r="U6" s="4"/>
      <c r="V6" s="4"/>
      <c r="W6" s="4"/>
      <c r="X6" s="57"/>
      <c r="Y6" s="270"/>
      <c r="Z6" s="57"/>
      <c r="AA6" s="268"/>
      <c r="AB6" s="268"/>
      <c r="AC6" s="268"/>
    </row>
    <row r="7" spans="1:33" s="73" customFormat="1" ht="18.75" customHeight="1" x14ac:dyDescent="0.25">
      <c r="A7" s="232">
        <v>2</v>
      </c>
      <c r="B7" s="284" t="s">
        <v>46</v>
      </c>
      <c r="C7" s="285">
        <v>343081.99999999901</v>
      </c>
      <c r="D7" s="286">
        <f t="shared" si="0"/>
        <v>3.9981740985602136E-2</v>
      </c>
      <c r="E7" s="287"/>
      <c r="F7" s="286"/>
      <c r="G7" s="288">
        <f t="shared" si="2"/>
        <v>343081.99999999901</v>
      </c>
      <c r="H7" s="289">
        <f t="shared" si="3"/>
        <v>3.997417097305795E-2</v>
      </c>
      <c r="I7" s="290">
        <v>348.01924790000356</v>
      </c>
      <c r="J7" s="286">
        <f t="shared" si="4"/>
        <v>1.7920311899611567E-2</v>
      </c>
      <c r="K7" s="291">
        <v>0</v>
      </c>
      <c r="L7" s="286">
        <f t="shared" si="5"/>
        <v>0</v>
      </c>
      <c r="M7" s="292">
        <f t="shared" si="6"/>
        <v>348.01924790000356</v>
      </c>
      <c r="N7" s="289">
        <f t="shared" si="7"/>
        <v>1.4579596923621353E-2</v>
      </c>
      <c r="O7" s="290">
        <v>81511.770106862707</v>
      </c>
      <c r="P7" s="293">
        <f t="shared" si="8"/>
        <v>1.8740084687017898E-2</v>
      </c>
      <c r="Q7" s="67"/>
      <c r="R7" s="4"/>
      <c r="S7" s="4"/>
      <c r="T7" s="4"/>
      <c r="U7" s="4"/>
      <c r="V7" s="4"/>
      <c r="W7" s="4"/>
      <c r="X7" s="57"/>
      <c r="Y7" s="270"/>
      <c r="Z7" s="57"/>
      <c r="AA7" s="268"/>
      <c r="AB7" s="268"/>
      <c r="AC7" s="268"/>
      <c r="AD7" s="10"/>
    </row>
    <row r="8" spans="1:33" s="73" customFormat="1" ht="18.75" customHeight="1" x14ac:dyDescent="0.25">
      <c r="A8" s="232">
        <v>3</v>
      </c>
      <c r="B8" s="284" t="s">
        <v>43</v>
      </c>
      <c r="C8" s="285">
        <v>655382.00000000186</v>
      </c>
      <c r="D8" s="286">
        <f t="shared" si="0"/>
        <v>7.6376240579879004E-2</v>
      </c>
      <c r="E8" s="287">
        <v>7</v>
      </c>
      <c r="F8" s="286">
        <f t="shared" si="1"/>
        <v>4.3076923076923075E-3</v>
      </c>
      <c r="G8" s="288">
        <f t="shared" si="2"/>
        <v>655389.00000000186</v>
      </c>
      <c r="H8" s="289">
        <f t="shared" si="3"/>
        <v>7.6362595355808902E-2</v>
      </c>
      <c r="I8" s="290">
        <v>695.16159090000224</v>
      </c>
      <c r="J8" s="286">
        <f t="shared" si="4"/>
        <v>3.579546994808068E-2</v>
      </c>
      <c r="K8" s="291">
        <v>42.61249449999999</v>
      </c>
      <c r="L8" s="286">
        <f t="shared" si="5"/>
        <v>9.5760267740721203E-3</v>
      </c>
      <c r="M8" s="292">
        <f t="shared" si="6"/>
        <v>737.77408540000226</v>
      </c>
      <c r="N8" s="289">
        <f t="shared" si="7"/>
        <v>3.0907626088876795E-2</v>
      </c>
      <c r="O8" s="290">
        <v>177404.45016463718</v>
      </c>
      <c r="P8" s="293">
        <f t="shared" si="8"/>
        <v>4.0786433855878705E-2</v>
      </c>
      <c r="Q8" s="67"/>
      <c r="R8" s="4"/>
      <c r="S8" s="4"/>
      <c r="T8" s="4"/>
      <c r="U8" s="4"/>
      <c r="V8" s="4"/>
      <c r="W8" s="4"/>
      <c r="X8" s="57"/>
      <c r="Y8" s="270"/>
      <c r="Z8" s="57"/>
      <c r="AA8" s="268"/>
      <c r="AB8" s="268"/>
      <c r="AC8" s="268"/>
    </row>
    <row r="9" spans="1:33" s="73" customFormat="1" ht="18.75" customHeight="1" x14ac:dyDescent="0.25">
      <c r="A9" s="232">
        <v>4</v>
      </c>
      <c r="B9" s="284" t="s">
        <v>48</v>
      </c>
      <c r="C9" s="285">
        <v>108177.0000000001</v>
      </c>
      <c r="D9" s="286">
        <f t="shared" si="0"/>
        <v>1.2606621141882986E-2</v>
      </c>
      <c r="E9" s="287">
        <v>4</v>
      </c>
      <c r="F9" s="286">
        <f t="shared" si="1"/>
        <v>2.4615384615384616E-3</v>
      </c>
      <c r="G9" s="288">
        <f t="shared" si="2"/>
        <v>108181.0000000001</v>
      </c>
      <c r="H9" s="289">
        <f t="shared" si="3"/>
        <v>1.2604700304989475E-2</v>
      </c>
      <c r="I9" s="290">
        <v>324.35904400000044</v>
      </c>
      <c r="J9" s="286">
        <f t="shared" si="4"/>
        <v>1.6701993556431049E-2</v>
      </c>
      <c r="K9" s="291">
        <v>7.2747790000000006</v>
      </c>
      <c r="L9" s="286">
        <f t="shared" si="5"/>
        <v>1.6348134343427752E-3</v>
      </c>
      <c r="M9" s="292">
        <f t="shared" si="6"/>
        <v>331.63382300000046</v>
      </c>
      <c r="N9" s="289">
        <f t="shared" si="7"/>
        <v>1.389316106725471E-2</v>
      </c>
      <c r="O9" s="290">
        <v>70480.153507284747</v>
      </c>
      <c r="P9" s="293">
        <f t="shared" si="8"/>
        <v>1.6203844472386639E-2</v>
      </c>
      <c r="Q9" s="67"/>
      <c r="R9" s="4"/>
      <c r="S9" s="4"/>
      <c r="T9" s="4"/>
      <c r="U9" s="4"/>
      <c r="V9" s="4"/>
      <c r="W9" s="4"/>
      <c r="X9" s="57"/>
      <c r="Y9" s="270"/>
      <c r="Z9" s="57"/>
      <c r="AA9" s="268"/>
      <c r="AB9" s="268"/>
      <c r="AC9" s="268"/>
    </row>
    <row r="10" spans="1:33" s="73" customFormat="1" ht="18.75" customHeight="1" x14ac:dyDescent="0.25">
      <c r="A10" s="232">
        <v>5</v>
      </c>
      <c r="B10" s="284" t="s">
        <v>41</v>
      </c>
      <c r="C10" s="285">
        <v>952794.99999999278</v>
      </c>
      <c r="D10" s="286">
        <f t="shared" si="0"/>
        <v>0.1110358541176063</v>
      </c>
      <c r="E10" s="287">
        <v>8</v>
      </c>
      <c r="F10" s="286">
        <f t="shared" si="1"/>
        <v>4.9230769230769232E-3</v>
      </c>
      <c r="G10" s="288">
        <f t="shared" si="2"/>
        <v>952802.99999999278</v>
      </c>
      <c r="H10" s="289">
        <f t="shared" si="3"/>
        <v>0.11101576307017669</v>
      </c>
      <c r="I10" s="290">
        <v>969.60376603998407</v>
      </c>
      <c r="J10" s="286">
        <f t="shared" si="4"/>
        <v>4.9927129063467919E-2</v>
      </c>
      <c r="K10" s="291">
        <v>5.8425820000000002</v>
      </c>
      <c r="L10" s="286">
        <f t="shared" si="5"/>
        <v>1.3129651835264383E-3</v>
      </c>
      <c r="M10" s="292">
        <f t="shared" si="6"/>
        <v>975.44634803998406</v>
      </c>
      <c r="N10" s="289">
        <f t="shared" si="7"/>
        <v>4.0864448333983339E-2</v>
      </c>
      <c r="O10" s="290">
        <v>252007.48717311412</v>
      </c>
      <c r="P10" s="293">
        <f t="shared" si="8"/>
        <v>5.7938155988948671E-2</v>
      </c>
      <c r="Q10" s="67"/>
      <c r="R10" s="4"/>
      <c r="S10" s="4"/>
      <c r="T10" s="4"/>
      <c r="U10" s="4"/>
      <c r="V10" s="4"/>
      <c r="W10" s="4"/>
      <c r="X10" s="57"/>
      <c r="Y10" s="270"/>
      <c r="Z10" s="57"/>
      <c r="AA10" s="268"/>
      <c r="AB10" s="268"/>
      <c r="AC10" s="268"/>
    </row>
    <row r="11" spans="1:33" s="73" customFormat="1" ht="18.75" customHeight="1" x14ac:dyDescent="0.25">
      <c r="A11" s="232">
        <v>6</v>
      </c>
      <c r="B11" s="284" t="s">
        <v>42</v>
      </c>
      <c r="C11" s="285">
        <v>563700.00000000175</v>
      </c>
      <c r="D11" s="286">
        <f t="shared" si="0"/>
        <v>6.5691896962195795E-2</v>
      </c>
      <c r="E11" s="287">
        <v>81.000000000000014</v>
      </c>
      <c r="F11" s="286">
        <f t="shared" si="1"/>
        <v>4.9846153846153853E-2</v>
      </c>
      <c r="G11" s="288">
        <f t="shared" si="2"/>
        <v>563781.00000000175</v>
      </c>
      <c r="H11" s="289">
        <f t="shared" si="3"/>
        <v>6.5688896780832923E-2</v>
      </c>
      <c r="I11" s="290">
        <v>990.61162512999783</v>
      </c>
      <c r="J11" s="286">
        <f t="shared" si="4"/>
        <v>5.1008872069085553E-2</v>
      </c>
      <c r="K11" s="291">
        <v>297.1030308000004</v>
      </c>
      <c r="L11" s="286">
        <f t="shared" si="5"/>
        <v>6.6766018065400473E-2</v>
      </c>
      <c r="M11" s="292">
        <f t="shared" si="6"/>
        <v>1287.7146559299981</v>
      </c>
      <c r="N11" s="289">
        <f t="shared" si="7"/>
        <v>5.394632839817403E-2</v>
      </c>
      <c r="O11" s="290">
        <v>244320.0251934501</v>
      </c>
      <c r="P11" s="293">
        <f t="shared" si="8"/>
        <v>5.6170758613842416E-2</v>
      </c>
      <c r="Q11" s="67"/>
      <c r="R11" s="4"/>
      <c r="S11" s="4"/>
      <c r="T11" s="4"/>
      <c r="U11" s="4"/>
      <c r="V11" s="4"/>
      <c r="W11" s="4"/>
      <c r="X11" s="57"/>
      <c r="Y11" s="270"/>
      <c r="Z11" s="57"/>
      <c r="AA11" s="268"/>
      <c r="AB11" s="268"/>
      <c r="AC11" s="268"/>
    </row>
    <row r="12" spans="1:33" s="73" customFormat="1" ht="18.75" customHeight="1" x14ac:dyDescent="0.25">
      <c r="A12" s="232">
        <v>7</v>
      </c>
      <c r="B12" s="284" t="s">
        <v>44</v>
      </c>
      <c r="C12" s="285">
        <v>432255.00000000134</v>
      </c>
      <c r="D12" s="286">
        <f t="shared" si="0"/>
        <v>5.0373693314518263E-2</v>
      </c>
      <c r="E12" s="287">
        <v>62</v>
      </c>
      <c r="F12" s="286">
        <f t="shared" si="1"/>
        <v>3.8153846153846156E-2</v>
      </c>
      <c r="G12" s="288">
        <f t="shared" si="2"/>
        <v>432317.00000000134</v>
      </c>
      <c r="H12" s="289">
        <f t="shared" si="3"/>
        <v>5.0371379648479361E-2</v>
      </c>
      <c r="I12" s="290">
        <v>696.10496579000232</v>
      </c>
      <c r="J12" s="286">
        <f t="shared" si="4"/>
        <v>3.5844046491961726E-2</v>
      </c>
      <c r="K12" s="291">
        <v>121.58076042999987</v>
      </c>
      <c r="L12" s="286">
        <f t="shared" si="5"/>
        <v>2.7322047928682681E-2</v>
      </c>
      <c r="M12" s="292">
        <f t="shared" si="6"/>
        <v>817.68572622000215</v>
      </c>
      <c r="N12" s="289">
        <f t="shared" si="7"/>
        <v>3.425537055902049E-2</v>
      </c>
      <c r="O12" s="290">
        <v>152044.30598357788</v>
      </c>
      <c r="P12" s="293">
        <f t="shared" si="8"/>
        <v>3.4955972205923412E-2</v>
      </c>
      <c r="Q12" s="67"/>
      <c r="R12" s="4"/>
      <c r="S12" s="4"/>
      <c r="T12" s="4"/>
      <c r="U12" s="4"/>
      <c r="V12" s="4"/>
      <c r="W12" s="4"/>
      <c r="X12" s="57"/>
      <c r="Y12" s="270"/>
      <c r="Z12" s="57"/>
      <c r="AA12" s="268"/>
      <c r="AB12" s="268"/>
      <c r="AC12" s="268"/>
      <c r="AE12" s="10"/>
      <c r="AF12" s="10"/>
    </row>
    <row r="13" spans="1:33" s="73" customFormat="1" ht="18.75" customHeight="1" x14ac:dyDescent="0.25">
      <c r="A13" s="232">
        <v>8</v>
      </c>
      <c r="B13" s="284" t="s">
        <v>47</v>
      </c>
      <c r="C13" s="285">
        <v>193028.00000000026</v>
      </c>
      <c r="D13" s="286">
        <f t="shared" si="0"/>
        <v>2.2494900632993982E-2</v>
      </c>
      <c r="E13" s="287">
        <v>20.000000000000004</v>
      </c>
      <c r="F13" s="286">
        <f t="shared" si="1"/>
        <v>1.2307692307692309E-2</v>
      </c>
      <c r="G13" s="288">
        <f t="shared" si="2"/>
        <v>193048.00000000026</v>
      </c>
      <c r="H13" s="289">
        <f t="shared" si="3"/>
        <v>2.2492971820168135E-2</v>
      </c>
      <c r="I13" s="290">
        <v>374.56616879999797</v>
      </c>
      <c r="J13" s="286">
        <f t="shared" si="4"/>
        <v>1.9287273943730768E-2</v>
      </c>
      <c r="K13" s="291">
        <v>45.754992800000004</v>
      </c>
      <c r="L13" s="286">
        <f t="shared" si="5"/>
        <v>1.028221983344057E-2</v>
      </c>
      <c r="M13" s="292">
        <f t="shared" si="6"/>
        <v>420.32116159999799</v>
      </c>
      <c r="N13" s="289">
        <f t="shared" si="7"/>
        <v>1.7608546514522313E-2</v>
      </c>
      <c r="O13" s="290">
        <v>75436.497449847011</v>
      </c>
      <c r="P13" s="293">
        <f t="shared" si="8"/>
        <v>1.7343340094918641E-2</v>
      </c>
      <c r="Q13" s="67"/>
      <c r="R13" s="4"/>
      <c r="S13" s="4"/>
      <c r="T13" s="4"/>
      <c r="U13" s="4"/>
      <c r="V13" s="4"/>
      <c r="W13" s="4"/>
      <c r="X13" s="57"/>
      <c r="Y13" s="294"/>
      <c r="Z13" s="57"/>
      <c r="AA13" s="268"/>
      <c r="AB13" s="268"/>
      <c r="AC13" s="295"/>
      <c r="AE13" s="296"/>
      <c r="AF13" s="296"/>
      <c r="AG13" s="296"/>
    </row>
    <row r="14" spans="1:33" s="73" customFormat="1" ht="18.75" customHeight="1" x14ac:dyDescent="0.25">
      <c r="A14" s="232">
        <v>9</v>
      </c>
      <c r="B14" s="284" t="s">
        <v>240</v>
      </c>
      <c r="C14" s="285">
        <v>11423</v>
      </c>
      <c r="D14" s="286">
        <f t="shared" si="0"/>
        <v>1.3312019496171017E-3</v>
      </c>
      <c r="E14" s="287"/>
      <c r="F14" s="286"/>
      <c r="G14" s="288">
        <f t="shared" si="2"/>
        <v>11423</v>
      </c>
      <c r="H14" s="289">
        <f t="shared" si="3"/>
        <v>1.3309499041781331E-3</v>
      </c>
      <c r="I14" s="290">
        <v>16.048251269999987</v>
      </c>
      <c r="J14" s="286">
        <f t="shared" si="4"/>
        <v>8.2636138643794323E-4</v>
      </c>
      <c r="K14" s="291">
        <v>0</v>
      </c>
      <c r="L14" s="286">
        <f t="shared" si="5"/>
        <v>0</v>
      </c>
      <c r="M14" s="292">
        <f t="shared" si="6"/>
        <v>16.048251269999987</v>
      </c>
      <c r="N14" s="289">
        <f t="shared" si="7"/>
        <v>6.7231061574164123E-4</v>
      </c>
      <c r="O14" s="290">
        <v>0</v>
      </c>
      <c r="P14" s="293">
        <f t="shared" si="8"/>
        <v>0</v>
      </c>
      <c r="Q14" s="67"/>
      <c r="R14" s="4"/>
      <c r="S14" s="4"/>
      <c r="T14" s="4"/>
      <c r="U14" s="297"/>
      <c r="V14" s="4"/>
      <c r="W14" s="4"/>
      <c r="X14" s="57"/>
      <c r="Y14" s="270"/>
      <c r="Z14" s="57"/>
      <c r="AA14" s="268"/>
      <c r="AB14" s="298"/>
      <c r="AC14" s="295"/>
      <c r="AE14" s="296"/>
      <c r="AF14" s="296"/>
      <c r="AG14" s="296"/>
    </row>
    <row r="15" spans="1:33" s="73" customFormat="1" ht="18.75" customHeight="1" x14ac:dyDescent="0.25">
      <c r="A15" s="232">
        <v>10</v>
      </c>
      <c r="B15" s="284" t="s">
        <v>189</v>
      </c>
      <c r="C15" s="285">
        <v>31649.999999999982</v>
      </c>
      <c r="D15" s="286">
        <f t="shared" si="0"/>
        <v>3.68839549202322E-3</v>
      </c>
      <c r="E15" s="287">
        <v>2</v>
      </c>
      <c r="F15" s="286">
        <f>E15/E$46</f>
        <v>1.2307692307692308E-3</v>
      </c>
      <c r="G15" s="288">
        <f t="shared" si="2"/>
        <v>31651.999999999982</v>
      </c>
      <c r="H15" s="289">
        <f t="shared" si="3"/>
        <v>3.6879301730759211E-3</v>
      </c>
      <c r="I15" s="290">
        <v>29.509069300000085</v>
      </c>
      <c r="J15" s="286">
        <f t="shared" si="4"/>
        <v>1.519489881419425E-3</v>
      </c>
      <c r="K15" s="291">
        <v>4.2416549999999997</v>
      </c>
      <c r="L15" s="286">
        <f t="shared" si="5"/>
        <v>9.5319934500377311E-4</v>
      </c>
      <c r="M15" s="292">
        <f t="shared" si="6"/>
        <v>33.750724300000087</v>
      </c>
      <c r="N15" s="289">
        <f t="shared" si="7"/>
        <v>1.4139216699751644E-3</v>
      </c>
      <c r="O15" s="290">
        <v>10523.850444328818</v>
      </c>
      <c r="P15" s="293">
        <f t="shared" si="8"/>
        <v>2.4195014818311333E-3</v>
      </c>
      <c r="Q15" s="67"/>
      <c r="R15" s="4"/>
      <c r="S15" s="4"/>
      <c r="T15" s="4"/>
      <c r="U15" s="4"/>
      <c r="V15" s="4"/>
      <c r="W15" s="4"/>
      <c r="X15" s="4"/>
      <c r="Y15" s="4"/>
      <c r="Z15" s="4"/>
      <c r="AA15" s="268"/>
      <c r="AB15" s="268"/>
      <c r="AC15" s="295"/>
      <c r="AE15" s="296"/>
      <c r="AF15" s="296"/>
      <c r="AG15" s="296"/>
    </row>
    <row r="16" spans="1:33" s="73" customFormat="1" ht="18.75" customHeight="1" x14ac:dyDescent="0.25">
      <c r="A16" s="232">
        <v>11</v>
      </c>
      <c r="B16" s="284" t="s">
        <v>190</v>
      </c>
      <c r="C16" s="285">
        <v>13541.000000000004</v>
      </c>
      <c r="D16" s="286">
        <f t="shared" si="0"/>
        <v>1.5780272782776135E-3</v>
      </c>
      <c r="E16" s="287"/>
      <c r="F16" s="286"/>
      <c r="G16" s="288">
        <f t="shared" ref="G16" si="9">SUM(C16,E16)</f>
        <v>13541.000000000004</v>
      </c>
      <c r="H16" s="289">
        <f t="shared" si="3"/>
        <v>1.5777284997352803E-3</v>
      </c>
      <c r="I16" s="290">
        <v>19.215842500000011</v>
      </c>
      <c r="J16" s="286">
        <f t="shared" si="4"/>
        <v>9.8946794779797677E-4</v>
      </c>
      <c r="K16" s="291">
        <v>0</v>
      </c>
      <c r="L16" s="286">
        <f t="shared" si="5"/>
        <v>0</v>
      </c>
      <c r="M16" s="292">
        <f t="shared" ref="M16" si="10">SUM(I16,K16)</f>
        <v>19.215842500000011</v>
      </c>
      <c r="N16" s="289">
        <f t="shared" si="7"/>
        <v>8.050107569863229E-4</v>
      </c>
      <c r="O16" s="290">
        <v>4821.3576913817578</v>
      </c>
      <c r="P16" s="293">
        <f t="shared" si="8"/>
        <v>1.1084614077751722E-3</v>
      </c>
      <c r="Q16" s="67"/>
      <c r="R16" s="4"/>
      <c r="S16" s="4"/>
      <c r="T16" s="4"/>
      <c r="U16" s="4"/>
      <c r="V16" s="4"/>
      <c r="W16" s="4"/>
      <c r="X16" s="4"/>
      <c r="Y16" s="4"/>
      <c r="Z16" s="4"/>
      <c r="AA16" s="268"/>
      <c r="AB16" s="268"/>
      <c r="AC16" s="295"/>
      <c r="AE16" s="296"/>
      <c r="AF16" s="296"/>
      <c r="AG16" s="296"/>
    </row>
    <row r="17" spans="1:33" s="73" customFormat="1" ht="18.75" customHeight="1" x14ac:dyDescent="0.25">
      <c r="A17" s="232">
        <v>12</v>
      </c>
      <c r="B17" s="284" t="s">
        <v>98</v>
      </c>
      <c r="C17" s="285">
        <v>1021347.0000000027</v>
      </c>
      <c r="D17" s="286">
        <f t="shared" si="0"/>
        <v>0.11902469733306326</v>
      </c>
      <c r="E17" s="287">
        <v>80.000000000000014</v>
      </c>
      <c r="F17" s="286">
        <f>E17/E$46</f>
        <v>4.9230769230769238E-2</v>
      </c>
      <c r="G17" s="288">
        <f t="shared" si="2"/>
        <v>1021427.0000000027</v>
      </c>
      <c r="H17" s="289">
        <f t="shared" si="3"/>
        <v>0.11901148277816349</v>
      </c>
      <c r="I17" s="290">
        <v>1581.7504501000037</v>
      </c>
      <c r="J17" s="286">
        <f t="shared" si="4"/>
        <v>8.1447970433197292E-2</v>
      </c>
      <c r="K17" s="291">
        <v>352.84532314</v>
      </c>
      <c r="L17" s="286">
        <f t="shared" si="5"/>
        <v>7.9292618306932711E-2</v>
      </c>
      <c r="M17" s="292">
        <f t="shared" si="6"/>
        <v>1934.5957732400038</v>
      </c>
      <c r="N17" s="289">
        <f t="shared" si="7"/>
        <v>8.1046168435158397E-2</v>
      </c>
      <c r="O17" s="290">
        <v>363312.79328348185</v>
      </c>
      <c r="P17" s="293">
        <f t="shared" si="8"/>
        <v>8.3527967863824479E-2</v>
      </c>
      <c r="Q17" s="67"/>
      <c r="R17" s="4"/>
      <c r="S17" s="4"/>
      <c r="T17" s="4"/>
      <c r="U17" s="4"/>
      <c r="V17" s="4"/>
      <c r="W17" s="4"/>
      <c r="X17" s="4"/>
      <c r="Y17" s="4"/>
      <c r="Z17" s="4"/>
      <c r="AA17" s="268"/>
      <c r="AB17" s="268"/>
      <c r="AC17" s="295"/>
      <c r="AE17" s="296"/>
      <c r="AF17" s="296"/>
      <c r="AG17" s="296"/>
    </row>
    <row r="18" spans="1:33" s="73" customFormat="1" ht="18.75" customHeight="1" x14ac:dyDescent="0.25">
      <c r="A18" s="232">
        <v>13</v>
      </c>
      <c r="B18" s="284" t="s">
        <v>95</v>
      </c>
      <c r="C18" s="285">
        <v>15691.000000000002</v>
      </c>
      <c r="D18" s="286">
        <f t="shared" si="0"/>
        <v>1.8285817903739776E-3</v>
      </c>
      <c r="E18" s="287"/>
      <c r="F18" s="286"/>
      <c r="G18" s="288">
        <f t="shared" si="2"/>
        <v>15691.000000000002</v>
      </c>
      <c r="H18" s="289">
        <f t="shared" si="3"/>
        <v>1.8282355726568407E-3</v>
      </c>
      <c r="I18" s="290">
        <v>22.187959899999967</v>
      </c>
      <c r="J18" s="286">
        <f t="shared" si="4"/>
        <v>1.1425091118475162E-3</v>
      </c>
      <c r="K18" s="291">
        <v>0</v>
      </c>
      <c r="L18" s="286">
        <f t="shared" si="5"/>
        <v>0</v>
      </c>
      <c r="M18" s="292">
        <f t="shared" si="6"/>
        <v>22.187959899999967</v>
      </c>
      <c r="N18" s="289">
        <f t="shared" si="7"/>
        <v>9.2952189814634147E-4</v>
      </c>
      <c r="O18" s="290">
        <v>4325.636977229231</v>
      </c>
      <c r="P18" s="293">
        <f t="shared" si="8"/>
        <v>9.9449200001788438E-4</v>
      </c>
      <c r="Q18" s="67"/>
      <c r="R18" s="4"/>
      <c r="S18" s="4"/>
      <c r="T18" s="4"/>
      <c r="U18" s="4"/>
      <c r="V18" s="4"/>
      <c r="W18" s="4"/>
      <c r="X18" s="4"/>
      <c r="Y18" s="4"/>
      <c r="Z18" s="4"/>
      <c r="AA18" s="268"/>
      <c r="AB18" s="268"/>
      <c r="AC18" s="295"/>
      <c r="AE18" s="296"/>
      <c r="AF18" s="296"/>
      <c r="AG18" s="296"/>
    </row>
    <row r="19" spans="1:33" s="73" customFormat="1" ht="18.75" customHeight="1" thickBot="1" x14ac:dyDescent="0.3">
      <c r="A19" s="232">
        <v>14</v>
      </c>
      <c r="B19" s="284" t="s">
        <v>96</v>
      </c>
      <c r="C19" s="285">
        <v>491604.00000000169</v>
      </c>
      <c r="D19" s="286">
        <f t="shared" si="0"/>
        <v>5.7290046681219287E-2</v>
      </c>
      <c r="E19" s="287">
        <v>76.999999999999986</v>
      </c>
      <c r="F19" s="286">
        <f>E19/E$46</f>
        <v>4.7384615384615379E-2</v>
      </c>
      <c r="G19" s="288">
        <f t="shared" si="2"/>
        <v>491681.00000000169</v>
      </c>
      <c r="H19" s="289">
        <f t="shared" si="3"/>
        <v>5.728817121913779E-2</v>
      </c>
      <c r="I19" s="290">
        <v>892.10285509999665</v>
      </c>
      <c r="J19" s="286">
        <f t="shared" si="4"/>
        <v>4.5936428822233998E-2</v>
      </c>
      <c r="K19" s="291">
        <v>212.52211810000026</v>
      </c>
      <c r="L19" s="286">
        <f t="shared" si="5"/>
        <v>4.7758703565408969E-2</v>
      </c>
      <c r="M19" s="292">
        <f t="shared" si="6"/>
        <v>1104.6249731999969</v>
      </c>
      <c r="N19" s="289">
        <f t="shared" si="7"/>
        <v>4.6276138340628346E-2</v>
      </c>
      <c r="O19" s="290">
        <v>205050.12883363399</v>
      </c>
      <c r="P19" s="293">
        <f t="shared" si="8"/>
        <v>4.7142354710104709E-2</v>
      </c>
      <c r="Q19" s="67"/>
      <c r="R19" s="4"/>
      <c r="S19" s="4"/>
      <c r="T19" s="4"/>
      <c r="U19" s="4"/>
      <c r="V19" s="4"/>
      <c r="W19" s="4"/>
      <c r="X19" s="4"/>
      <c r="Y19" s="4"/>
      <c r="Z19" s="4"/>
      <c r="AA19" s="268"/>
      <c r="AB19" s="268"/>
      <c r="AC19" s="295"/>
      <c r="AE19" s="296"/>
      <c r="AF19" s="296"/>
      <c r="AG19" s="296"/>
    </row>
    <row r="20" spans="1:33" s="73" customFormat="1" ht="18.75" customHeight="1" thickTop="1" thickBot="1" x14ac:dyDescent="0.3">
      <c r="A20" s="299"/>
      <c r="B20" s="300" t="s">
        <v>2</v>
      </c>
      <c r="C20" s="301">
        <f>SUM(C6:C19)</f>
        <v>5412908</v>
      </c>
      <c r="D20" s="302"/>
      <c r="E20" s="303">
        <f>SUM(E6:E19)</f>
        <v>391</v>
      </c>
      <c r="F20" s="304"/>
      <c r="G20" s="305">
        <f>SUM(G6:G19)</f>
        <v>5413299</v>
      </c>
      <c r="H20" s="302">
        <f>SUM(H6:H19)</f>
        <v>0.63073008713451673</v>
      </c>
      <c r="I20" s="306">
        <f>SUM(I6:I19)</f>
        <v>7845.9795551299858</v>
      </c>
      <c r="J20" s="304"/>
      <c r="K20" s="136">
        <f>SUM(K6:K19)</f>
        <v>1187.6824433700003</v>
      </c>
      <c r="L20" s="304"/>
      <c r="M20" s="307">
        <f>SUM(M6:M19)</f>
        <v>9033.6619984999852</v>
      </c>
      <c r="N20" s="302">
        <f>SUM(N6:N19)</f>
        <v>0.37844789182525024</v>
      </c>
      <c r="O20" s="308">
        <f>SUM(O6:O19)</f>
        <v>1872308.1957392306</v>
      </c>
      <c r="P20" s="309">
        <f>SUM(P6:P19)</f>
        <v>0.43045579923428462</v>
      </c>
      <c r="Q20" s="142"/>
      <c r="R20" s="268"/>
      <c r="S20" s="268"/>
      <c r="T20" s="4"/>
      <c r="U20" s="4"/>
      <c r="V20" s="4"/>
      <c r="W20" s="4"/>
      <c r="X20" s="4"/>
      <c r="Y20" s="268"/>
      <c r="Z20" s="4"/>
      <c r="AA20" s="268"/>
      <c r="AB20" s="268"/>
      <c r="AC20" s="268"/>
      <c r="AE20" s="296"/>
      <c r="AF20" s="296"/>
      <c r="AG20" s="296"/>
    </row>
    <row r="21" spans="1:33" s="73" customFormat="1" ht="15" customHeight="1" x14ac:dyDescent="0.25">
      <c r="A21" s="310" t="s">
        <v>193</v>
      </c>
      <c r="B21" s="6"/>
      <c r="C21" s="115"/>
      <c r="D21" s="311"/>
      <c r="E21" s="115"/>
      <c r="F21" s="311"/>
      <c r="G21" s="312"/>
      <c r="H21" s="311"/>
      <c r="I21" s="115"/>
      <c r="J21" s="311"/>
      <c r="K21" s="115"/>
      <c r="L21" s="311"/>
      <c r="M21" s="313"/>
      <c r="N21" s="311"/>
      <c r="O21" s="67"/>
      <c r="P21" s="67"/>
      <c r="Q21" s="67"/>
      <c r="R21" s="4"/>
      <c r="S21" s="4"/>
      <c r="T21" s="4"/>
      <c r="U21" s="4"/>
      <c r="V21" s="4"/>
      <c r="W21" s="4"/>
      <c r="X21" s="4"/>
      <c r="Y21" s="268"/>
      <c r="Z21" s="4"/>
      <c r="AA21" s="268"/>
      <c r="AB21" s="268"/>
      <c r="AC21" s="268"/>
      <c r="AE21" s="296"/>
      <c r="AF21" s="296"/>
      <c r="AG21" s="296"/>
    </row>
    <row r="22" spans="1:33" s="73" customFormat="1" ht="15" customHeight="1" x14ac:dyDescent="0.25">
      <c r="A22" s="310" t="s">
        <v>207</v>
      </c>
      <c r="C22" s="314"/>
      <c r="P22" s="67"/>
      <c r="Q22" s="67"/>
      <c r="R22" s="4"/>
      <c r="S22" s="4"/>
      <c r="T22" s="4"/>
      <c r="U22" s="4"/>
      <c r="V22" s="4"/>
      <c r="W22" s="4"/>
      <c r="X22" s="4"/>
      <c r="Y22" s="268"/>
      <c r="Z22" s="4"/>
      <c r="AA22" s="268"/>
      <c r="AB22" s="268"/>
      <c r="AC22" s="268"/>
      <c r="AE22" s="296"/>
      <c r="AF22" s="296"/>
      <c r="AG22" s="296"/>
    </row>
    <row r="23" spans="1:33" s="73" customFormat="1" ht="18.75" customHeight="1" x14ac:dyDescent="0.25">
      <c r="A23" s="310" t="s">
        <v>241</v>
      </c>
      <c r="C23" s="314"/>
      <c r="P23" s="67"/>
      <c r="Q23" s="67"/>
      <c r="R23" s="4"/>
      <c r="S23" s="4"/>
      <c r="T23" s="4"/>
      <c r="U23" s="4"/>
      <c r="V23" s="4"/>
      <c r="W23" s="4"/>
      <c r="X23" s="4"/>
      <c r="Y23" s="268"/>
      <c r="Z23" s="4"/>
      <c r="AA23" s="268"/>
      <c r="AB23" s="268"/>
      <c r="AC23" s="268"/>
      <c r="AE23" s="296"/>
      <c r="AF23" s="296"/>
      <c r="AG23" s="296"/>
    </row>
    <row r="24" spans="1:33" s="73" customFormat="1" ht="18.75" customHeight="1" x14ac:dyDescent="0.25">
      <c r="A24" s="310"/>
      <c r="C24" s="314"/>
      <c r="P24" s="67"/>
      <c r="Q24" s="67"/>
      <c r="R24" s="4"/>
      <c r="S24" s="4"/>
      <c r="T24" s="4"/>
      <c r="U24" s="4"/>
      <c r="V24" s="4"/>
      <c r="W24" s="4"/>
      <c r="X24" s="4"/>
      <c r="Y24" s="268"/>
      <c r="Z24" s="4"/>
      <c r="AA24" s="268"/>
      <c r="AB24" s="268"/>
      <c r="AC24" s="268"/>
      <c r="AE24" s="296"/>
      <c r="AF24" s="296"/>
      <c r="AG24" s="296"/>
    </row>
    <row r="25" spans="1:33" s="73" customFormat="1" ht="18.75" customHeight="1" thickBot="1" x14ac:dyDescent="0.3">
      <c r="A25" s="267" t="s">
        <v>145</v>
      </c>
      <c r="B25" s="67"/>
      <c r="C25" s="115"/>
      <c r="D25" s="311"/>
      <c r="E25" s="115"/>
      <c r="F25" s="311"/>
      <c r="G25" s="312"/>
      <c r="H25" s="311"/>
      <c r="I25" s="115"/>
      <c r="J25" s="311"/>
      <c r="K25" s="115"/>
      <c r="L25" s="311"/>
      <c r="M25" s="313"/>
      <c r="N25" s="311"/>
      <c r="O25" s="67"/>
      <c r="P25" s="67"/>
      <c r="Q25" s="67"/>
      <c r="R25" s="4"/>
      <c r="S25" s="4"/>
      <c r="T25" s="4"/>
      <c r="U25" s="268"/>
      <c r="V25" s="268"/>
      <c r="W25" s="268"/>
      <c r="X25" s="268"/>
      <c r="Y25" s="268"/>
      <c r="Z25" s="4"/>
      <c r="AA25" s="268"/>
      <c r="AB25" s="268"/>
      <c r="AC25" s="268"/>
      <c r="AE25" s="296"/>
      <c r="AF25" s="296"/>
      <c r="AG25" s="296"/>
    </row>
    <row r="26" spans="1:33" s="73" customFormat="1" ht="18.75" customHeight="1" x14ac:dyDescent="0.25">
      <c r="A26" s="217" t="s">
        <v>5</v>
      </c>
      <c r="B26" s="269" t="s">
        <v>8</v>
      </c>
      <c r="C26" s="72" t="s">
        <v>168</v>
      </c>
      <c r="D26" s="70"/>
      <c r="E26" s="70"/>
      <c r="F26" s="70"/>
      <c r="G26" s="70"/>
      <c r="H26" s="71"/>
      <c r="I26" s="72" t="s">
        <v>170</v>
      </c>
      <c r="J26" s="70"/>
      <c r="K26" s="70"/>
      <c r="L26" s="70"/>
      <c r="M26" s="70"/>
      <c r="N26" s="71"/>
      <c r="O26" s="72" t="s">
        <v>206</v>
      </c>
      <c r="P26" s="71"/>
      <c r="Q26" s="67"/>
      <c r="R26" s="4"/>
      <c r="S26" s="4"/>
      <c r="T26" s="4"/>
      <c r="U26" s="4"/>
      <c r="V26" s="4"/>
      <c r="W26" s="4"/>
      <c r="X26" s="4"/>
      <c r="Y26" s="268"/>
      <c r="Z26" s="4"/>
      <c r="AA26" s="268"/>
      <c r="AB26" s="268"/>
      <c r="AC26" s="268"/>
      <c r="AE26" s="296"/>
      <c r="AF26" s="296"/>
      <c r="AG26" s="296"/>
    </row>
    <row r="27" spans="1:33" s="73" customFormat="1" ht="18.75" customHeight="1" x14ac:dyDescent="0.25">
      <c r="A27" s="271"/>
      <c r="B27" s="272"/>
      <c r="C27" s="164" t="s">
        <v>39</v>
      </c>
      <c r="D27" s="159" t="s">
        <v>6</v>
      </c>
      <c r="E27" s="165" t="s">
        <v>40</v>
      </c>
      <c r="F27" s="159" t="s">
        <v>6</v>
      </c>
      <c r="G27" s="165" t="s">
        <v>2</v>
      </c>
      <c r="H27" s="163" t="s">
        <v>6</v>
      </c>
      <c r="I27" s="164" t="s">
        <v>39</v>
      </c>
      <c r="J27" s="159" t="s">
        <v>6</v>
      </c>
      <c r="K27" s="165" t="s">
        <v>40</v>
      </c>
      <c r="L27" s="159" t="s">
        <v>6</v>
      </c>
      <c r="M27" s="165" t="s">
        <v>2</v>
      </c>
      <c r="N27" s="163" t="s">
        <v>6</v>
      </c>
      <c r="O27" s="315" t="s">
        <v>34</v>
      </c>
      <c r="P27" s="163" t="s">
        <v>6</v>
      </c>
      <c r="Q27" s="67"/>
      <c r="R27" s="4"/>
      <c r="S27" s="4"/>
      <c r="T27" s="4"/>
      <c r="U27" s="4"/>
      <c r="V27" s="4"/>
      <c r="W27" s="4"/>
      <c r="X27" s="4"/>
      <c r="Y27" s="268"/>
      <c r="Z27" s="4"/>
      <c r="AA27" s="268"/>
      <c r="AB27" s="268"/>
      <c r="AC27" s="268"/>
      <c r="AE27" s="296"/>
      <c r="AF27" s="296"/>
      <c r="AG27" s="296"/>
    </row>
    <row r="28" spans="1:33" s="73" customFormat="1" ht="18.75" customHeight="1" x14ac:dyDescent="0.25">
      <c r="A28" s="232">
        <v>15</v>
      </c>
      <c r="B28" s="284" t="s">
        <v>191</v>
      </c>
      <c r="C28" s="275">
        <v>4163.0000000000018</v>
      </c>
      <c r="D28" s="276">
        <f t="shared" ref="D28:D36" si="11">C28/C$46</f>
        <v>4.8514345760798362E-4</v>
      </c>
      <c r="E28" s="277">
        <v>216.00000000000006</v>
      </c>
      <c r="F28" s="276">
        <f>E28/E$46</f>
        <v>0.13292307692307695</v>
      </c>
      <c r="G28" s="278">
        <f t="shared" ref="G28" si="12">SUM(C28,E28)</f>
        <v>4379.0000000000018</v>
      </c>
      <c r="H28" s="279">
        <f t="shared" ref="H28:H36" si="13">G28/G$46</f>
        <v>5.1021882433651821E-4</v>
      </c>
      <c r="I28" s="280">
        <v>87.432162000000019</v>
      </c>
      <c r="J28" s="276">
        <f t="shared" ref="J28:J36" si="14">I28/I$46</f>
        <v>4.5020832110629662E-3</v>
      </c>
      <c r="K28" s="281">
        <v>447.21826109999915</v>
      </c>
      <c r="L28" s="276">
        <f>K28/K$46</f>
        <v>0.10050043050513198</v>
      </c>
      <c r="M28" s="282">
        <f t="shared" ref="M28:M35" si="15">SUM(I28,K28)</f>
        <v>534.65042309999922</v>
      </c>
      <c r="N28" s="283">
        <f t="shared" ref="N28:N36" si="16">M28/M$46</f>
        <v>2.2398150995606252E-2</v>
      </c>
      <c r="O28" s="316">
        <v>23316.782638453082</v>
      </c>
      <c r="P28" s="283">
        <f t="shared" ref="P28:P36" si="17">O28/O$46</f>
        <v>5.3606795767107331E-3</v>
      </c>
      <c r="Q28" s="67"/>
      <c r="R28" s="4"/>
      <c r="S28" s="4"/>
      <c r="T28" s="4"/>
      <c r="U28" s="4"/>
      <c r="V28" s="4"/>
      <c r="W28" s="4"/>
      <c r="X28" s="4"/>
      <c r="Y28" s="268"/>
      <c r="Z28" s="4"/>
      <c r="AA28" s="268"/>
      <c r="AB28" s="268"/>
      <c r="AC28" s="268"/>
      <c r="AE28" s="296"/>
      <c r="AF28" s="296"/>
      <c r="AG28" s="296"/>
    </row>
    <row r="29" spans="1:33" s="73" customFormat="1" ht="18.75" customHeight="1" x14ac:dyDescent="0.25">
      <c r="A29" s="232">
        <v>16</v>
      </c>
      <c r="B29" s="284" t="s">
        <v>123</v>
      </c>
      <c r="C29" s="285">
        <v>3943</v>
      </c>
      <c r="D29" s="286">
        <f t="shared" si="11"/>
        <v>4.5950532148649495E-4</v>
      </c>
      <c r="E29" s="287"/>
      <c r="F29" s="286"/>
      <c r="G29" s="288">
        <f>SUM(C29,E29)</f>
        <v>3943</v>
      </c>
      <c r="H29" s="289">
        <f t="shared" si="13"/>
        <v>4.5941832024637826E-4</v>
      </c>
      <c r="I29" s="290">
        <v>3.6454841000000004</v>
      </c>
      <c r="J29" s="286">
        <f t="shared" si="14"/>
        <v>1.8771436491307381E-4</v>
      </c>
      <c r="K29" s="291"/>
      <c r="L29" s="286"/>
      <c r="M29" s="292">
        <f t="shared" si="15"/>
        <v>3.6454841000000004</v>
      </c>
      <c r="N29" s="293">
        <f t="shared" si="16"/>
        <v>1.5272054373481687E-4</v>
      </c>
      <c r="O29" s="317">
        <v>1295.820040864985</v>
      </c>
      <c r="P29" s="293">
        <f t="shared" si="17"/>
        <v>2.9791743294383803E-4</v>
      </c>
      <c r="Q29" s="67"/>
      <c r="R29" s="4"/>
      <c r="S29" s="4"/>
      <c r="T29" s="4"/>
      <c r="U29" s="4"/>
      <c r="V29" s="4"/>
      <c r="W29" s="4"/>
      <c r="X29" s="4"/>
      <c r="Y29" s="268"/>
      <c r="Z29" s="4"/>
      <c r="AA29" s="268"/>
      <c r="AB29" s="268"/>
      <c r="AC29" s="268"/>
      <c r="AE29" s="296"/>
      <c r="AF29" s="296"/>
      <c r="AG29" s="296"/>
    </row>
    <row r="30" spans="1:33" s="73" customFormat="1" ht="18.75" customHeight="1" x14ac:dyDescent="0.25">
      <c r="A30" s="232">
        <v>17</v>
      </c>
      <c r="B30" s="284" t="s">
        <v>86</v>
      </c>
      <c r="C30" s="285">
        <v>271563.99999999936</v>
      </c>
      <c r="D30" s="286">
        <f t="shared" si="11"/>
        <v>3.1647249080435765E-2</v>
      </c>
      <c r="E30" s="287">
        <v>180</v>
      </c>
      <c r="F30" s="286">
        <f>E30/E$46</f>
        <v>0.11076923076923077</v>
      </c>
      <c r="G30" s="288">
        <f t="shared" ref="G30:G36" si="18">SUM(C30,E30)</f>
        <v>271743.99999999936</v>
      </c>
      <c r="H30" s="289">
        <f t="shared" si="13"/>
        <v>3.1662229778602974E-2</v>
      </c>
      <c r="I30" s="290">
        <v>629.72908510000559</v>
      </c>
      <c r="J30" s="286">
        <f t="shared" si="14"/>
        <v>3.2426199658047758E-2</v>
      </c>
      <c r="K30" s="291">
        <v>310.74320889999979</v>
      </c>
      <c r="L30" s="286">
        <f>K30/K$46</f>
        <v>6.9831285945662819E-2</v>
      </c>
      <c r="M30" s="292">
        <f t="shared" si="15"/>
        <v>940.47229400000538</v>
      </c>
      <c r="N30" s="293">
        <f t="shared" si="16"/>
        <v>3.9399277617809758E-2</v>
      </c>
      <c r="O30" s="317">
        <v>156329.76398308662</v>
      </c>
      <c r="P30" s="293">
        <f t="shared" si="17"/>
        <v>3.5941226798335835E-2</v>
      </c>
      <c r="Q30" s="67"/>
      <c r="R30" s="4"/>
      <c r="S30" s="4"/>
      <c r="T30" s="4"/>
      <c r="U30" s="4"/>
      <c r="V30" s="4"/>
      <c r="W30" s="4"/>
      <c r="X30" s="4"/>
      <c r="Y30" s="268"/>
      <c r="Z30" s="4"/>
      <c r="AA30" s="268"/>
      <c r="AB30" s="268"/>
      <c r="AC30" s="268"/>
      <c r="AE30" s="296"/>
      <c r="AF30" s="296"/>
      <c r="AG30" s="296"/>
    </row>
    <row r="31" spans="1:33" s="73" customFormat="1" ht="18.75" customHeight="1" x14ac:dyDescent="0.25">
      <c r="A31" s="232">
        <v>18</v>
      </c>
      <c r="B31" s="284" t="s">
        <v>50</v>
      </c>
      <c r="C31" s="285">
        <v>2224</v>
      </c>
      <c r="D31" s="286">
        <f t="shared" si="11"/>
        <v>2.5917824879177396E-4</v>
      </c>
      <c r="E31" s="287"/>
      <c r="F31" s="286"/>
      <c r="G31" s="288">
        <f t="shared" si="18"/>
        <v>2224</v>
      </c>
      <c r="H31" s="289">
        <f t="shared" si="13"/>
        <v>2.5912917682676778E-4</v>
      </c>
      <c r="I31" s="290">
        <v>3.9052642000000017</v>
      </c>
      <c r="J31" s="286">
        <f t="shared" si="14"/>
        <v>2.0109104004068033E-4</v>
      </c>
      <c r="K31" s="291"/>
      <c r="L31" s="286"/>
      <c r="M31" s="292">
        <f t="shared" si="15"/>
        <v>3.9052642000000017</v>
      </c>
      <c r="N31" s="293">
        <f t="shared" si="16"/>
        <v>1.6360353129838497E-4</v>
      </c>
      <c r="O31" s="317">
        <v>1244.7507488189856</v>
      </c>
      <c r="P31" s="293">
        <f t="shared" si="17"/>
        <v>2.8617627143313364E-4</v>
      </c>
      <c r="Q31" s="67"/>
      <c r="R31" s="4"/>
      <c r="S31" s="4"/>
      <c r="T31" s="4"/>
      <c r="U31" s="4"/>
      <c r="V31" s="4"/>
      <c r="W31" s="4"/>
      <c r="X31" s="4"/>
      <c r="Y31" s="268"/>
      <c r="Z31" s="4"/>
      <c r="AA31" s="268"/>
      <c r="AB31" s="268"/>
      <c r="AC31" s="268"/>
    </row>
    <row r="32" spans="1:33" s="73" customFormat="1" ht="18.75" customHeight="1" x14ac:dyDescent="0.25">
      <c r="A32" s="232">
        <v>19</v>
      </c>
      <c r="B32" s="284" t="s">
        <v>192</v>
      </c>
      <c r="C32" s="285">
        <v>2762</v>
      </c>
      <c r="D32" s="286">
        <f t="shared" si="11"/>
        <v>3.2187514530705025E-4</v>
      </c>
      <c r="E32" s="287"/>
      <c r="F32" s="286"/>
      <c r="G32" s="288">
        <f t="shared" si="18"/>
        <v>2762</v>
      </c>
      <c r="H32" s="289">
        <f t="shared" si="13"/>
        <v>3.2181420251597688E-4</v>
      </c>
      <c r="I32" s="290">
        <v>2.2516588000000008</v>
      </c>
      <c r="J32" s="286">
        <f t="shared" si="14"/>
        <v>1.1594309289208915E-4</v>
      </c>
      <c r="K32" s="291"/>
      <c r="L32" s="286"/>
      <c r="M32" s="292">
        <f t="shared" si="15"/>
        <v>2.2516588000000008</v>
      </c>
      <c r="N32" s="289">
        <f t="shared" si="16"/>
        <v>9.4328914023047132E-5</v>
      </c>
      <c r="O32" s="317">
        <v>832.97613324873112</v>
      </c>
      <c r="P32" s="293">
        <f t="shared" si="17"/>
        <v>1.9150661627003081E-4</v>
      </c>
      <c r="Q32" s="67"/>
      <c r="R32" s="4"/>
      <c r="S32" s="4"/>
      <c r="T32" s="4"/>
      <c r="U32" s="4"/>
      <c r="V32" s="4"/>
      <c r="W32" s="4"/>
      <c r="X32" s="4"/>
      <c r="Y32" s="268"/>
      <c r="Z32" s="4"/>
      <c r="AA32" s="268"/>
      <c r="AB32" s="268"/>
      <c r="AC32" s="268"/>
    </row>
    <row r="33" spans="1:29" s="73" customFormat="1" ht="18.75" customHeight="1" x14ac:dyDescent="0.25">
      <c r="A33" s="232">
        <v>20</v>
      </c>
      <c r="B33" s="284" t="s">
        <v>92</v>
      </c>
      <c r="C33" s="285">
        <v>7046.9999999999991</v>
      </c>
      <c r="D33" s="286">
        <f t="shared" si="11"/>
        <v>8.2123611476422258E-4</v>
      </c>
      <c r="E33" s="287"/>
      <c r="F33" s="286"/>
      <c r="G33" s="288">
        <f t="shared" si="18"/>
        <v>7046.9999999999991</v>
      </c>
      <c r="H33" s="289">
        <f t="shared" si="13"/>
        <v>8.2108062459452884E-4</v>
      </c>
      <c r="I33" s="290">
        <v>3.6660328999999994</v>
      </c>
      <c r="J33" s="286">
        <f t="shared" si="14"/>
        <v>1.8877246990980814E-4</v>
      </c>
      <c r="K33" s="291"/>
      <c r="L33" s="286"/>
      <c r="M33" s="292">
        <f t="shared" si="15"/>
        <v>3.6660328999999994</v>
      </c>
      <c r="N33" s="293">
        <f t="shared" si="16"/>
        <v>1.5358139618212223E-4</v>
      </c>
      <c r="O33" s="317">
        <v>792.79681509078239</v>
      </c>
      <c r="P33" s="293">
        <f t="shared" si="17"/>
        <v>1.8226913039578896E-4</v>
      </c>
      <c r="Q33" s="67"/>
      <c r="R33" s="4"/>
      <c r="S33" s="4"/>
      <c r="T33" s="4"/>
      <c r="U33" s="4"/>
      <c r="V33" s="4"/>
      <c r="W33" s="4"/>
      <c r="X33" s="4"/>
      <c r="Y33" s="268"/>
      <c r="Z33" s="4"/>
      <c r="AA33" s="268"/>
      <c r="AB33" s="268"/>
      <c r="AC33" s="268"/>
    </row>
    <row r="34" spans="1:29" s="73" customFormat="1" ht="18.75" customHeight="1" x14ac:dyDescent="0.25">
      <c r="A34" s="232">
        <v>21</v>
      </c>
      <c r="B34" s="284" t="s">
        <v>93</v>
      </c>
      <c r="C34" s="285">
        <v>1571121.999999997</v>
      </c>
      <c r="D34" s="286">
        <f t="shared" si="11"/>
        <v>0.18309381681575032</v>
      </c>
      <c r="E34" s="287">
        <v>491.99999999999989</v>
      </c>
      <c r="F34" s="286">
        <f t="shared" ref="F34:F35" si="19">E34/E$46</f>
        <v>0.30276923076923068</v>
      </c>
      <c r="G34" s="288">
        <f t="shared" si="18"/>
        <v>1571613.999999997</v>
      </c>
      <c r="H34" s="289">
        <f t="shared" si="13"/>
        <v>0.18311647576862544</v>
      </c>
      <c r="I34" s="290">
        <v>5122.7094210000723</v>
      </c>
      <c r="J34" s="286">
        <f t="shared" si="14"/>
        <v>0.26378009592669699</v>
      </c>
      <c r="K34" s="291">
        <v>1935.0891577000009</v>
      </c>
      <c r="L34" s="286">
        <f t="shared" ref="L34:L35" si="20">K34/K$46</f>
        <v>0.43485991143634828</v>
      </c>
      <c r="M34" s="292">
        <f t="shared" si="15"/>
        <v>7057.7985787000734</v>
      </c>
      <c r="N34" s="289">
        <f t="shared" si="16"/>
        <v>0.29567289472196373</v>
      </c>
      <c r="O34" s="317">
        <v>1147121.0117678586</v>
      </c>
      <c r="P34" s="293">
        <f t="shared" si="17"/>
        <v>0.26373056159379638</v>
      </c>
      <c r="Q34" s="67"/>
      <c r="R34" s="4"/>
      <c r="S34" s="4"/>
      <c r="T34" s="4"/>
      <c r="U34" s="4"/>
      <c r="V34" s="4"/>
      <c r="W34" s="4"/>
      <c r="X34" s="4"/>
      <c r="Y34" s="268"/>
      <c r="Z34" s="4"/>
      <c r="AA34" s="268"/>
      <c r="AB34" s="268"/>
      <c r="AC34" s="268"/>
    </row>
    <row r="35" spans="1:29" s="73" customFormat="1" ht="18.75" customHeight="1" x14ac:dyDescent="0.25">
      <c r="A35" s="232">
        <v>22</v>
      </c>
      <c r="B35" s="284" t="s">
        <v>94</v>
      </c>
      <c r="C35" s="285">
        <v>1296263.9999999949</v>
      </c>
      <c r="D35" s="286">
        <f t="shared" si="11"/>
        <v>0.15106269491538615</v>
      </c>
      <c r="E35" s="287">
        <v>344.99999999999994</v>
      </c>
      <c r="F35" s="286">
        <f t="shared" si="19"/>
        <v>0.21230769230769228</v>
      </c>
      <c r="G35" s="288">
        <f t="shared" si="18"/>
        <v>1296608.9999999949</v>
      </c>
      <c r="H35" s="289">
        <f t="shared" si="13"/>
        <v>0.15107429084360485</v>
      </c>
      <c r="I35" s="290">
        <v>5709.2274291999684</v>
      </c>
      <c r="J35" s="286">
        <f t="shared" si="14"/>
        <v>0.29398125780237883</v>
      </c>
      <c r="K35" s="291">
        <v>567.51262689999976</v>
      </c>
      <c r="L35" s="286">
        <f t="shared" si="20"/>
        <v>0.12753339539459255</v>
      </c>
      <c r="M35" s="292">
        <f t="shared" si="15"/>
        <v>6276.7400560999686</v>
      </c>
      <c r="N35" s="293">
        <f t="shared" si="16"/>
        <v>0.2629519504006867</v>
      </c>
      <c r="O35" s="317">
        <v>1143182.5214003201</v>
      </c>
      <c r="P35" s="293">
        <f t="shared" si="17"/>
        <v>0.2628250771106363</v>
      </c>
      <c r="Q35" s="67"/>
      <c r="R35" s="4"/>
      <c r="S35" s="4"/>
      <c r="T35" s="4"/>
      <c r="U35" s="4"/>
      <c r="V35" s="4"/>
      <c r="W35" s="4"/>
      <c r="X35" s="4"/>
      <c r="Y35" s="4"/>
      <c r="Z35" s="4"/>
      <c r="AA35" s="268"/>
      <c r="AB35" s="268"/>
      <c r="AC35" s="268"/>
    </row>
    <row r="36" spans="1:29" s="73" customFormat="1" ht="18.75" customHeight="1" x14ac:dyDescent="0.25">
      <c r="A36" s="232">
        <v>23</v>
      </c>
      <c r="B36" s="284" t="s">
        <v>49</v>
      </c>
      <c r="C36" s="285">
        <v>8970</v>
      </c>
      <c r="D36" s="286">
        <f t="shared" si="11"/>
        <v>1.0453367318625057E-3</v>
      </c>
      <c r="E36" s="287">
        <v>1</v>
      </c>
      <c r="F36" s="286">
        <f>E36/E$46</f>
        <v>6.1538461538461541E-4</v>
      </c>
      <c r="G36" s="288">
        <f t="shared" si="18"/>
        <v>8971</v>
      </c>
      <c r="H36" s="289">
        <f t="shared" si="13"/>
        <v>1.0452553261299162E-3</v>
      </c>
      <c r="I36" s="290">
        <v>11.832852399999986</v>
      </c>
      <c r="J36" s="286">
        <f t="shared" si="14"/>
        <v>6.0930079858972322E-4</v>
      </c>
      <c r="K36" s="291">
        <v>1.6681865000000002</v>
      </c>
      <c r="L36" s="286">
        <f>K36/K$46</f>
        <v>3.7488062540308844E-4</v>
      </c>
      <c r="M36" s="292">
        <f>SUM(I36,K36)</f>
        <v>13.501038899999987</v>
      </c>
      <c r="N36" s="289">
        <f t="shared" si="16"/>
        <v>5.6560005344500372E-4</v>
      </c>
      <c r="O36" s="317">
        <v>3169.9246322660988</v>
      </c>
      <c r="P36" s="293">
        <f t="shared" si="17"/>
        <v>7.287862351934044E-4</v>
      </c>
      <c r="Q36" s="67"/>
      <c r="R36" s="4"/>
      <c r="S36" s="4"/>
      <c r="T36" s="4"/>
      <c r="U36" s="4"/>
      <c r="V36" s="4"/>
      <c r="W36" s="4"/>
      <c r="X36" s="4"/>
      <c r="Y36" s="4"/>
      <c r="Z36" s="4"/>
      <c r="AA36" s="268"/>
      <c r="AB36" s="268"/>
      <c r="AC36" s="268"/>
    </row>
    <row r="37" spans="1:29" s="73" customFormat="1" ht="18.75" customHeight="1" thickBot="1" x14ac:dyDescent="0.25">
      <c r="A37" s="232"/>
      <c r="B37" s="284"/>
      <c r="C37" s="285"/>
      <c r="D37" s="286"/>
      <c r="E37" s="287"/>
      <c r="F37" s="286"/>
      <c r="G37" s="288"/>
      <c r="H37" s="289"/>
      <c r="I37" s="290"/>
      <c r="J37" s="286"/>
      <c r="K37" s="291"/>
      <c r="L37" s="286"/>
      <c r="M37" s="292"/>
      <c r="N37" s="289"/>
      <c r="O37" s="317"/>
      <c r="P37" s="293"/>
      <c r="Q37" s="67"/>
      <c r="R37" s="318"/>
      <c r="S37" s="268"/>
      <c r="T37" s="268"/>
      <c r="U37" s="319"/>
      <c r="V37" s="319"/>
      <c r="W37" s="268"/>
      <c r="X37" s="268"/>
      <c r="Y37" s="268"/>
      <c r="Z37" s="268"/>
      <c r="AA37" s="268"/>
      <c r="AB37" s="268"/>
      <c r="AC37" s="268"/>
    </row>
    <row r="38" spans="1:29" s="73" customFormat="1" ht="18.75" customHeight="1" thickTop="1" thickBot="1" x14ac:dyDescent="0.25">
      <c r="A38" s="241"/>
      <c r="B38" s="300" t="s">
        <v>2</v>
      </c>
      <c r="C38" s="320">
        <f>SUM(C28:C37)</f>
        <v>3168058.9999999912</v>
      </c>
      <c r="D38" s="321"/>
      <c r="E38" s="322">
        <f>SUM(E28:E37)</f>
        <v>1234</v>
      </c>
      <c r="F38" s="321"/>
      <c r="G38" s="323">
        <f>SUM(G28:G37)</f>
        <v>3169292.9999999912</v>
      </c>
      <c r="H38" s="324">
        <f>+SUM(H28:H37)</f>
        <v>0.36926991286548333</v>
      </c>
      <c r="I38" s="325">
        <f>SUM(I28:I37)</f>
        <v>11574.399389700047</v>
      </c>
      <c r="J38" s="321"/>
      <c r="K38" s="326">
        <f>SUM(K28:K37)</f>
        <v>3262.2314410999998</v>
      </c>
      <c r="L38" s="321"/>
      <c r="M38" s="327">
        <f>SUM(M28:M37)</f>
        <v>14836.630830800046</v>
      </c>
      <c r="N38" s="324">
        <f>SUM(N28:N37)</f>
        <v>0.62155210817474982</v>
      </c>
      <c r="O38" s="328">
        <f>SUM(O28:O37)</f>
        <v>2477286.348160008</v>
      </c>
      <c r="P38" s="329">
        <f>SUM(P28:P37)</f>
        <v>0.56954420076571544</v>
      </c>
      <c r="Q38" s="67"/>
      <c r="R38" s="318"/>
      <c r="S38" s="268"/>
      <c r="T38" s="268"/>
      <c r="U38" s="319"/>
      <c r="V38" s="319"/>
      <c r="W38" s="268"/>
      <c r="X38" s="268"/>
      <c r="Y38" s="268"/>
      <c r="Z38" s="268"/>
      <c r="AA38" s="268"/>
      <c r="AB38" s="268"/>
      <c r="AC38" s="268"/>
    </row>
    <row r="39" spans="1:29" ht="16.5" customHeight="1" x14ac:dyDescent="0.3">
      <c r="A39" s="330"/>
      <c r="B39" s="5"/>
      <c r="C39" s="5"/>
      <c r="D39" s="331"/>
      <c r="E39" s="5"/>
      <c r="F39" s="331"/>
      <c r="G39" s="5"/>
      <c r="H39" s="331"/>
      <c r="I39" s="5"/>
      <c r="J39" s="331"/>
      <c r="K39" s="5"/>
      <c r="L39" s="331"/>
      <c r="M39" s="5"/>
      <c r="N39" s="331"/>
      <c r="O39" s="5"/>
      <c r="P39" s="5"/>
      <c r="R39" s="40"/>
      <c r="U39" s="332"/>
      <c r="V39" s="332"/>
      <c r="X39" s="58"/>
    </row>
    <row r="40" spans="1:29" ht="16.5" customHeight="1" x14ac:dyDescent="0.3">
      <c r="A40" s="330"/>
      <c r="B40" s="5"/>
      <c r="C40" s="5"/>
      <c r="D40" s="331"/>
      <c r="E40" s="5"/>
      <c r="F40" s="331"/>
      <c r="G40" s="5"/>
      <c r="H40" s="331"/>
      <c r="I40" s="333"/>
      <c r="J40" s="334"/>
      <c r="K40" s="333"/>
      <c r="L40" s="331"/>
      <c r="M40" s="5"/>
      <c r="N40" s="331"/>
      <c r="O40" s="5"/>
      <c r="P40" s="5"/>
      <c r="R40" s="40"/>
      <c r="U40" s="332"/>
      <c r="V40" s="332"/>
      <c r="X40" s="58"/>
    </row>
    <row r="41" spans="1:29" x14ac:dyDescent="0.25">
      <c r="C41" s="335"/>
      <c r="E41" s="335"/>
      <c r="G41" s="335"/>
      <c r="M41" s="335"/>
      <c r="P41" s="5"/>
      <c r="R41" s="58"/>
      <c r="U41" s="58"/>
      <c r="V41" s="58"/>
      <c r="X41" s="58"/>
    </row>
    <row r="42" spans="1:29" x14ac:dyDescent="0.25">
      <c r="P42" s="5"/>
      <c r="R42" s="58"/>
      <c r="U42" s="58"/>
      <c r="V42" s="58"/>
      <c r="X42" s="58"/>
    </row>
    <row r="43" spans="1:29" ht="18.75" customHeight="1" thickBot="1" x14ac:dyDescent="0.3">
      <c r="A43" s="61" t="s">
        <v>167</v>
      </c>
      <c r="B43" s="5"/>
      <c r="C43" s="5"/>
      <c r="D43" s="331"/>
      <c r="E43" s="5"/>
      <c r="F43" s="331"/>
      <c r="G43" s="5"/>
      <c r="H43" s="331"/>
      <c r="I43" s="5"/>
      <c r="J43" s="331"/>
      <c r="K43" s="5"/>
      <c r="L43" s="331"/>
      <c r="M43" s="5"/>
      <c r="N43" s="331"/>
      <c r="O43" s="5"/>
      <c r="P43" s="5"/>
      <c r="X43" s="58"/>
    </row>
    <row r="44" spans="1:29" s="73" customFormat="1" ht="18.75" customHeight="1" x14ac:dyDescent="0.2">
      <c r="A44" s="336"/>
      <c r="B44" s="337" t="s">
        <v>8</v>
      </c>
      <c r="C44" s="338" t="s">
        <v>168</v>
      </c>
      <c r="D44" s="70"/>
      <c r="E44" s="70"/>
      <c r="F44" s="70"/>
      <c r="G44" s="70"/>
      <c r="H44" s="70"/>
      <c r="I44" s="72" t="s">
        <v>171</v>
      </c>
      <c r="J44" s="70"/>
      <c r="K44" s="70"/>
      <c r="L44" s="70"/>
      <c r="M44" s="70"/>
      <c r="N44" s="71"/>
      <c r="O44" s="70" t="s">
        <v>200</v>
      </c>
      <c r="P44" s="71"/>
      <c r="Q44" s="67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</row>
    <row r="45" spans="1:29" s="73" customFormat="1" ht="18.75" customHeight="1" x14ac:dyDescent="0.2">
      <c r="A45" s="339"/>
      <c r="B45" s="340"/>
      <c r="C45" s="341" t="s">
        <v>39</v>
      </c>
      <c r="D45" s="77" t="s">
        <v>6</v>
      </c>
      <c r="E45" s="78" t="s">
        <v>40</v>
      </c>
      <c r="F45" s="77" t="s">
        <v>6</v>
      </c>
      <c r="G45" s="78" t="s">
        <v>2</v>
      </c>
      <c r="H45" s="79" t="s">
        <v>6</v>
      </c>
      <c r="I45" s="80" t="s">
        <v>39</v>
      </c>
      <c r="J45" s="77" t="s">
        <v>6</v>
      </c>
      <c r="K45" s="78" t="s">
        <v>40</v>
      </c>
      <c r="L45" s="77" t="s">
        <v>6</v>
      </c>
      <c r="M45" s="78" t="s">
        <v>2</v>
      </c>
      <c r="N45" s="79" t="s">
        <v>6</v>
      </c>
      <c r="O45" s="82" t="s">
        <v>34</v>
      </c>
      <c r="P45" s="163" t="s">
        <v>6</v>
      </c>
      <c r="Q45" s="67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</row>
    <row r="46" spans="1:29" ht="18.75" customHeight="1" x14ac:dyDescent="0.25">
      <c r="A46" s="342" t="s">
        <v>51</v>
      </c>
      <c r="B46" s="343"/>
      <c r="C46" s="344">
        <f>SUM(C20,C38)</f>
        <v>8580966.9999999907</v>
      </c>
      <c r="D46" s="345">
        <f>C46/C$46</f>
        <v>1</v>
      </c>
      <c r="E46" s="344">
        <f>SUM(E20,E38)</f>
        <v>1625</v>
      </c>
      <c r="F46" s="345">
        <f>E46/E$46</f>
        <v>1</v>
      </c>
      <c r="G46" s="344">
        <f>SUM(G20,G38)</f>
        <v>8582591.9999999907</v>
      </c>
      <c r="H46" s="345">
        <f>G46/G$46</f>
        <v>1</v>
      </c>
      <c r="I46" s="346">
        <f>SUM(I20,I38)</f>
        <v>19420.378944830034</v>
      </c>
      <c r="J46" s="345">
        <f>I46/I$46</f>
        <v>1</v>
      </c>
      <c r="K46" s="346">
        <f>SUM(K20,K38)</f>
        <v>4449.9138844700001</v>
      </c>
      <c r="L46" s="345">
        <f>K46/K$46</f>
        <v>1</v>
      </c>
      <c r="M46" s="346">
        <f>SUM(M20,M38)</f>
        <v>23870.29282930003</v>
      </c>
      <c r="N46" s="345">
        <f>M46/M$46</f>
        <v>1</v>
      </c>
      <c r="O46" s="346">
        <f>SUM(O20,O38)</f>
        <v>4349594.5438992381</v>
      </c>
      <c r="P46" s="347">
        <f>O46/O$46</f>
        <v>1</v>
      </c>
    </row>
    <row r="47" spans="1:29" ht="18.75" customHeight="1" x14ac:dyDescent="0.3">
      <c r="A47" s="5"/>
      <c r="B47" s="348" t="s">
        <v>201</v>
      </c>
      <c r="C47" s="5"/>
      <c r="D47" s="5"/>
      <c r="E47" s="34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29" ht="18.75" customHeight="1" x14ac:dyDescent="0.3">
      <c r="A48" s="5"/>
      <c r="B48" s="348" t="s">
        <v>186</v>
      </c>
      <c r="C48" s="35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33" x14ac:dyDescent="0.25">
      <c r="A49" s="5"/>
      <c r="B49" s="51"/>
      <c r="C49" s="35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3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33" ht="18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T51" s="351" t="s">
        <v>208</v>
      </c>
    </row>
    <row r="52" spans="1:3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3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U53" s="4" t="s">
        <v>52</v>
      </c>
      <c r="X53" s="4" t="s">
        <v>53</v>
      </c>
      <c r="Y53" s="4" t="s">
        <v>54</v>
      </c>
    </row>
    <row r="54" spans="1:33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33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T55" s="4" t="s">
        <v>7</v>
      </c>
      <c r="U55" s="352">
        <f>G20</f>
        <v>5413299</v>
      </c>
      <c r="V55" s="353">
        <f>U55/U57</f>
        <v>0.63073008713451673</v>
      </c>
      <c r="W55" s="4" t="s">
        <v>7</v>
      </c>
      <c r="X55" s="352">
        <f>C20</f>
        <v>5412908</v>
      </c>
      <c r="Y55" s="352">
        <f>E20</f>
        <v>391</v>
      </c>
      <c r="Z55" s="353">
        <f>X55/X57</f>
        <v>0.63080396416860784</v>
      </c>
      <c r="AA55" s="353">
        <f>Y55/Y57</f>
        <v>0.24061538461538462</v>
      </c>
      <c r="AE55" s="354"/>
      <c r="AF55" s="354"/>
      <c r="AG55" s="354"/>
    </row>
    <row r="56" spans="1:33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T56" s="4" t="s">
        <v>9</v>
      </c>
      <c r="U56" s="352">
        <f>G38</f>
        <v>3169292.9999999912</v>
      </c>
      <c r="V56" s="353">
        <f>U56/U57</f>
        <v>0.36926991286548339</v>
      </c>
      <c r="W56" s="4" t="s">
        <v>9</v>
      </c>
      <c r="X56" s="352">
        <f>C38</f>
        <v>3168058.9999999912</v>
      </c>
      <c r="Y56" s="352">
        <f>E38</f>
        <v>1234</v>
      </c>
      <c r="Z56" s="353">
        <f>X56/X57</f>
        <v>0.36919603583139227</v>
      </c>
      <c r="AA56" s="353">
        <f>Y56/Y57</f>
        <v>0.75938461538461544</v>
      </c>
      <c r="AE56" s="354"/>
      <c r="AF56" s="354"/>
      <c r="AG56" s="354"/>
    </row>
    <row r="57" spans="1:33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U57" s="352">
        <f>SUM(U55:U56)</f>
        <v>8582591.9999999907</v>
      </c>
      <c r="X57" s="352">
        <f>SUM(X55:X56)</f>
        <v>8580966.9999999907</v>
      </c>
      <c r="Y57" s="352">
        <f>SUM(Y55:Y56)</f>
        <v>1625</v>
      </c>
    </row>
    <row r="58" spans="1:33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X58" s="352"/>
      <c r="Y58" s="352"/>
    </row>
    <row r="59" spans="1:33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X59" s="352"/>
      <c r="Y59" s="352"/>
    </row>
    <row r="60" spans="1:3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U60" s="4" t="s">
        <v>55</v>
      </c>
      <c r="X60" s="352" t="s">
        <v>53</v>
      </c>
      <c r="Y60" s="352" t="s">
        <v>54</v>
      </c>
    </row>
    <row r="61" spans="1:3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T61" s="4" t="s">
        <v>7</v>
      </c>
      <c r="U61" s="352">
        <f>M20</f>
        <v>9033.6619984999852</v>
      </c>
      <c r="V61" s="353">
        <f>U61/U64</f>
        <v>0.37844789182525029</v>
      </c>
      <c r="W61" s="4" t="s">
        <v>7</v>
      </c>
      <c r="X61" s="352">
        <f>I20</f>
        <v>7845.9795551299858</v>
      </c>
      <c r="Y61" s="352">
        <f>K20</f>
        <v>1187.6824433700003</v>
      </c>
      <c r="Z61" s="353">
        <f>X61/X64</f>
        <v>0.40400754163546798</v>
      </c>
      <c r="AA61" s="353">
        <f>Y61/Y64</f>
        <v>0.26690009609286119</v>
      </c>
    </row>
    <row r="62" spans="1:33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T62" s="4" t="s">
        <v>9</v>
      </c>
      <c r="U62" s="352">
        <f>M38</f>
        <v>14836.630830800046</v>
      </c>
      <c r="V62" s="353">
        <f>U62/U64</f>
        <v>0.62155210817474982</v>
      </c>
      <c r="W62" s="4" t="s">
        <v>9</v>
      </c>
      <c r="X62" s="352">
        <f>I38</f>
        <v>11574.399389700047</v>
      </c>
      <c r="Y62" s="352">
        <f>K38</f>
        <v>3262.2314410999998</v>
      </c>
      <c r="Z62" s="353">
        <f>X62/X64</f>
        <v>0.59599245836453196</v>
      </c>
      <c r="AA62" s="353">
        <f>Y62/Y64</f>
        <v>0.73309990390713875</v>
      </c>
    </row>
    <row r="63" spans="1:3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U63" s="352"/>
      <c r="V63" s="353"/>
      <c r="X63" s="352"/>
      <c r="Y63" s="352"/>
      <c r="Z63" s="353"/>
      <c r="AA63" s="353"/>
    </row>
    <row r="64" spans="1:3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U64" s="352">
        <f>SUM(U61:U62)</f>
        <v>23870.29282930003</v>
      </c>
      <c r="X64" s="352">
        <f>SUM(X61:X62)</f>
        <v>19420.378944830034</v>
      </c>
      <c r="Y64" s="352">
        <f>SUM(Y61:Y62)</f>
        <v>4449.9138844700001</v>
      </c>
    </row>
    <row r="65" spans="1:16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355"/>
      <c r="M67" s="5"/>
      <c r="N67" s="5"/>
      <c r="O67" s="5"/>
      <c r="P67" s="5"/>
    </row>
    <row r="68" spans="1:16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5"/>
      <c r="B72" s="263"/>
      <c r="C72" s="26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x14ac:dyDescent="0.25">
      <c r="A73" s="5"/>
      <c r="B73" s="263"/>
      <c r="C73" s="264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5">
      <c r="A74" s="5"/>
      <c r="B74" s="5"/>
      <c r="C74" s="26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25">
      <c r="A75" s="5"/>
      <c r="B75" s="350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</sheetData>
  <sortState xmlns:xlrd2="http://schemas.microsoft.com/office/spreadsheetml/2017/richdata2" ref="T4:Z28">
    <sortCondition ref="T4:T28"/>
    <sortCondition ref="U4:U28"/>
  </sortState>
  <mergeCells count="18">
    <mergeCell ref="A1:P1"/>
    <mergeCell ref="A4:A5"/>
    <mergeCell ref="B4:B5"/>
    <mergeCell ref="C4:H4"/>
    <mergeCell ref="I4:N4"/>
    <mergeCell ref="O4:P4"/>
    <mergeCell ref="V2:W2"/>
    <mergeCell ref="X2:Y2"/>
    <mergeCell ref="A46:B46"/>
    <mergeCell ref="A26:A27"/>
    <mergeCell ref="B26:B27"/>
    <mergeCell ref="C26:H26"/>
    <mergeCell ref="I26:N26"/>
    <mergeCell ref="O26:P26"/>
    <mergeCell ref="B44:B45"/>
    <mergeCell ref="C44:H44"/>
    <mergeCell ref="I44:N44"/>
    <mergeCell ref="O44:P4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ignoredErrors>
    <ignoredError sqref="D46 P46 G28 M16:M17 M6:M15 G6:G17 G30:G36 M28:M35 J46 H46 N46 L46 F46 E46 G46 M46 O46 I46 K46 G19 M18:M19 H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9.1</vt:lpstr>
      <vt:lpstr>9.2</vt:lpstr>
      <vt:lpstr>9.3</vt:lpstr>
      <vt:lpstr>9.4</vt:lpstr>
      <vt:lpstr>'9.1'!Área_de_impresión</vt:lpstr>
      <vt:lpstr>'9.2'!Área_de_impresión</vt:lpstr>
      <vt:lpstr>'9.3'!Área_de_impresión</vt:lpstr>
      <vt:lpstr>'9.4'!Área_de_impresión</vt:lpstr>
      <vt:lpstr>'9.3'!PARTICIP</vt:lpstr>
      <vt:lpstr>'9.2'!Títulos_a_imprimir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Neyra Vilca, Anival Wenceslao</dc:creator>
  <cp:lastModifiedBy>Neyra Vilca Anival Wenceslao</cp:lastModifiedBy>
  <cp:lastPrinted>2023-06-14T21:17:00Z</cp:lastPrinted>
  <dcterms:created xsi:type="dcterms:W3CDTF">1999-03-16T15:51:45Z</dcterms:created>
  <dcterms:modified xsi:type="dcterms:W3CDTF">2025-01-23T20:43:51Z</dcterms:modified>
</cp:coreProperties>
</file>