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Y:\dpe\DOC_DIFUSION\ANUARIOS\ANUARIO 2023\10. Capitulo 10 Evoluciones 2023\"/>
    </mc:Choice>
  </mc:AlternateContent>
  <xr:revisionPtr revIDLastSave="0" documentId="13_ncr:1_{4A6CF05A-480A-4DB1-BF4A-8C544004AFA5}" xr6:coauthVersionLast="47" xr6:coauthVersionMax="47" xr10:uidLastSave="{00000000-0000-0000-0000-000000000000}"/>
  <bookViews>
    <workbookView xWindow="-120" yWindow="-120" windowWidth="38640" windowHeight="15840" tabRatio="852" xr2:uid="{00000000-000D-0000-FFFF-FFFF00000000}"/>
  </bookViews>
  <sheets>
    <sheet name="10.1 P Inst" sheetId="31086" r:id="rId1"/>
    <sheet name="10.2 Efect" sheetId="31087" r:id="rId2"/>
    <sheet name="10.3 Incre PI" sheetId="2" r:id="rId3"/>
    <sheet name="10.4 Prod" sheetId="31088" r:id="rId4"/>
    <sheet name="10.5 Lineas" sheetId="31089" r:id="rId5"/>
    <sheet name="10.6 Ventas" sheetId="31076" r:id="rId6"/>
    <sheet name="10.7 Facturacion" sheetId="31063" r:id="rId7"/>
    <sheet name="10.8 Precio medio" sheetId="31077" r:id="rId8"/>
    <sheet name="10.9 Ventas-CIIU" sheetId="31060" r:id="rId9"/>
    <sheet name="10.10 Fact-CIIU" sheetId="31065" r:id="rId10"/>
    <sheet name="10.11  Prec med- CIIU" sheetId="31078" r:id="rId11"/>
    <sheet name="10.12 Consumo" sheetId="31067" r:id="rId12"/>
    <sheet name="10.13 Clientes" sheetId="1049" r:id="rId13"/>
    <sheet name="10.15 Perd y MD" sheetId="31079" r:id="rId14"/>
    <sheet name="10.17.1Inversiones" sheetId="31096" r:id="rId15"/>
    <sheet name="10.17.2 Inversion Privada" sheetId="31097" r:id="rId16"/>
    <sheet name="10.17.3 y 4 Publica y Gub." sheetId="31098" r:id="rId17"/>
    <sheet name="10.17.5 Evo.Graficos" sheetId="31099" r:id="rId18"/>
  </sheets>
  <externalReferences>
    <externalReference r:id="rId19"/>
  </externalReferences>
  <definedNames>
    <definedName name="_xlnm._FilterDatabase" localSheetId="15" hidden="1">'10.17.2 Inversion Privada'!$AK$6:$AL$99</definedName>
    <definedName name="_xlnm.Print_Area" localSheetId="0">'10.1 P Inst'!$A$1:$O$100</definedName>
    <definedName name="_xlnm.Print_Area" localSheetId="9">'10.10 Fact-CIIU'!$A$1:$H$68</definedName>
    <definedName name="_xlnm.Print_Area" localSheetId="10">'10.11  Prec med- CIIU'!$A$1:$H$70</definedName>
    <definedName name="_xlnm.Print_Area" localSheetId="11">'10.12 Consumo'!$A$1:$I$87</definedName>
    <definedName name="_xlnm.Print_Area" localSheetId="12">'10.13 Clientes'!$A$1:$P$91</definedName>
    <definedName name="_xlnm.Print_Area" localSheetId="13">'10.15 Perd y MD'!$A$1:$P$110</definedName>
    <definedName name="_xlnm.Print_Area" localSheetId="14">'10.17.1Inversiones'!$A$1:$P$115</definedName>
    <definedName name="_xlnm.Print_Area" localSheetId="15">'10.17.2 Inversion Privada'!$A$1:$AF$109,'10.17.2 Inversion Privada'!$A$111:$AF$164</definedName>
    <definedName name="_xlnm.Print_Area" localSheetId="16">'10.17.3 y 4 Publica y Gub.'!$A$1:$AF$50</definedName>
    <definedName name="_xlnm.Print_Area" localSheetId="17">'10.17.5 Evo.Graficos'!$A$1:$AJ$226</definedName>
    <definedName name="_xlnm.Print_Area" localSheetId="1">'10.2 Efect'!$A$1:$O$98</definedName>
    <definedName name="_xlnm.Print_Area" localSheetId="2">'10.3 Incre PI'!$A$1:$P$68</definedName>
    <definedName name="_xlnm.Print_Area" localSheetId="3">'10.4 Prod'!$A$1:$O$101</definedName>
    <definedName name="_xlnm.Print_Area" localSheetId="4">'10.5 Lineas'!$A$1:$H$68</definedName>
    <definedName name="_xlnm.Print_Area" localSheetId="5">'10.6 Ventas'!$A$1:$K$89</definedName>
    <definedName name="_xlnm.Print_Area" localSheetId="6">'10.7 Facturacion'!$A$1:$K$90</definedName>
    <definedName name="_xlnm.Print_Area" localSheetId="7">'10.8 Precio medio'!$A$1:$K$87</definedName>
    <definedName name="_xlnm.Print_Area" localSheetId="8">'10.9 Ventas-CIIU'!$A$1:$L$68</definedName>
    <definedName name="AYACUCHO" localSheetId="0">[1]X_DEPA!#REF!</definedName>
    <definedName name="AYACUCHO" localSheetId="3">[1]X_DEPA!#REF!</definedName>
    <definedName name="AYACUCHO">[1]X_DEPA!#REF!</definedName>
    <definedName name="LIMA_I" localSheetId="0">[1]X_DEPA!#REF!</definedName>
    <definedName name="LIMA_I" localSheetId="3">[1]X_DEPA!#REF!</definedName>
    <definedName name="LIMA_I">[1]X_DEPA!#REF!</definedName>
    <definedName name="LIMA_II" localSheetId="0">[1]X_DEPA!#REF!</definedName>
    <definedName name="LIMA_II" localSheetId="3">[1]X_DEPA!#REF!</definedName>
    <definedName name="LIMA_II">[1]X_DEPA!#REF!</definedName>
    <definedName name="PIURA_I" localSheetId="0">[1]X_DEPA!#REF!</definedName>
    <definedName name="PIURA_I" localSheetId="3">[1]X_DEPA!#REF!</definedName>
    <definedName name="PIURA_I">[1]X_DEPA!#REF!</definedName>
  </definedNames>
  <calcPr calcId="181029"/>
</workbook>
</file>

<file path=xl/calcChain.xml><?xml version="1.0" encoding="utf-8"?>
<calcChain xmlns="http://schemas.openxmlformats.org/spreadsheetml/2006/main">
  <c r="H40" i="31067" l="1"/>
  <c r="F40" i="31067"/>
  <c r="E40" i="31067"/>
  <c r="D40" i="31067"/>
  <c r="H39" i="31067"/>
  <c r="F39" i="31067"/>
  <c r="E39" i="31067"/>
  <c r="D39" i="31067"/>
  <c r="H38" i="31067"/>
  <c r="F38" i="31067"/>
  <c r="E38" i="31067"/>
  <c r="D38" i="31067"/>
  <c r="H37" i="31067"/>
  <c r="G37" i="31067"/>
  <c r="F37" i="31067"/>
  <c r="E37" i="31067"/>
  <c r="D37" i="31067"/>
  <c r="C40" i="31067"/>
  <c r="C39" i="31067"/>
  <c r="C38" i="31067"/>
  <c r="C37" i="31067"/>
  <c r="C35" i="31067" l="1"/>
  <c r="D35" i="31067" l="1"/>
  <c r="C106" i="31079" l="1"/>
  <c r="C105" i="31079"/>
  <c r="C104" i="31079"/>
  <c r="C103" i="31079"/>
  <c r="E101" i="31079"/>
  <c r="S72" i="1049" l="1"/>
  <c r="T72" i="1049"/>
  <c r="U72" i="1049"/>
  <c r="V72" i="1049"/>
  <c r="W72" i="1049"/>
  <c r="Y72" i="1049"/>
  <c r="Z72" i="1049"/>
  <c r="AA72" i="1049"/>
  <c r="AB72" i="1049"/>
  <c r="AC72" i="1049"/>
  <c r="N40" i="1049"/>
  <c r="N39" i="1049"/>
  <c r="N38" i="1049"/>
  <c r="N37" i="1049"/>
  <c r="I40" i="1049"/>
  <c r="I39" i="1049"/>
  <c r="I38" i="1049"/>
  <c r="I37" i="1049"/>
  <c r="D39" i="1049"/>
  <c r="D40" i="1049"/>
  <c r="D38" i="1049"/>
  <c r="D37" i="1049"/>
  <c r="D35" i="1049"/>
  <c r="I35" i="1049"/>
  <c r="N35" i="1049"/>
  <c r="C37" i="31078"/>
  <c r="G40" i="31078"/>
  <c r="F40" i="31078"/>
  <c r="E40" i="31078"/>
  <c r="D40" i="31078"/>
  <c r="G39" i="31078"/>
  <c r="F39" i="31078"/>
  <c r="E39" i="31078"/>
  <c r="D39" i="31078"/>
  <c r="G38" i="31078"/>
  <c r="F38" i="31078"/>
  <c r="E38" i="31078"/>
  <c r="D38" i="31078"/>
  <c r="G37" i="31078"/>
  <c r="F37" i="31078"/>
  <c r="E37" i="31078"/>
  <c r="D37" i="31078"/>
  <c r="C40" i="31078"/>
  <c r="C39" i="31078"/>
  <c r="C38" i="31078"/>
  <c r="G35" i="31078"/>
  <c r="F35" i="31078"/>
  <c r="E35" i="31078"/>
  <c r="D35" i="31078"/>
  <c r="C35" i="31078"/>
  <c r="F35" i="31060"/>
  <c r="D35" i="31060"/>
  <c r="H35" i="31060"/>
  <c r="J35" i="31060"/>
  <c r="K35" i="31060"/>
  <c r="K35" i="31065"/>
  <c r="L35" i="31065"/>
  <c r="M35" i="31065"/>
  <c r="N35" i="31065"/>
  <c r="G33" i="31065"/>
  <c r="G35" i="31065"/>
  <c r="G40" i="31065" s="1"/>
  <c r="F40" i="31065"/>
  <c r="E40" i="31065"/>
  <c r="D40" i="31065"/>
  <c r="G39" i="31065"/>
  <c r="F39" i="31065"/>
  <c r="E39" i="31065"/>
  <c r="D39" i="31065"/>
  <c r="G38" i="31065"/>
  <c r="F38" i="31065"/>
  <c r="E38" i="31065"/>
  <c r="D38" i="31065"/>
  <c r="G37" i="31065"/>
  <c r="F37" i="31065"/>
  <c r="E37" i="31065"/>
  <c r="D37" i="31065"/>
  <c r="C40" i="31065"/>
  <c r="C39" i="31065"/>
  <c r="C38" i="31065"/>
  <c r="C37" i="31065"/>
  <c r="K40" i="31060"/>
  <c r="K39" i="31060"/>
  <c r="K38" i="31060"/>
  <c r="K37" i="31060"/>
  <c r="I40" i="31060"/>
  <c r="I39" i="31060"/>
  <c r="I38" i="31060"/>
  <c r="I37" i="31060"/>
  <c r="G40" i="31060"/>
  <c r="G39" i="31060"/>
  <c r="G38" i="31060"/>
  <c r="G37" i="31060"/>
  <c r="E40" i="31060"/>
  <c r="E39" i="31060"/>
  <c r="E38" i="31060"/>
  <c r="E37" i="31060"/>
  <c r="C37" i="31060"/>
  <c r="C40" i="31060"/>
  <c r="C39" i="31060"/>
  <c r="C38" i="31060"/>
  <c r="O73" i="31077"/>
  <c r="P73" i="31077"/>
  <c r="K40" i="31077"/>
  <c r="K39" i="31077"/>
  <c r="K38" i="31077"/>
  <c r="K37" i="31077"/>
  <c r="I40" i="31077"/>
  <c r="H40" i="31077"/>
  <c r="G40" i="31077"/>
  <c r="F40" i="31077"/>
  <c r="E40" i="31077"/>
  <c r="D40" i="31077"/>
  <c r="I39" i="31077"/>
  <c r="H39" i="31077"/>
  <c r="G39" i="31077"/>
  <c r="F39" i="31077"/>
  <c r="E39" i="31077"/>
  <c r="D39" i="31077"/>
  <c r="I38" i="31077"/>
  <c r="H38" i="31077"/>
  <c r="G38" i="31077"/>
  <c r="F38" i="31077"/>
  <c r="E38" i="31077"/>
  <c r="D38" i="31077"/>
  <c r="I37" i="31077"/>
  <c r="H37" i="31077"/>
  <c r="G37" i="31077"/>
  <c r="F37" i="31077"/>
  <c r="E37" i="31077"/>
  <c r="D37" i="31077"/>
  <c r="C40" i="31077"/>
  <c r="C39" i="31077"/>
  <c r="C38" i="31077"/>
  <c r="C37" i="31077"/>
  <c r="O35" i="31077"/>
  <c r="P35" i="31077"/>
  <c r="K35" i="31077"/>
  <c r="I35" i="31077"/>
  <c r="H35" i="31077"/>
  <c r="G35" i="31077"/>
  <c r="F35" i="31077"/>
  <c r="E35" i="31077"/>
  <c r="D35" i="31077"/>
  <c r="C35" i="31077"/>
  <c r="O100" i="31063"/>
  <c r="P100" i="31063"/>
  <c r="O69" i="31063"/>
  <c r="P69" i="31063"/>
  <c r="K40" i="31063"/>
  <c r="I40" i="31063"/>
  <c r="H40" i="31063"/>
  <c r="G40" i="31063"/>
  <c r="F40" i="31063"/>
  <c r="E40" i="31063"/>
  <c r="D40" i="31063"/>
  <c r="K39" i="31063"/>
  <c r="I39" i="31063"/>
  <c r="H39" i="31063"/>
  <c r="G39" i="31063"/>
  <c r="F39" i="31063"/>
  <c r="E39" i="31063"/>
  <c r="D39" i="31063"/>
  <c r="K38" i="31063"/>
  <c r="I38" i="31063"/>
  <c r="H38" i="31063"/>
  <c r="G38" i="31063"/>
  <c r="F38" i="31063"/>
  <c r="E38" i="31063"/>
  <c r="D38" i="31063"/>
  <c r="K37" i="31063"/>
  <c r="I37" i="31063"/>
  <c r="H37" i="31063"/>
  <c r="G37" i="31063"/>
  <c r="F37" i="31063"/>
  <c r="E37" i="31063"/>
  <c r="D37" i="31063"/>
  <c r="C40" i="31063"/>
  <c r="C39" i="31063"/>
  <c r="C38" i="31063"/>
  <c r="C37" i="31063"/>
  <c r="E35" i="31063"/>
  <c r="D35" i="31063"/>
  <c r="C35" i="31063"/>
  <c r="F35" i="31063"/>
  <c r="I35" i="31063"/>
  <c r="O28" i="31076"/>
  <c r="P28" i="31076"/>
  <c r="O29" i="31076"/>
  <c r="P29" i="31076"/>
  <c r="O30" i="31076"/>
  <c r="P30" i="31076"/>
  <c r="O31" i="31076"/>
  <c r="P31" i="31076"/>
  <c r="O32" i="31076"/>
  <c r="P32" i="31076"/>
  <c r="O33" i="31076"/>
  <c r="P33" i="31076"/>
  <c r="O34" i="31076"/>
  <c r="P34" i="31076"/>
  <c r="O35" i="31076"/>
  <c r="P35" i="31076"/>
  <c r="O36" i="31076"/>
  <c r="P36" i="31076"/>
  <c r="O75" i="31076"/>
  <c r="P75" i="31076"/>
  <c r="K40" i="31076"/>
  <c r="I40" i="31076"/>
  <c r="H40" i="31076"/>
  <c r="G40" i="31076"/>
  <c r="F40" i="31076"/>
  <c r="E40" i="31076"/>
  <c r="D40" i="31076"/>
  <c r="K39" i="31076"/>
  <c r="I39" i="31076"/>
  <c r="H39" i="31076"/>
  <c r="G39" i="31076"/>
  <c r="F39" i="31076"/>
  <c r="E39" i="31076"/>
  <c r="D39" i="31076"/>
  <c r="K38" i="31076"/>
  <c r="I38" i="31076"/>
  <c r="H38" i="31076"/>
  <c r="G38" i="31076"/>
  <c r="F38" i="31076"/>
  <c r="E38" i="31076"/>
  <c r="D38" i="31076"/>
  <c r="K37" i="31076"/>
  <c r="I37" i="31076"/>
  <c r="H37" i="31076"/>
  <c r="G37" i="31076"/>
  <c r="F37" i="31076"/>
  <c r="E37" i="31076"/>
  <c r="D37" i="31076"/>
  <c r="C40" i="31076"/>
  <c r="C39" i="31076"/>
  <c r="C38" i="31076"/>
  <c r="C37" i="31076"/>
  <c r="E35" i="31076"/>
  <c r="D35" i="31076"/>
  <c r="C35" i="31076" s="1"/>
  <c r="I35" i="31076"/>
  <c r="F35" i="31076"/>
  <c r="O35" i="1049" l="1"/>
  <c r="O36" i="31089" l="1"/>
  <c r="H41" i="31089"/>
  <c r="G41" i="31089"/>
  <c r="F41" i="31089"/>
  <c r="E41" i="31089"/>
  <c r="D41" i="31089"/>
  <c r="H40" i="31089"/>
  <c r="G40" i="31089"/>
  <c r="F40" i="31089"/>
  <c r="E40" i="31089"/>
  <c r="D40" i="31089"/>
  <c r="H39" i="31089"/>
  <c r="G39" i="31089"/>
  <c r="F39" i="31089"/>
  <c r="E39" i="31089"/>
  <c r="D39" i="31089"/>
  <c r="H38" i="31089"/>
  <c r="G38" i="31089"/>
  <c r="F38" i="31089"/>
  <c r="E38" i="31089"/>
  <c r="D38" i="31089"/>
  <c r="C36" i="31089"/>
  <c r="N36" i="31089" l="1"/>
  <c r="BR59" i="31099" l="1"/>
  <c r="BR60" i="31099"/>
  <c r="BR58" i="31099" s="1"/>
  <c r="BR41" i="31099"/>
  <c r="BR42" i="31099"/>
  <c r="BR14" i="31099"/>
  <c r="BR30" i="31099"/>
  <c r="BR29" i="31099" s="1"/>
  <c r="BR31" i="31099"/>
  <c r="AI6" i="31099"/>
  <c r="AJ6" i="31099" s="1"/>
  <c r="AJ14" i="31099"/>
  <c r="AJ15" i="31099"/>
  <c r="AJ13" i="31099"/>
  <c r="AF26" i="31098"/>
  <c r="AF27" i="31098"/>
  <c r="AF28" i="31098"/>
  <c r="AF29" i="31098"/>
  <c r="AF30" i="31098"/>
  <c r="AF31" i="31098"/>
  <c r="AF32" i="31098"/>
  <c r="AF33" i="31098"/>
  <c r="AF34" i="31098"/>
  <c r="AF35" i="31098"/>
  <c r="AF36" i="31098"/>
  <c r="AF37" i="31098"/>
  <c r="AF38" i="31098"/>
  <c r="AF25" i="31098"/>
  <c r="AF24" i="31098"/>
  <c r="AF6" i="31098"/>
  <c r="AF7" i="31098"/>
  <c r="AF8" i="31098"/>
  <c r="AF9" i="31098"/>
  <c r="AF10" i="31098"/>
  <c r="AF11" i="31098"/>
  <c r="AF5" i="31098"/>
  <c r="AF4" i="31098"/>
  <c r="AE21" i="31098"/>
  <c r="AE39" i="31098"/>
  <c r="AE12" i="31098"/>
  <c r="AF153" i="31097"/>
  <c r="A155" i="31097"/>
  <c r="A156" i="31097"/>
  <c r="A157" i="31097"/>
  <c r="A158" i="31097"/>
  <c r="A153" i="31097"/>
  <c r="A154" i="31097" s="1"/>
  <c r="AF158" i="31097"/>
  <c r="AE159" i="31097"/>
  <c r="AE138" i="31097"/>
  <c r="AF89" i="31097"/>
  <c r="AF60" i="31097"/>
  <c r="AF61" i="31097"/>
  <c r="AF31" i="31097"/>
  <c r="AE109" i="31097"/>
  <c r="AF14" i="31097"/>
  <c r="AF114" i="31097"/>
  <c r="AF115" i="31097"/>
  <c r="AF116" i="31097"/>
  <c r="AF117" i="31097"/>
  <c r="AF118" i="31097"/>
  <c r="AF119" i="31097"/>
  <c r="AF120" i="31097"/>
  <c r="AF121" i="31097"/>
  <c r="AF122" i="31097"/>
  <c r="AF123" i="31097"/>
  <c r="AF124" i="31097"/>
  <c r="AF125" i="31097"/>
  <c r="AF126" i="31097"/>
  <c r="AF127" i="31097"/>
  <c r="AF128" i="31097"/>
  <c r="AF129" i="31097"/>
  <c r="AF130" i="31097"/>
  <c r="AF131" i="31097"/>
  <c r="AF132" i="31097"/>
  <c r="AF133" i="31097"/>
  <c r="AF134" i="31097"/>
  <c r="AF135" i="31097"/>
  <c r="AF136" i="31097"/>
  <c r="AF137" i="31097"/>
  <c r="AF113" i="31097"/>
  <c r="AF143" i="31097"/>
  <c r="AF144" i="31097"/>
  <c r="AF145" i="31097"/>
  <c r="AF146" i="31097"/>
  <c r="AF147" i="31097"/>
  <c r="AF148" i="31097"/>
  <c r="AF149" i="31097"/>
  <c r="AF150" i="31097"/>
  <c r="AF151" i="31097"/>
  <c r="AF152" i="31097"/>
  <c r="AF154" i="31097"/>
  <c r="AF155" i="31097"/>
  <c r="AF156" i="31097"/>
  <c r="AF157" i="31097"/>
  <c r="AF142" i="31097"/>
  <c r="AF159" i="31097" s="1"/>
  <c r="AF141" i="31097"/>
  <c r="AF94" i="31097"/>
  <c r="AF95" i="31097"/>
  <c r="AF96" i="31097"/>
  <c r="AF97" i="31097"/>
  <c r="AF98" i="31097"/>
  <c r="AF99" i="31097"/>
  <c r="AF100" i="31097"/>
  <c r="AF101" i="31097"/>
  <c r="AF102" i="31097"/>
  <c r="AF103" i="31097"/>
  <c r="AF104" i="31097"/>
  <c r="AF105" i="31097"/>
  <c r="AF106" i="31097"/>
  <c r="AF107" i="31097"/>
  <c r="AF108" i="31097"/>
  <c r="AF66" i="31097"/>
  <c r="AF67" i="31097"/>
  <c r="AF68" i="31097"/>
  <c r="AF69" i="31097"/>
  <c r="AF70" i="31097"/>
  <c r="AF71" i="31097"/>
  <c r="AF72" i="31097"/>
  <c r="AF73" i="31097"/>
  <c r="AF74" i="31097"/>
  <c r="AF75" i="31097"/>
  <c r="AF76" i="31097"/>
  <c r="AF77" i="31097"/>
  <c r="AF78" i="31097"/>
  <c r="AF79" i="31097"/>
  <c r="AF80" i="31097"/>
  <c r="AF81" i="31097"/>
  <c r="AF82" i="31097"/>
  <c r="AF83" i="31097"/>
  <c r="AF84" i="31097"/>
  <c r="AF85" i="31097"/>
  <c r="AF86" i="31097"/>
  <c r="AF87" i="31097"/>
  <c r="AF88" i="31097"/>
  <c r="AF90" i="31097"/>
  <c r="AF91" i="31097"/>
  <c r="AF92" i="31097"/>
  <c r="AF93" i="31097"/>
  <c r="AF46" i="31097"/>
  <c r="AF47" i="31097"/>
  <c r="AF48" i="31097"/>
  <c r="AF49" i="31097"/>
  <c r="AF50" i="31097"/>
  <c r="AF51" i="31097"/>
  <c r="AF52" i="31097"/>
  <c r="AF53" i="31097"/>
  <c r="AF54" i="31097"/>
  <c r="AF55" i="31097"/>
  <c r="AF56" i="31097"/>
  <c r="AF57" i="31097"/>
  <c r="AF58" i="31097"/>
  <c r="AF59" i="31097"/>
  <c r="AF62" i="31097"/>
  <c r="AF63" i="31097"/>
  <c r="AF64" i="31097"/>
  <c r="AF65" i="31097"/>
  <c r="AF20" i="31097"/>
  <c r="AF21" i="31097"/>
  <c r="AF22" i="31097"/>
  <c r="AF23" i="31097"/>
  <c r="AF24" i="31097"/>
  <c r="AF25" i="31097"/>
  <c r="AF26" i="31097"/>
  <c r="AF27" i="31097"/>
  <c r="AF28" i="31097"/>
  <c r="AF29" i="31097"/>
  <c r="AF30" i="31097"/>
  <c r="AF32" i="31097"/>
  <c r="AF33" i="31097"/>
  <c r="AF34" i="31097"/>
  <c r="AF35" i="31097"/>
  <c r="AF36" i="31097"/>
  <c r="AF37" i="31097"/>
  <c r="AF38" i="31097"/>
  <c r="AF39" i="31097"/>
  <c r="AF40" i="31097"/>
  <c r="AF41" i="31097"/>
  <c r="AF42" i="31097"/>
  <c r="AF43" i="31097"/>
  <c r="AF44" i="31097"/>
  <c r="AF45" i="31097"/>
  <c r="AF7" i="31097"/>
  <c r="AF8" i="31097"/>
  <c r="AF9" i="31097"/>
  <c r="AF10" i="31097"/>
  <c r="AF11" i="31097"/>
  <c r="AF12" i="31097"/>
  <c r="AF13" i="31097"/>
  <c r="AF15" i="31097"/>
  <c r="AF16" i="31097"/>
  <c r="AF17" i="31097"/>
  <c r="AF18" i="31097"/>
  <c r="AF19" i="31097"/>
  <c r="AF6" i="31097"/>
  <c r="AF5" i="31097"/>
  <c r="AF4" i="31097"/>
  <c r="S132" i="31096"/>
  <c r="T132" i="31096"/>
  <c r="U132" i="31096"/>
  <c r="V132" i="31096"/>
  <c r="S101" i="31096"/>
  <c r="T101" i="31096"/>
  <c r="U101" i="31096"/>
  <c r="V101" i="31096"/>
  <c r="S37" i="31096"/>
  <c r="T37" i="31096"/>
  <c r="U37" i="31096"/>
  <c r="P41" i="31096"/>
  <c r="P40" i="31096"/>
  <c r="P39" i="31096"/>
  <c r="P38" i="31096"/>
  <c r="O41" i="31096"/>
  <c r="O40" i="31096"/>
  <c r="O39" i="31096"/>
  <c r="O38" i="31096"/>
  <c r="N41" i="31096"/>
  <c r="N40" i="31096"/>
  <c r="N39" i="31096"/>
  <c r="N38" i="31096"/>
  <c r="M41" i="31096"/>
  <c r="M40" i="31096"/>
  <c r="M39" i="31096"/>
  <c r="M38" i="31096"/>
  <c r="L40" i="31096"/>
  <c r="L39" i="31096"/>
  <c r="L38" i="31096"/>
  <c r="K41" i="31096"/>
  <c r="K40" i="31096"/>
  <c r="K39" i="31096"/>
  <c r="K38" i="31096"/>
  <c r="I41" i="31096"/>
  <c r="I40" i="31096"/>
  <c r="I39" i="31096"/>
  <c r="I38" i="31096"/>
  <c r="H40" i="31096"/>
  <c r="H41" i="31096"/>
  <c r="H39" i="31096"/>
  <c r="H38" i="31096"/>
  <c r="G38" i="31096"/>
  <c r="G39" i="31096"/>
  <c r="G40" i="31096"/>
  <c r="G41" i="31096"/>
  <c r="F41" i="31096"/>
  <c r="F40" i="31096"/>
  <c r="F39" i="31096"/>
  <c r="F38" i="31096"/>
  <c r="E41" i="31096"/>
  <c r="E40" i="31096"/>
  <c r="E39" i="31096"/>
  <c r="E38" i="31096"/>
  <c r="D41" i="31096"/>
  <c r="D40" i="31096"/>
  <c r="D39" i="31096"/>
  <c r="D38" i="31096"/>
  <c r="C41" i="31096"/>
  <c r="C40" i="31096"/>
  <c r="C39" i="31096"/>
  <c r="C38" i="31096"/>
  <c r="L36" i="31096"/>
  <c r="H36" i="31096"/>
  <c r="G36" i="31096"/>
  <c r="F36" i="31096"/>
  <c r="E36" i="31096"/>
  <c r="S111" i="31088"/>
  <c r="T111" i="31088"/>
  <c r="S112" i="31088"/>
  <c r="T112" i="31088"/>
  <c r="S113" i="31088"/>
  <c r="T113" i="31088"/>
  <c r="S114" i="31088"/>
  <c r="T114" i="31088"/>
  <c r="S78" i="31088"/>
  <c r="T78" i="31088"/>
  <c r="U78" i="31088"/>
  <c r="V78" i="31088"/>
  <c r="S79" i="31088"/>
  <c r="T79" i="31088"/>
  <c r="U79" i="31088"/>
  <c r="V79" i="31088"/>
  <c r="S80" i="31088"/>
  <c r="T80" i="31088"/>
  <c r="U80" i="31088"/>
  <c r="V80" i="31088"/>
  <c r="S81" i="31088"/>
  <c r="T81" i="31088"/>
  <c r="U81" i="31088"/>
  <c r="V81" i="31088"/>
  <c r="O40" i="31088"/>
  <c r="N40" i="31088"/>
  <c r="J40" i="31088"/>
  <c r="I40" i="31088"/>
  <c r="O39" i="31088"/>
  <c r="N39" i="31088"/>
  <c r="J39" i="31088"/>
  <c r="I39" i="31088"/>
  <c r="O38" i="31088"/>
  <c r="N38" i="31088"/>
  <c r="L38" i="31088"/>
  <c r="K38" i="31088"/>
  <c r="J38" i="31088"/>
  <c r="I38" i="31088"/>
  <c r="O37" i="31088"/>
  <c r="N37" i="31088"/>
  <c r="L37" i="31088"/>
  <c r="K37" i="31088"/>
  <c r="J37" i="31088"/>
  <c r="I37" i="31088"/>
  <c r="S35" i="31088"/>
  <c r="T35" i="31088"/>
  <c r="M34" i="31088"/>
  <c r="H34" i="31088"/>
  <c r="G34" i="31088"/>
  <c r="V35" i="31088" s="1"/>
  <c r="F34" i="31088"/>
  <c r="U35" i="31088" s="1"/>
  <c r="E34" i="31088"/>
  <c r="D34" i="31088"/>
  <c r="AE48" i="31098" l="1"/>
  <c r="AE161" i="31097"/>
  <c r="D36" i="31096"/>
  <c r="C36" i="31096" s="1"/>
  <c r="C34" i="31088"/>
  <c r="S101" i="31087" l="1"/>
  <c r="T101" i="31087"/>
  <c r="S102" i="31087"/>
  <c r="T102" i="31087"/>
  <c r="S103" i="31087"/>
  <c r="T103" i="31087"/>
  <c r="S69" i="31087"/>
  <c r="T69" i="31087"/>
  <c r="U69" i="31087"/>
  <c r="V69" i="31087"/>
  <c r="S70" i="31087"/>
  <c r="T70" i="31087"/>
  <c r="U70" i="31087"/>
  <c r="V70" i="31087"/>
  <c r="S71" i="31087"/>
  <c r="T71" i="31087"/>
  <c r="U71" i="31087"/>
  <c r="V71" i="31087"/>
  <c r="O40" i="31087"/>
  <c r="N40" i="31087"/>
  <c r="J40" i="31087"/>
  <c r="I40" i="31087"/>
  <c r="O39" i="31087"/>
  <c r="N39" i="31087"/>
  <c r="J39" i="31087"/>
  <c r="I39" i="31087"/>
  <c r="O38" i="31087"/>
  <c r="N38" i="31087"/>
  <c r="L38" i="31087"/>
  <c r="K38" i="31087"/>
  <c r="J38" i="31087"/>
  <c r="I38" i="31087"/>
  <c r="O37" i="31087"/>
  <c r="N37" i="31087"/>
  <c r="L37" i="31087"/>
  <c r="K37" i="31087"/>
  <c r="J37" i="31087"/>
  <c r="I37" i="31087"/>
  <c r="M34" i="31087"/>
  <c r="R102" i="31087" s="1"/>
  <c r="H34" i="31087"/>
  <c r="R70" i="31087" s="1"/>
  <c r="G34" i="31087"/>
  <c r="V32" i="31087" s="1"/>
  <c r="F34" i="31087"/>
  <c r="U32" i="31087" s="1"/>
  <c r="E34" i="31087"/>
  <c r="T32" i="31087" s="1"/>
  <c r="D34" i="31087"/>
  <c r="S32" i="31087" s="1"/>
  <c r="W103" i="31086"/>
  <c r="X103" i="31086"/>
  <c r="W104" i="31086"/>
  <c r="X104" i="31086"/>
  <c r="W70" i="31086"/>
  <c r="X70" i="31086"/>
  <c r="Y70" i="31086"/>
  <c r="Z70" i="31086"/>
  <c r="W71" i="31086"/>
  <c r="X71" i="31086"/>
  <c r="Y71" i="31086"/>
  <c r="Z71" i="31086"/>
  <c r="O40" i="31086"/>
  <c r="N40" i="31086"/>
  <c r="J40" i="31086"/>
  <c r="I40" i="31086"/>
  <c r="O39" i="31086"/>
  <c r="N39" i="31086"/>
  <c r="J39" i="31086"/>
  <c r="I39" i="31086"/>
  <c r="O38" i="31086"/>
  <c r="N38" i="31086"/>
  <c r="L38" i="31086"/>
  <c r="K38" i="31086"/>
  <c r="J38" i="31086"/>
  <c r="I38" i="31086"/>
  <c r="O37" i="31086"/>
  <c r="N37" i="31086"/>
  <c r="L37" i="31086"/>
  <c r="K37" i="31086"/>
  <c r="J37" i="31086"/>
  <c r="I37" i="31086"/>
  <c r="C34" i="31087" l="1"/>
  <c r="R32" i="31087" s="1"/>
  <c r="M34" i="31086" l="1"/>
  <c r="V103" i="31086" s="1"/>
  <c r="H34" i="31086"/>
  <c r="V70" i="31086" s="1"/>
  <c r="G34" i="31086"/>
  <c r="Z32" i="31086" s="1"/>
  <c r="F34" i="31086"/>
  <c r="Y32" i="31086" s="1"/>
  <c r="E34" i="31086"/>
  <c r="X32" i="31086" s="1"/>
  <c r="D34" i="31086"/>
  <c r="W32" i="31086" s="1"/>
  <c r="C34" i="31086" l="1"/>
  <c r="V32" i="31086" s="1"/>
  <c r="AD159" i="31097"/>
  <c r="L35" i="31096"/>
  <c r="H35" i="31096"/>
  <c r="G35" i="31096"/>
  <c r="F35" i="31096"/>
  <c r="E35" i="31096"/>
  <c r="D35" i="31096" l="1"/>
  <c r="C35" i="31096" s="1"/>
  <c r="AH15" i="31099"/>
  <c r="AD21" i="31098"/>
  <c r="AD12" i="31098"/>
  <c r="BQ31" i="31099" s="1"/>
  <c r="AF18" i="31098"/>
  <c r="AF19" i="31098"/>
  <c r="AF20" i="31098"/>
  <c r="AF17" i="31098"/>
  <c r="AF16" i="31098"/>
  <c r="AD39" i="31098"/>
  <c r="BQ60" i="31099" s="1"/>
  <c r="A142" i="31097"/>
  <c r="BQ59" i="31099"/>
  <c r="BQ58" i="31099" s="1"/>
  <c r="AH13" i="31099" l="1"/>
  <c r="AD48" i="31098"/>
  <c r="AD138" i="31097"/>
  <c r="BQ42" i="31099" s="1"/>
  <c r="BQ41" i="31099" s="1"/>
  <c r="AD109" i="31097"/>
  <c r="BQ30" i="31099" l="1"/>
  <c r="BQ29" i="31099" s="1"/>
  <c r="AD161" i="31097"/>
  <c r="AH14" i="31099" s="1"/>
  <c r="AH6" i="31099" s="1"/>
  <c r="S131" i="31096"/>
  <c r="T131" i="31096"/>
  <c r="U131" i="31096"/>
  <c r="V131" i="31096"/>
  <c r="T99" i="31096"/>
  <c r="U99" i="31096"/>
  <c r="V99" i="31096"/>
  <c r="T100" i="31096"/>
  <c r="U100" i="31096"/>
  <c r="V100" i="31096"/>
  <c r="S100" i="31096"/>
  <c r="U36" i="31096" l="1"/>
  <c r="T36" i="31096"/>
  <c r="S36" i="31096" s="1"/>
  <c r="BQ14" i="31099"/>
  <c r="E100" i="31079"/>
  <c r="S100" i="31079" l="1"/>
  <c r="T100" i="31079"/>
  <c r="T99" i="31079"/>
  <c r="S99" i="31079"/>
  <c r="S71" i="1049" l="1"/>
  <c r="T71" i="1049"/>
  <c r="U71" i="1049"/>
  <c r="V71" i="1049"/>
  <c r="Y71" i="1049"/>
  <c r="Z71" i="1049"/>
  <c r="AA71" i="1049"/>
  <c r="AB71" i="1049"/>
  <c r="N34" i="1049"/>
  <c r="I34" i="1049"/>
  <c r="F34" i="31078"/>
  <c r="E34" i="31078"/>
  <c r="D34" i="31078"/>
  <c r="C34" i="31078"/>
  <c r="G34" i="31065"/>
  <c r="K34" i="31065"/>
  <c r="L34" i="31065"/>
  <c r="M34" i="31065"/>
  <c r="N34" i="31065"/>
  <c r="K34" i="31060"/>
  <c r="H34" i="31060" s="1"/>
  <c r="K34" i="31077"/>
  <c r="H34" i="31077"/>
  <c r="G34" i="31077"/>
  <c r="I34" i="31063"/>
  <c r="F34" i="31063"/>
  <c r="E34" i="31063"/>
  <c r="P68" i="31063" s="1"/>
  <c r="D34" i="31063"/>
  <c r="D34" i="1049" l="1"/>
  <c r="AC71" i="1049"/>
  <c r="G34" i="31078"/>
  <c r="O68" i="31063"/>
  <c r="P99" i="31063"/>
  <c r="O99" i="31063"/>
  <c r="W71" i="1049"/>
  <c r="J34" i="31060"/>
  <c r="D34" i="31060"/>
  <c r="F34" i="31060"/>
  <c r="C34" i="31063"/>
  <c r="I34" i="31076" l="1"/>
  <c r="F34" i="31076"/>
  <c r="E34" i="31076"/>
  <c r="D34" i="31076"/>
  <c r="D34" i="31077" s="1"/>
  <c r="N35" i="31089"/>
  <c r="P35" i="31089"/>
  <c r="Q35" i="31089"/>
  <c r="R35" i="31089"/>
  <c r="S35" i="31089"/>
  <c r="T35" i="31089"/>
  <c r="O35" i="31089" l="1"/>
  <c r="E34" i="31077"/>
  <c r="O34" i="31077"/>
  <c r="F34" i="31067"/>
  <c r="I34" i="31077"/>
  <c r="E34" i="31067"/>
  <c r="F34" i="31077"/>
  <c r="P74" i="31076"/>
  <c r="C34" i="31076"/>
  <c r="O74" i="31076"/>
  <c r="O72" i="31077" l="1"/>
  <c r="D34" i="31067"/>
  <c r="P72" i="31077"/>
  <c r="C34" i="31077"/>
  <c r="P34" i="31077"/>
  <c r="C35" i="31089"/>
  <c r="C38" i="31089" s="1"/>
  <c r="M35" i="31088"/>
  <c r="H35" i="31088"/>
  <c r="G35" i="31088"/>
  <c r="F35" i="31088"/>
  <c r="E35" i="31088"/>
  <c r="D35" i="31088"/>
  <c r="M37" i="31088" l="1"/>
  <c r="T36" i="31088"/>
  <c r="E37" i="31088"/>
  <c r="U36" i="31088"/>
  <c r="F37" i="31088"/>
  <c r="H37" i="31088"/>
  <c r="V36" i="31088"/>
  <c r="G37" i="31088"/>
  <c r="S36" i="31088"/>
  <c r="D37" i="31088"/>
  <c r="C35" i="31088"/>
  <c r="I14" i="2"/>
  <c r="I41" i="2" s="1"/>
  <c r="H14" i="2"/>
  <c r="H41" i="2" s="1"/>
  <c r="F14" i="2"/>
  <c r="F41" i="2" s="1"/>
  <c r="E14" i="2"/>
  <c r="E41" i="2" s="1"/>
  <c r="D14" i="2"/>
  <c r="D41" i="2" s="1"/>
  <c r="C14" i="2"/>
  <c r="M35" i="31087"/>
  <c r="R103" i="31087" s="1"/>
  <c r="H35" i="31087"/>
  <c r="R71" i="31087" s="1"/>
  <c r="G35" i="31087"/>
  <c r="F35" i="31087"/>
  <c r="E35" i="31087"/>
  <c r="D35" i="31087"/>
  <c r="C37" i="31088" l="1"/>
  <c r="M37" i="31087"/>
  <c r="H37" i="31087"/>
  <c r="V33" i="31087"/>
  <c r="G37" i="31087"/>
  <c r="D37" i="31087"/>
  <c r="S33" i="31087"/>
  <c r="E37" i="31087"/>
  <c r="T33" i="31087"/>
  <c r="F37" i="31087"/>
  <c r="U33" i="31087"/>
  <c r="C28" i="2"/>
  <c r="C41" i="2"/>
  <c r="C34" i="31067"/>
  <c r="E28" i="2"/>
  <c r="F28" i="2"/>
  <c r="C35" i="31087"/>
  <c r="R33" i="31087" l="1"/>
  <c r="C37" i="31087"/>
  <c r="M35" i="31086"/>
  <c r="H35" i="31086"/>
  <c r="G35" i="31086"/>
  <c r="F35" i="31086"/>
  <c r="E35" i="31086"/>
  <c r="D35" i="31086"/>
  <c r="W33" i="31086" l="1"/>
  <c r="D37" i="31086"/>
  <c r="X33" i="31086"/>
  <c r="E37" i="31086"/>
  <c r="Y33" i="31086"/>
  <c r="F37" i="31086"/>
  <c r="Z33" i="31086"/>
  <c r="G37" i="31086"/>
  <c r="H37" i="31086"/>
  <c r="V71" i="31086"/>
  <c r="V104" i="31086"/>
  <c r="M37" i="31086"/>
  <c r="C35" i="31086"/>
  <c r="V33" i="31086" l="1"/>
  <c r="C37" i="31086"/>
  <c r="E26" i="31067"/>
  <c r="J13" i="2" l="1"/>
  <c r="P34" i="31089" l="1"/>
  <c r="Q34" i="31089"/>
  <c r="R34" i="31089"/>
  <c r="S34" i="31089"/>
  <c r="T34" i="31089"/>
  <c r="O34" i="31089" l="1"/>
  <c r="D28" i="31088"/>
  <c r="E28" i="31088"/>
  <c r="F28" i="31088"/>
  <c r="G28" i="31088"/>
  <c r="AP59" i="31099" l="1"/>
  <c r="AQ59" i="31099"/>
  <c r="AR59" i="31099"/>
  <c r="AS59" i="31099"/>
  <c r="AT59" i="31099"/>
  <c r="AU59" i="31099"/>
  <c r="AV59" i="31099"/>
  <c r="AW59" i="31099"/>
  <c r="AX59" i="31099"/>
  <c r="AY59" i="31099"/>
  <c r="AZ59" i="31099"/>
  <c r="BA59" i="31099"/>
  <c r="BB59" i="31099"/>
  <c r="BC59" i="31099"/>
  <c r="BD59" i="31099"/>
  <c r="BE59" i="31099"/>
  <c r="BF59" i="31099"/>
  <c r="BG59" i="31099"/>
  <c r="BH59" i="31099"/>
  <c r="BI59" i="31099"/>
  <c r="BJ59" i="31099"/>
  <c r="BK59" i="31099"/>
  <c r="AP42" i="31099"/>
  <c r="AQ42" i="31099"/>
  <c r="AR42" i="31099"/>
  <c r="AS42" i="31099"/>
  <c r="AT42" i="31099"/>
  <c r="AU42" i="31099"/>
  <c r="AV42" i="31099"/>
  <c r="AW42" i="31099"/>
  <c r="AX42" i="31099"/>
  <c r="AY42" i="31099"/>
  <c r="AZ42" i="31099"/>
  <c r="BA42" i="31099"/>
  <c r="BB42" i="31099"/>
  <c r="BC42" i="31099"/>
  <c r="BD42" i="31099"/>
  <c r="BE42" i="31099"/>
  <c r="BF42" i="31099"/>
  <c r="BG42" i="31099"/>
  <c r="BH42" i="31099"/>
  <c r="BI42" i="31099"/>
  <c r="BJ42" i="31099"/>
  <c r="BK42" i="31099"/>
  <c r="AP30" i="31099"/>
  <c r="AQ30" i="31099"/>
  <c r="AR30" i="31099"/>
  <c r="AS30" i="31099"/>
  <c r="AT30" i="31099"/>
  <c r="AU30" i="31099"/>
  <c r="AV30" i="31099"/>
  <c r="AW30" i="31099"/>
  <c r="AX30" i="31099"/>
  <c r="AY30" i="31099"/>
  <c r="AZ30" i="31099"/>
  <c r="BA30" i="31099"/>
  <c r="BB30" i="31099"/>
  <c r="BC30" i="31099"/>
  <c r="BD30" i="31099"/>
  <c r="BE30" i="31099"/>
  <c r="BF30" i="31099"/>
  <c r="BG30" i="31099"/>
  <c r="BH30" i="31099"/>
  <c r="BI30" i="31099"/>
  <c r="BJ30" i="31099"/>
  <c r="BK30" i="31099"/>
  <c r="AG15" i="31099"/>
  <c r="AC39" i="31098" l="1"/>
  <c r="BP60" i="31099" s="1"/>
  <c r="AF21" i="31098"/>
  <c r="AC21" i="31098"/>
  <c r="AC12" i="31098"/>
  <c r="AI19" i="31097"/>
  <c r="AC159" i="31097"/>
  <c r="BP59" i="31099" s="1"/>
  <c r="AC138" i="31097"/>
  <c r="BP42" i="31099" s="1"/>
  <c r="BP41" i="31099" s="1"/>
  <c r="AF12" i="31098" l="1"/>
  <c r="AG13" i="31099"/>
  <c r="BP31" i="31099"/>
  <c r="BP58" i="31099"/>
  <c r="AC48" i="31098"/>
  <c r="AC109" i="31097"/>
  <c r="AC161" i="31097" l="1"/>
  <c r="AG14" i="31099" s="1"/>
  <c r="BP14" i="31099" s="1"/>
  <c r="BP30" i="31099"/>
  <c r="BP29" i="31099" s="1"/>
  <c r="V130" i="31096"/>
  <c r="L34" i="31096"/>
  <c r="H34" i="31096"/>
  <c r="G34" i="31096"/>
  <c r="F34" i="31096"/>
  <c r="E34" i="31096"/>
  <c r="T35" i="31096" l="1"/>
  <c r="S130" i="31096"/>
  <c r="S99" i="31096"/>
  <c r="U35" i="31096"/>
  <c r="AG6" i="31099"/>
  <c r="D34" i="31096"/>
  <c r="T130" i="31096"/>
  <c r="U130" i="31096"/>
  <c r="S35" i="31096" l="1"/>
  <c r="C34" i="31096"/>
  <c r="C34" i="31089" l="1"/>
  <c r="N34" i="31089"/>
  <c r="E99" i="31079" l="1"/>
  <c r="D32" i="31067" l="1"/>
  <c r="C32" i="31067"/>
  <c r="D33" i="31067"/>
  <c r="C33" i="31067"/>
  <c r="Y70" i="1049"/>
  <c r="Z70" i="1049"/>
  <c r="AA70" i="1049"/>
  <c r="AB70" i="1049"/>
  <c r="V67" i="1049"/>
  <c r="V68" i="1049"/>
  <c r="V69" i="1049"/>
  <c r="V70" i="1049"/>
  <c r="U70" i="1049"/>
  <c r="T70" i="1049"/>
  <c r="S70" i="1049"/>
  <c r="S69" i="1049"/>
  <c r="N33" i="1049"/>
  <c r="I33" i="1049"/>
  <c r="AC70" i="1049" l="1"/>
  <c r="W70" i="1049"/>
  <c r="D33" i="1049"/>
  <c r="O34" i="1049" l="1"/>
  <c r="C33" i="31078"/>
  <c r="D33" i="31078"/>
  <c r="E33" i="31078"/>
  <c r="F33" i="31078"/>
  <c r="K33" i="31065"/>
  <c r="L33" i="31065"/>
  <c r="M33" i="31065"/>
  <c r="N33" i="31065"/>
  <c r="K33" i="31060"/>
  <c r="G33" i="31077"/>
  <c r="H33" i="31077"/>
  <c r="K33" i="31077"/>
  <c r="I33" i="31063"/>
  <c r="F33" i="31063"/>
  <c r="E33" i="31063"/>
  <c r="D33" i="31063"/>
  <c r="J33" i="31060" l="1"/>
  <c r="P98" i="31063"/>
  <c r="P67" i="31063"/>
  <c r="O67" i="31063"/>
  <c r="O98" i="31063"/>
  <c r="G33" i="31078"/>
  <c r="D33" i="31060"/>
  <c r="H33" i="31060"/>
  <c r="F33" i="31060"/>
  <c r="C33" i="31063"/>
  <c r="I33" i="31076" l="1"/>
  <c r="F33" i="31076"/>
  <c r="E33" i="31076"/>
  <c r="D33" i="31076"/>
  <c r="M33" i="31088"/>
  <c r="H33" i="31088"/>
  <c r="G33" i="31088"/>
  <c r="V34" i="31088" s="1"/>
  <c r="F33" i="31088"/>
  <c r="U34" i="31088" s="1"/>
  <c r="E33" i="31088"/>
  <c r="T34" i="31088" s="1"/>
  <c r="D33" i="31088"/>
  <c r="S34" i="31088" s="1"/>
  <c r="C40" i="2"/>
  <c r="D40" i="2"/>
  <c r="H40" i="2"/>
  <c r="I40" i="2"/>
  <c r="I28" i="2"/>
  <c r="H28" i="2"/>
  <c r="D28" i="2"/>
  <c r="H27" i="2"/>
  <c r="D27" i="2"/>
  <c r="C27" i="2"/>
  <c r="I27" i="2"/>
  <c r="C26" i="2"/>
  <c r="N13" i="2"/>
  <c r="M13" i="2"/>
  <c r="L13" i="2"/>
  <c r="L27" i="2" s="1"/>
  <c r="K13" i="2"/>
  <c r="K27" i="2" s="1"/>
  <c r="G13" i="2"/>
  <c r="M33" i="31087"/>
  <c r="R101" i="31087" s="1"/>
  <c r="H33" i="31087"/>
  <c r="R69" i="31087" s="1"/>
  <c r="G33" i="31087"/>
  <c r="V31" i="31087" s="1"/>
  <c r="F33" i="31087"/>
  <c r="U31" i="31087" s="1"/>
  <c r="E33" i="31087"/>
  <c r="T31" i="31087" s="1"/>
  <c r="D33" i="31087"/>
  <c r="S31" i="31087" s="1"/>
  <c r="W102" i="31086"/>
  <c r="X102" i="31086"/>
  <c r="W69" i="31086"/>
  <c r="X69" i="31086"/>
  <c r="Y69" i="31086"/>
  <c r="Z69" i="31086"/>
  <c r="L40" i="2" l="1"/>
  <c r="K40" i="2"/>
  <c r="I33" i="31077"/>
  <c r="P73" i="31076"/>
  <c r="E33" i="31077"/>
  <c r="C33" i="31076"/>
  <c r="D33" i="31077"/>
  <c r="F33" i="31077"/>
  <c r="O73" i="31076"/>
  <c r="C33" i="31088"/>
  <c r="O13" i="2"/>
  <c r="C33" i="31087"/>
  <c r="R31" i="31087" s="1"/>
  <c r="O27" i="2" l="1"/>
  <c r="O40" i="2"/>
  <c r="P71" i="31077"/>
  <c r="P33" i="31077"/>
  <c r="O33" i="31077"/>
  <c r="O71" i="31077"/>
  <c r="C33" i="31077"/>
  <c r="M33" i="31086"/>
  <c r="H33" i="31086"/>
  <c r="G33" i="31086"/>
  <c r="F33" i="31086"/>
  <c r="E33" i="31086"/>
  <c r="D33" i="31086"/>
  <c r="W31" i="31086" l="1"/>
  <c r="X31" i="31086"/>
  <c r="V69" i="31086"/>
  <c r="Z31" i="31086"/>
  <c r="Y31" i="31086"/>
  <c r="V102" i="31086"/>
  <c r="C33" i="31086"/>
  <c r="AE15" i="31099"/>
  <c r="AF15" i="31099"/>
  <c r="AA39" i="31098"/>
  <c r="BN60" i="31099" s="1"/>
  <c r="AA21" i="31098"/>
  <c r="AB12" i="31098"/>
  <c r="BO31" i="31099" s="1"/>
  <c r="AA12" i="31098"/>
  <c r="AA159" i="31097"/>
  <c r="BN59" i="31099" s="1"/>
  <c r="AA138" i="31097"/>
  <c r="BN42" i="31099" s="1"/>
  <c r="AA109" i="31097"/>
  <c r="BN30" i="31099" s="1"/>
  <c r="V115" i="31096"/>
  <c r="V116" i="31096"/>
  <c r="V117" i="31096"/>
  <c r="V118" i="31096"/>
  <c r="V119" i="31096"/>
  <c r="V120" i="31096"/>
  <c r="V121" i="31096"/>
  <c r="V122" i="31096"/>
  <c r="V123" i="31096"/>
  <c r="V124" i="31096"/>
  <c r="V125" i="31096"/>
  <c r="V126" i="31096"/>
  <c r="V127" i="31096"/>
  <c r="V128" i="31096"/>
  <c r="V129" i="31096"/>
  <c r="T74" i="31096"/>
  <c r="U74" i="31096"/>
  <c r="V74" i="31096"/>
  <c r="T75" i="31096"/>
  <c r="U75" i="31096"/>
  <c r="V75" i="31096"/>
  <c r="T76" i="31096"/>
  <c r="U76" i="31096"/>
  <c r="V76" i="31096"/>
  <c r="T77" i="31096"/>
  <c r="U77" i="31096"/>
  <c r="V77" i="31096"/>
  <c r="T78" i="31096"/>
  <c r="U78" i="31096"/>
  <c r="V78" i="31096"/>
  <c r="T79" i="31096"/>
  <c r="U79" i="31096"/>
  <c r="V79" i="31096"/>
  <c r="T80" i="31096"/>
  <c r="U80" i="31096"/>
  <c r="V80" i="31096"/>
  <c r="T81" i="31096"/>
  <c r="U81" i="31096"/>
  <c r="V81" i="31096"/>
  <c r="T82" i="31096"/>
  <c r="U82" i="31096"/>
  <c r="V82" i="31096"/>
  <c r="T83" i="31096"/>
  <c r="U83" i="31096"/>
  <c r="V83" i="31096"/>
  <c r="T84" i="31096"/>
  <c r="U84" i="31096"/>
  <c r="V84" i="31096"/>
  <c r="T85" i="31096"/>
  <c r="U85" i="31096"/>
  <c r="V85" i="31096"/>
  <c r="T86" i="31096"/>
  <c r="U86" i="31096"/>
  <c r="V86" i="31096"/>
  <c r="T87" i="31096"/>
  <c r="U87" i="31096"/>
  <c r="V87" i="31096"/>
  <c r="T88" i="31096"/>
  <c r="U88" i="31096"/>
  <c r="V88" i="31096"/>
  <c r="T89" i="31096"/>
  <c r="U89" i="31096"/>
  <c r="V89" i="31096"/>
  <c r="T90" i="31096"/>
  <c r="U90" i="31096"/>
  <c r="V90" i="31096"/>
  <c r="T91" i="31096"/>
  <c r="U91" i="31096"/>
  <c r="V91" i="31096"/>
  <c r="T92" i="31096"/>
  <c r="U92" i="31096"/>
  <c r="V92" i="31096"/>
  <c r="T93" i="31096"/>
  <c r="U93" i="31096"/>
  <c r="V93" i="31096"/>
  <c r="T94" i="31096"/>
  <c r="U94" i="31096"/>
  <c r="V94" i="31096"/>
  <c r="T95" i="31096"/>
  <c r="U95" i="31096"/>
  <c r="V95" i="31096"/>
  <c r="T97" i="31096"/>
  <c r="U97" i="31096"/>
  <c r="V97" i="31096"/>
  <c r="T98" i="31096"/>
  <c r="U98" i="31096"/>
  <c r="V98" i="31096"/>
  <c r="G33" i="31096"/>
  <c r="F33" i="31096"/>
  <c r="E33" i="31096"/>
  <c r="H33" i="31096"/>
  <c r="L33" i="31096"/>
  <c r="D33" i="31096" l="1"/>
  <c r="T129" i="31096"/>
  <c r="V31" i="31086"/>
  <c r="S98" i="31096"/>
  <c r="U34" i="31096"/>
  <c r="U129" i="31096"/>
  <c r="AE13" i="31099"/>
  <c r="BN31" i="31099"/>
  <c r="T34" i="31096"/>
  <c r="S34" i="31096" s="1"/>
  <c r="AA48" i="31098"/>
  <c r="S129" i="31096"/>
  <c r="AA161" i="31097"/>
  <c r="AE14" i="31099" s="1"/>
  <c r="BN14" i="31099" s="1"/>
  <c r="AE6" i="31099" l="1"/>
  <c r="C33" i="31096"/>
  <c r="BK41" i="31099"/>
  <c r="BJ41" i="31099"/>
  <c r="BI41" i="31099"/>
  <c r="BH41" i="31099"/>
  <c r="BG41" i="31099"/>
  <c r="BF41" i="31099"/>
  <c r="BE41" i="31099"/>
  <c r="BD41" i="31099"/>
  <c r="BC41" i="31099"/>
  <c r="BB41" i="31099"/>
  <c r="BA41" i="31099"/>
  <c r="AZ41" i="31099"/>
  <c r="AY41" i="31099"/>
  <c r="AX41" i="31099"/>
  <c r="AW41" i="31099"/>
  <c r="AV41" i="31099"/>
  <c r="AU41" i="31099"/>
  <c r="AT41" i="31099"/>
  <c r="AS41" i="31099"/>
  <c r="AR41" i="31099"/>
  <c r="AQ41" i="31099"/>
  <c r="AP41" i="31099"/>
  <c r="AD15" i="31099"/>
  <c r="AC15" i="31099"/>
  <c r="AB15" i="31099"/>
  <c r="AB14" i="31099"/>
  <c r="BK12" i="31099"/>
  <c r="BJ12" i="31099"/>
  <c r="BI12" i="31099"/>
  <c r="BH12" i="31099"/>
  <c r="BG12" i="31099"/>
  <c r="BF12" i="31099"/>
  <c r="BE12" i="31099"/>
  <c r="BD12" i="31099"/>
  <c r="BC12" i="31099"/>
  <c r="BB12" i="31099"/>
  <c r="BA12" i="31099"/>
  <c r="AZ12" i="31099"/>
  <c r="AY12" i="31099"/>
  <c r="AX12" i="31099"/>
  <c r="AW12" i="31099"/>
  <c r="AV12" i="31099"/>
  <c r="AU12" i="31099"/>
  <c r="AT12" i="31099"/>
  <c r="AS12" i="31099"/>
  <c r="AR12" i="31099"/>
  <c r="AQ12" i="31099"/>
  <c r="AP12" i="31099"/>
  <c r="AA6" i="31099"/>
  <c r="Z6" i="31099"/>
  <c r="Y6" i="31099"/>
  <c r="X6" i="31099"/>
  <c r="W6" i="31099"/>
  <c r="V6" i="31099"/>
  <c r="U6" i="31099"/>
  <c r="T6" i="31099"/>
  <c r="S6" i="31099"/>
  <c r="R6" i="31099"/>
  <c r="Q6" i="31099"/>
  <c r="P6" i="31099"/>
  <c r="O6" i="31099"/>
  <c r="N6" i="31099"/>
  <c r="M6" i="31099"/>
  <c r="L6" i="31099"/>
  <c r="K6" i="31099"/>
  <c r="J6" i="31099"/>
  <c r="I6" i="31099"/>
  <c r="H6" i="31099"/>
  <c r="G6" i="31099"/>
  <c r="F6" i="31099"/>
  <c r="E6" i="31099"/>
  <c r="D6" i="31099"/>
  <c r="C6" i="31099"/>
  <c r="B6" i="31099"/>
  <c r="T45" i="31098"/>
  <c r="O45" i="31098"/>
  <c r="AB39" i="31098"/>
  <c r="BO60" i="31099" s="1"/>
  <c r="Z39" i="31098"/>
  <c r="BM60" i="31099" s="1"/>
  <c r="Y39" i="31098"/>
  <c r="BL60" i="31099" s="1"/>
  <c r="X39" i="31098"/>
  <c r="BK60" i="31099" s="1"/>
  <c r="W39" i="31098"/>
  <c r="BJ60" i="31099" s="1"/>
  <c r="BJ58" i="31099" s="1"/>
  <c r="V39" i="31098"/>
  <c r="BI60" i="31099" s="1"/>
  <c r="BI58" i="31099" s="1"/>
  <c r="U39" i="31098"/>
  <c r="BH60" i="31099" s="1"/>
  <c r="BH58" i="31099" s="1"/>
  <c r="T39" i="31098"/>
  <c r="BG60" i="31099" s="1"/>
  <c r="BG58" i="31099" s="1"/>
  <c r="S39" i="31098"/>
  <c r="BF60" i="31099" s="1"/>
  <c r="BF58" i="31099" s="1"/>
  <c r="R39" i="31098"/>
  <c r="BE60" i="31099" s="1"/>
  <c r="BE58" i="31099" s="1"/>
  <c r="Q39" i="31098"/>
  <c r="BD60" i="31099" s="1"/>
  <c r="BD58" i="31099" s="1"/>
  <c r="P39" i="31098"/>
  <c r="BC60" i="31099" s="1"/>
  <c r="BC58" i="31099" s="1"/>
  <c r="O39" i="31098"/>
  <c r="BB60" i="31099" s="1"/>
  <c r="BB58" i="31099" s="1"/>
  <c r="N39" i="31098"/>
  <c r="BA60" i="31099" s="1"/>
  <c r="BA58" i="31099" s="1"/>
  <c r="M39" i="31098"/>
  <c r="AZ60" i="31099" s="1"/>
  <c r="AZ58" i="31099" s="1"/>
  <c r="L39" i="31098"/>
  <c r="AY60" i="31099" s="1"/>
  <c r="AY58" i="31099" s="1"/>
  <c r="K39" i="31098"/>
  <c r="AX60" i="31099" s="1"/>
  <c r="AX58" i="31099" s="1"/>
  <c r="J39" i="31098"/>
  <c r="AW60" i="31099" s="1"/>
  <c r="AW58" i="31099" s="1"/>
  <c r="I39" i="31098"/>
  <c r="AV60" i="31099" s="1"/>
  <c r="AV58" i="31099" s="1"/>
  <c r="H39" i="31098"/>
  <c r="AU60" i="31099" s="1"/>
  <c r="AU58" i="31099" s="1"/>
  <c r="F39" i="31098"/>
  <c r="AS60" i="31099" s="1"/>
  <c r="AS58" i="31099" s="1"/>
  <c r="E39" i="31098"/>
  <c r="AR60" i="31099" s="1"/>
  <c r="AR58" i="31099" s="1"/>
  <c r="D39" i="31098"/>
  <c r="AQ60" i="31099" s="1"/>
  <c r="AQ58" i="31099" s="1"/>
  <c r="C39" i="31098"/>
  <c r="AP60" i="31099" s="1"/>
  <c r="AP58" i="31099" s="1"/>
  <c r="G29" i="31098"/>
  <c r="AB21" i="31098"/>
  <c r="Z21" i="31098"/>
  <c r="Y21" i="31098"/>
  <c r="X21" i="31098"/>
  <c r="W21" i="31098"/>
  <c r="V21" i="31098"/>
  <c r="U21" i="31098"/>
  <c r="T21" i="31098"/>
  <c r="S21" i="31098"/>
  <c r="R21" i="31098"/>
  <c r="Q21" i="31098"/>
  <c r="P21" i="31098"/>
  <c r="O21" i="31098"/>
  <c r="N21" i="31098"/>
  <c r="M21" i="31098"/>
  <c r="L21" i="31098"/>
  <c r="K21" i="31098"/>
  <c r="J21" i="31098"/>
  <c r="I21" i="31098"/>
  <c r="H21" i="31098"/>
  <c r="G21" i="31098"/>
  <c r="F21" i="31098"/>
  <c r="E21" i="31098"/>
  <c r="D21" i="31098"/>
  <c r="C21" i="31098"/>
  <c r="A17" i="31098"/>
  <c r="A18" i="31098" s="1"/>
  <c r="A19" i="31098" s="1"/>
  <c r="A20" i="31098" s="1"/>
  <c r="Z12" i="31098"/>
  <c r="BM31" i="31099" s="1"/>
  <c r="Y12" i="31098"/>
  <c r="BL31" i="31099" s="1"/>
  <c r="X12" i="31098"/>
  <c r="W12" i="31098"/>
  <c r="V12" i="31098"/>
  <c r="BI31" i="31099" s="1"/>
  <c r="BI29" i="31099" s="1"/>
  <c r="U12" i="31098"/>
  <c r="BH31" i="31099" s="1"/>
  <c r="BH29" i="31099" s="1"/>
  <c r="T12" i="31098"/>
  <c r="BG31" i="31099" s="1"/>
  <c r="S12" i="31098"/>
  <c r="BF31" i="31099" s="1"/>
  <c r="R12" i="31098"/>
  <c r="BE31" i="31099" s="1"/>
  <c r="Q12" i="31098"/>
  <c r="BD31" i="31099" s="1"/>
  <c r="P12" i="31098"/>
  <c r="BC31" i="31099" s="1"/>
  <c r="O12" i="31098"/>
  <c r="BB31" i="31099" s="1"/>
  <c r="N12" i="31098"/>
  <c r="BA31" i="31099" s="1"/>
  <c r="M12" i="31098"/>
  <c r="AZ31" i="31099" s="1"/>
  <c r="L12" i="31098"/>
  <c r="AY31" i="31099" s="1"/>
  <c r="K12" i="31098"/>
  <c r="AX31" i="31099" s="1"/>
  <c r="J12" i="31098"/>
  <c r="AW31" i="31099" s="1"/>
  <c r="I12" i="31098"/>
  <c r="AV31" i="31099" s="1"/>
  <c r="H12" i="31098"/>
  <c r="AU31" i="31099" s="1"/>
  <c r="G12" i="31098"/>
  <c r="AT31" i="31099" s="1"/>
  <c r="F12" i="31098"/>
  <c r="E12" i="31098"/>
  <c r="AR31" i="31099" s="1"/>
  <c r="D12" i="31098"/>
  <c r="AQ31" i="31099" s="1"/>
  <c r="C12" i="31098"/>
  <c r="AP31" i="31099" s="1"/>
  <c r="A5" i="31098"/>
  <c r="A6" i="31098" s="1"/>
  <c r="A7" i="31098" s="1"/>
  <c r="A8" i="31098" s="1"/>
  <c r="A9" i="31098" s="1"/>
  <c r="A10" i="31098" s="1"/>
  <c r="A11" i="31098" s="1"/>
  <c r="AB159" i="31097"/>
  <c r="BO59" i="31099" s="1"/>
  <c r="Z159" i="31097"/>
  <c r="BM59" i="31099" s="1"/>
  <c r="Y159" i="31097"/>
  <c r="BL59" i="31099" s="1"/>
  <c r="A143" i="31097"/>
  <c r="A144" i="31097" s="1"/>
  <c r="A145" i="31097" s="1"/>
  <c r="A146" i="31097" s="1"/>
  <c r="A147" i="31097" s="1"/>
  <c r="A148" i="31097" s="1"/>
  <c r="A149" i="31097" s="1"/>
  <c r="A150" i="31097" s="1"/>
  <c r="A151" i="31097" s="1"/>
  <c r="A152" i="31097" s="1"/>
  <c r="AB138" i="31097"/>
  <c r="Z138" i="31097"/>
  <c r="Y138" i="31097"/>
  <c r="A114" i="31097"/>
  <c r="A115" i="31097" s="1"/>
  <c r="A116" i="31097" s="1"/>
  <c r="A117" i="31097" s="1"/>
  <c r="A118" i="31097" s="1"/>
  <c r="A119" i="31097" s="1"/>
  <c r="A120" i="31097" s="1"/>
  <c r="A121" i="31097" s="1"/>
  <c r="A122" i="31097" s="1"/>
  <c r="AB109" i="31097"/>
  <c r="BO30" i="31099" s="1"/>
  <c r="BO29" i="31099" s="1"/>
  <c r="Z109" i="31097"/>
  <c r="BM30" i="31099" s="1"/>
  <c r="Y109" i="31097"/>
  <c r="BL30" i="31099" s="1"/>
  <c r="A5" i="31097"/>
  <c r="A6" i="31097" s="1"/>
  <c r="A7" i="31097" s="1"/>
  <c r="A8" i="31097" s="1"/>
  <c r="A9" i="31097" s="1"/>
  <c r="A10" i="31097" s="1"/>
  <c r="A11" i="31097" s="1"/>
  <c r="A12" i="31097" s="1"/>
  <c r="A13" i="31097" s="1"/>
  <c r="V114" i="31096"/>
  <c r="V113" i="31096"/>
  <c r="V112" i="31096"/>
  <c r="V111" i="31096"/>
  <c r="V110" i="31096"/>
  <c r="V109" i="31096"/>
  <c r="V108" i="31096"/>
  <c r="V107" i="31096"/>
  <c r="V106" i="31096"/>
  <c r="V105" i="31096"/>
  <c r="V104" i="31096"/>
  <c r="V73" i="31096"/>
  <c r="U73" i="31096"/>
  <c r="T73" i="31096"/>
  <c r="V66" i="31096"/>
  <c r="U66" i="31096"/>
  <c r="T66" i="31096"/>
  <c r="V65" i="31096"/>
  <c r="U65" i="31096"/>
  <c r="T65" i="31096"/>
  <c r="V64" i="31096"/>
  <c r="U64" i="31096"/>
  <c r="T64" i="31096"/>
  <c r="V63" i="31096"/>
  <c r="U63" i="31096"/>
  <c r="T63" i="31096"/>
  <c r="V62" i="31096"/>
  <c r="U62" i="31096"/>
  <c r="T62" i="31096"/>
  <c r="V61" i="31096"/>
  <c r="U61" i="31096"/>
  <c r="T61" i="31096"/>
  <c r="V60" i="31096"/>
  <c r="U60" i="31096"/>
  <c r="T60" i="31096"/>
  <c r="V59" i="31096"/>
  <c r="U59" i="31096"/>
  <c r="T59" i="31096"/>
  <c r="V58" i="31096"/>
  <c r="U58" i="31096"/>
  <c r="T58" i="31096"/>
  <c r="V57" i="31096"/>
  <c r="U57" i="31096"/>
  <c r="T57" i="31096"/>
  <c r="V56" i="31096"/>
  <c r="U56" i="31096"/>
  <c r="T56" i="31096"/>
  <c r="V55" i="31096"/>
  <c r="U55" i="31096"/>
  <c r="T55" i="31096"/>
  <c r="V54" i="31096"/>
  <c r="U54" i="31096"/>
  <c r="T54" i="31096"/>
  <c r="V53" i="31096"/>
  <c r="U53" i="31096"/>
  <c r="T53" i="31096"/>
  <c r="V52" i="31096"/>
  <c r="U52" i="31096"/>
  <c r="T52" i="31096"/>
  <c r="V51" i="31096"/>
  <c r="U51" i="31096"/>
  <c r="T51" i="31096"/>
  <c r="V50" i="31096"/>
  <c r="U50" i="31096"/>
  <c r="T50" i="31096"/>
  <c r="V49" i="31096"/>
  <c r="U49" i="31096"/>
  <c r="T49" i="31096"/>
  <c r="V48" i="31096"/>
  <c r="U48" i="31096"/>
  <c r="T48" i="31096"/>
  <c r="V47" i="31096"/>
  <c r="U47" i="31096"/>
  <c r="T47" i="31096"/>
  <c r="L32" i="31096"/>
  <c r="H32" i="31096"/>
  <c r="G32" i="31096"/>
  <c r="F32" i="31096"/>
  <c r="E32" i="31096"/>
  <c r="O31" i="31096"/>
  <c r="V96" i="31096" s="1"/>
  <c r="N31" i="31096"/>
  <c r="U96" i="31096" s="1"/>
  <c r="M31" i="31096"/>
  <c r="T96" i="31096" s="1"/>
  <c r="K31" i="31096"/>
  <c r="I31" i="31096"/>
  <c r="L30" i="31096"/>
  <c r="H30" i="31096"/>
  <c r="G30" i="31096"/>
  <c r="F30" i="31096"/>
  <c r="E30" i="31096"/>
  <c r="L29" i="31096"/>
  <c r="H29" i="31096"/>
  <c r="G29" i="31096"/>
  <c r="F29" i="31096"/>
  <c r="E29" i="31096"/>
  <c r="L28" i="31096"/>
  <c r="H28" i="31096"/>
  <c r="S66" i="31096" s="1"/>
  <c r="G28" i="31096"/>
  <c r="F28" i="31096"/>
  <c r="E28" i="31096"/>
  <c r="L27" i="31096"/>
  <c r="H27" i="31096"/>
  <c r="T28" i="31096" s="1"/>
  <c r="G27" i="31096"/>
  <c r="U123" i="31096" s="1"/>
  <c r="F27" i="31096"/>
  <c r="T123" i="31096" s="1"/>
  <c r="E27" i="31096"/>
  <c r="S123" i="31096" s="1"/>
  <c r="L26" i="31096"/>
  <c r="H26" i="31096"/>
  <c r="T27" i="31096" s="1"/>
  <c r="G26" i="31096"/>
  <c r="U122" i="31096" s="1"/>
  <c r="F26" i="31096"/>
  <c r="T122" i="31096" s="1"/>
  <c r="E26" i="31096"/>
  <c r="S122" i="31096" s="1"/>
  <c r="L25" i="31096"/>
  <c r="H25" i="31096"/>
  <c r="G25" i="31096"/>
  <c r="F25" i="31096"/>
  <c r="E25" i="31096"/>
  <c r="L24" i="31096"/>
  <c r="H24" i="31096"/>
  <c r="G24" i="31096"/>
  <c r="F24" i="31096"/>
  <c r="E24" i="31096"/>
  <c r="L23" i="31096"/>
  <c r="H23" i="31096"/>
  <c r="G23" i="31096"/>
  <c r="F23" i="31096"/>
  <c r="E23" i="31096"/>
  <c r="L22" i="31096"/>
  <c r="H22" i="31096"/>
  <c r="G22" i="31096"/>
  <c r="U118" i="31096" s="1"/>
  <c r="F22" i="31096"/>
  <c r="T118" i="31096" s="1"/>
  <c r="E22" i="31096"/>
  <c r="S118" i="31096" s="1"/>
  <c r="L21" i="31096"/>
  <c r="S86" i="31096" s="1"/>
  <c r="H21" i="31096"/>
  <c r="T22" i="31096" s="1"/>
  <c r="G21" i="31096"/>
  <c r="U117" i="31096" s="1"/>
  <c r="F21" i="31096"/>
  <c r="E21" i="31096"/>
  <c r="S117" i="31096" s="1"/>
  <c r="L20" i="31096"/>
  <c r="H20" i="31096"/>
  <c r="T21" i="31096" s="1"/>
  <c r="G20" i="31096"/>
  <c r="U116" i="31096" s="1"/>
  <c r="F20" i="31096"/>
  <c r="T116" i="31096" s="1"/>
  <c r="E20" i="31096"/>
  <c r="L19" i="31096"/>
  <c r="H19" i="31096"/>
  <c r="T20" i="31096" s="1"/>
  <c r="G19" i="31096"/>
  <c r="U115" i="31096" s="1"/>
  <c r="F19" i="31096"/>
  <c r="T115" i="31096" s="1"/>
  <c r="E19" i="31096"/>
  <c r="S115" i="31096" s="1"/>
  <c r="L18" i="31096"/>
  <c r="S83" i="31096" s="1"/>
  <c r="H18" i="31096"/>
  <c r="T19" i="31096" s="1"/>
  <c r="G18" i="31096"/>
  <c r="U114" i="31096" s="1"/>
  <c r="F18" i="31096"/>
  <c r="T114" i="31096" s="1"/>
  <c r="E18" i="31096"/>
  <c r="S114" i="31096" s="1"/>
  <c r="L17" i="31096"/>
  <c r="S82" i="31096" s="1"/>
  <c r="H17" i="31096"/>
  <c r="T18" i="31096" s="1"/>
  <c r="G17" i="31096"/>
  <c r="U113" i="31096" s="1"/>
  <c r="F17" i="31096"/>
  <c r="T113" i="31096" s="1"/>
  <c r="E17" i="31096"/>
  <c r="S113" i="31096" s="1"/>
  <c r="L16" i="31096"/>
  <c r="H16" i="31096"/>
  <c r="T17" i="31096" s="1"/>
  <c r="G16" i="31096"/>
  <c r="U112" i="31096" s="1"/>
  <c r="F16" i="31096"/>
  <c r="T112" i="31096" s="1"/>
  <c r="E16" i="31096"/>
  <c r="D16" i="31096" s="1"/>
  <c r="C16" i="31096" s="1"/>
  <c r="L15" i="31096"/>
  <c r="S80" i="31096" s="1"/>
  <c r="H15" i="31096"/>
  <c r="T16" i="31096" s="1"/>
  <c r="G15" i="31096"/>
  <c r="U111" i="31096" s="1"/>
  <c r="F15" i="31096"/>
  <c r="T111" i="31096" s="1"/>
  <c r="E15" i="31096"/>
  <c r="S111" i="31096" s="1"/>
  <c r="L14" i="31096"/>
  <c r="S79" i="31096" s="1"/>
  <c r="H14" i="31096"/>
  <c r="S53" i="31096" s="1"/>
  <c r="G14" i="31096"/>
  <c r="U110" i="31096" s="1"/>
  <c r="F14" i="31096"/>
  <c r="T110" i="31096" s="1"/>
  <c r="E14" i="31096"/>
  <c r="S110" i="31096" s="1"/>
  <c r="L13" i="31096"/>
  <c r="H13" i="31096"/>
  <c r="T14" i="31096" s="1"/>
  <c r="G13" i="31096"/>
  <c r="U109" i="31096" s="1"/>
  <c r="F13" i="31096"/>
  <c r="E13" i="31096"/>
  <c r="S109" i="31096" s="1"/>
  <c r="L12" i="31096"/>
  <c r="H12" i="31096"/>
  <c r="T13" i="31096" s="1"/>
  <c r="G12" i="31096"/>
  <c r="U108" i="31096" s="1"/>
  <c r="F12" i="31096"/>
  <c r="T108" i="31096" s="1"/>
  <c r="E12" i="31096"/>
  <c r="L11" i="31096"/>
  <c r="H11" i="31096"/>
  <c r="T12" i="31096" s="1"/>
  <c r="G11" i="31096"/>
  <c r="U107" i="31096" s="1"/>
  <c r="F11" i="31096"/>
  <c r="T107" i="31096" s="1"/>
  <c r="E11" i="31096"/>
  <c r="S107" i="31096" s="1"/>
  <c r="L10" i="31096"/>
  <c r="S75" i="31096" s="1"/>
  <c r="H10" i="31096"/>
  <c r="T11" i="31096" s="1"/>
  <c r="G10" i="31096"/>
  <c r="U106" i="31096" s="1"/>
  <c r="F10" i="31096"/>
  <c r="T106" i="31096" s="1"/>
  <c r="E10" i="31096"/>
  <c r="S106" i="31096" s="1"/>
  <c r="L9" i="31096"/>
  <c r="H9" i="31096"/>
  <c r="T10" i="31096" s="1"/>
  <c r="G9" i="31096"/>
  <c r="U105" i="31096" s="1"/>
  <c r="F9" i="31096"/>
  <c r="T105" i="31096" s="1"/>
  <c r="E9" i="31096"/>
  <c r="S105" i="31096" s="1"/>
  <c r="L8" i="31096"/>
  <c r="U9" i="31096" s="1"/>
  <c r="H8" i="31096"/>
  <c r="T9" i="31096" s="1"/>
  <c r="G8" i="31096"/>
  <c r="U104" i="31096" s="1"/>
  <c r="F8" i="31096"/>
  <c r="T104" i="31096" s="1"/>
  <c r="E8" i="31096"/>
  <c r="A14" i="31097" l="1"/>
  <c r="A15" i="31097" s="1"/>
  <c r="A16" i="31097" s="1"/>
  <c r="A17" i="31097" s="1"/>
  <c r="A18" i="31097" s="1"/>
  <c r="A19" i="31097" s="1"/>
  <c r="A20" i="31097" s="1"/>
  <c r="A21" i="31097" s="1"/>
  <c r="A22" i="31097" s="1"/>
  <c r="A23" i="31097" s="1"/>
  <c r="A24" i="31097" s="1"/>
  <c r="A25" i="31097" s="1"/>
  <c r="A26" i="31097" s="1"/>
  <c r="A27" i="31097" s="1"/>
  <c r="A28" i="31097" s="1"/>
  <c r="A29" i="31097" s="1"/>
  <c r="A30" i="31097" s="1"/>
  <c r="D12" i="31096"/>
  <c r="C12" i="31096" s="1"/>
  <c r="T126" i="31096"/>
  <c r="U126" i="31096"/>
  <c r="T31" i="31096"/>
  <c r="S121" i="31096"/>
  <c r="T121" i="31096"/>
  <c r="AF39" i="31098"/>
  <c r="T26" i="31096"/>
  <c r="L41" i="31096"/>
  <c r="U121" i="31096"/>
  <c r="U22" i="31096"/>
  <c r="S22" i="31096" s="1"/>
  <c r="BO58" i="31099"/>
  <c r="A123" i="31097"/>
  <c r="A124" i="31097" s="1"/>
  <c r="A125" i="31097" s="1"/>
  <c r="A126" i="31097" s="1"/>
  <c r="A127" i="31097" s="1"/>
  <c r="A128" i="31097" s="1"/>
  <c r="A129" i="31097" s="1"/>
  <c r="A130" i="31097" s="1"/>
  <c r="A131" i="31097" s="1"/>
  <c r="A132" i="31097" s="1"/>
  <c r="A133" i="31097" s="1"/>
  <c r="A134" i="31097" s="1"/>
  <c r="A135" i="31097" s="1"/>
  <c r="A136" i="31097" s="1"/>
  <c r="A137" i="31097" s="1"/>
  <c r="AF45" i="31098"/>
  <c r="H31" i="31096"/>
  <c r="T32" i="31096" s="1"/>
  <c r="U10" i="31096"/>
  <c r="S10" i="31096" s="1"/>
  <c r="S74" i="31096"/>
  <c r="S125" i="31096"/>
  <c r="W48" i="31098"/>
  <c r="BJ31" i="31099"/>
  <c r="BJ29" i="31099" s="1"/>
  <c r="AB13" i="31099"/>
  <c r="BK31" i="31099"/>
  <c r="BK29" i="31099" s="1"/>
  <c r="U17" i="31096"/>
  <c r="S17" i="31096" s="1"/>
  <c r="S81" i="31096"/>
  <c r="U125" i="31096"/>
  <c r="T30" i="31096"/>
  <c r="BL42" i="31099"/>
  <c r="BL41" i="31099" s="1"/>
  <c r="BM42" i="31099"/>
  <c r="BM41" i="31099" s="1"/>
  <c r="BN41" i="31099"/>
  <c r="BO42" i="31099"/>
  <c r="BO41" i="31099" s="1"/>
  <c r="S120" i="31096"/>
  <c r="T120" i="31096"/>
  <c r="U120" i="31096"/>
  <c r="T25" i="31096"/>
  <c r="F31" i="31096"/>
  <c r="T127" i="31096" s="1"/>
  <c r="F48" i="31098"/>
  <c r="AS31" i="31099"/>
  <c r="V48" i="31098"/>
  <c r="AB48" i="31098"/>
  <c r="AF13" i="31099"/>
  <c r="S9" i="31096"/>
  <c r="D11" i="31096"/>
  <c r="C11" i="31096" s="1"/>
  <c r="U14" i="31096"/>
  <c r="S14" i="31096" s="1"/>
  <c r="S78" i="31096"/>
  <c r="T15" i="31096"/>
  <c r="D20" i="31096"/>
  <c r="C20" i="31096" s="1"/>
  <c r="S116" i="31096"/>
  <c r="U21" i="31096"/>
  <c r="S21" i="31096" s="1"/>
  <c r="S85" i="31096"/>
  <c r="S119" i="31096"/>
  <c r="U24" i="31096"/>
  <c r="S88" i="31096"/>
  <c r="D27" i="31096"/>
  <c r="C27" i="31096" s="1"/>
  <c r="U124" i="31096"/>
  <c r="D29" i="31096"/>
  <c r="T125" i="31096"/>
  <c r="D30" i="31096"/>
  <c r="S126" i="31096"/>
  <c r="S95" i="31096"/>
  <c r="U31" i="31096"/>
  <c r="S31" i="31096" s="1"/>
  <c r="T128" i="31096"/>
  <c r="U12" i="31096"/>
  <c r="S12" i="31096" s="1"/>
  <c r="S76" i="31096"/>
  <c r="D14" i="31096"/>
  <c r="C14" i="31096" s="1"/>
  <c r="U15" i="31096"/>
  <c r="U18" i="31096"/>
  <c r="S18" i="31096" s="1"/>
  <c r="S61" i="31096"/>
  <c r="T23" i="31096"/>
  <c r="T119" i="31096"/>
  <c r="U25" i="31096"/>
  <c r="S89" i="31096"/>
  <c r="U28" i="31096"/>
  <c r="S28" i="31096" s="1"/>
  <c r="S92" i="31096"/>
  <c r="T29" i="31096"/>
  <c r="U128" i="31096"/>
  <c r="U11" i="31096"/>
  <c r="S11" i="31096" s="1"/>
  <c r="D19" i="31096"/>
  <c r="C19" i="31096" s="1"/>
  <c r="D21" i="31096"/>
  <c r="C21" i="31096" s="1"/>
  <c r="T117" i="31096"/>
  <c r="U23" i="31096"/>
  <c r="S87" i="31096"/>
  <c r="U119" i="31096"/>
  <c r="U26" i="31096"/>
  <c r="S26" i="31096" s="1"/>
  <c r="S90" i="31096"/>
  <c r="S124" i="31096"/>
  <c r="U29" i="31096"/>
  <c r="S93" i="31096"/>
  <c r="T33" i="31096"/>
  <c r="U13" i="31096"/>
  <c r="S13" i="31096" s="1"/>
  <c r="S77" i="31096"/>
  <c r="U20" i="31096"/>
  <c r="S20" i="31096" s="1"/>
  <c r="S84" i="31096"/>
  <c r="T24" i="31096"/>
  <c r="U27" i="31096"/>
  <c r="S27" i="31096" s="1"/>
  <c r="S91" i="31096"/>
  <c r="T124" i="31096"/>
  <c r="U30" i="31096"/>
  <c r="S94" i="31096"/>
  <c r="S128" i="31096"/>
  <c r="S97" i="31096"/>
  <c r="U33" i="31096"/>
  <c r="D48" i="31098"/>
  <c r="E48" i="31098"/>
  <c r="U48" i="31098"/>
  <c r="T48" i="31098"/>
  <c r="H48" i="31098"/>
  <c r="J48" i="31098"/>
  <c r="AC13" i="31099"/>
  <c r="K48" i="31098"/>
  <c r="L48" i="31098"/>
  <c r="M48" i="31098"/>
  <c r="R48" i="31098"/>
  <c r="C48" i="31098"/>
  <c r="I48" i="31098"/>
  <c r="Y48" i="31098"/>
  <c r="X48" i="31098"/>
  <c r="AD13" i="31099"/>
  <c r="N48" i="31098"/>
  <c r="O48" i="31098"/>
  <c r="P48" i="31098"/>
  <c r="Q48" i="31098"/>
  <c r="G39" i="31098"/>
  <c r="AT60" i="31099" s="1"/>
  <c r="AT58" i="31099" s="1"/>
  <c r="S48" i="31098"/>
  <c r="G48" i="31098"/>
  <c r="BK58" i="31099"/>
  <c r="Z161" i="31097"/>
  <c r="AD14" i="31099" s="1"/>
  <c r="BM14" i="31099" s="1"/>
  <c r="Y161" i="31097"/>
  <c r="AC14" i="31099" s="1"/>
  <c r="BL14" i="31099" s="1"/>
  <c r="AB161" i="31097"/>
  <c r="AF138" i="31097"/>
  <c r="BK14" i="31099"/>
  <c r="AF109" i="31097"/>
  <c r="S62" i="31096"/>
  <c r="S108" i="31096"/>
  <c r="D28" i="31096"/>
  <c r="S48" i="31096"/>
  <c r="E31" i="31096"/>
  <c r="S127" i="31096" s="1"/>
  <c r="S58" i="31096"/>
  <c r="S54" i="31096"/>
  <c r="D22" i="31096"/>
  <c r="C22" i="31096" s="1"/>
  <c r="D24" i="31096"/>
  <c r="D15" i="31096"/>
  <c r="C15" i="31096" s="1"/>
  <c r="U16" i="31096"/>
  <c r="S16" i="31096" s="1"/>
  <c r="L31" i="31096"/>
  <c r="S64" i="31096"/>
  <c r="S112" i="31096"/>
  <c r="S50" i="31096"/>
  <c r="U19" i="31096"/>
  <c r="S19" i="31096" s="1"/>
  <c r="D13" i="31096"/>
  <c r="C13" i="31096" s="1"/>
  <c r="D32" i="31096"/>
  <c r="S56" i="31096"/>
  <c r="D8" i="31096"/>
  <c r="C8" i="31096" s="1"/>
  <c r="D23" i="31096"/>
  <c r="BL58" i="31099"/>
  <c r="C32" i="31096"/>
  <c r="BM58" i="31099"/>
  <c r="S47" i="31096"/>
  <c r="S51" i="31096"/>
  <c r="S55" i="31096"/>
  <c r="S59" i="31096"/>
  <c r="S63" i="31096"/>
  <c r="S73" i="31096"/>
  <c r="G31" i="31096"/>
  <c r="U127" i="31096" s="1"/>
  <c r="D9" i="31096"/>
  <c r="C9" i="31096" s="1"/>
  <c r="D17" i="31096"/>
  <c r="C17" i="31096" s="1"/>
  <c r="D25" i="31096"/>
  <c r="Z48" i="31098"/>
  <c r="S60" i="31096"/>
  <c r="BM29" i="31099"/>
  <c r="BN29" i="31099"/>
  <c r="S49" i="31096"/>
  <c r="S57" i="31096"/>
  <c r="S65" i="31096"/>
  <c r="T109" i="31096"/>
  <c r="BN58" i="31099"/>
  <c r="S52" i="31096"/>
  <c r="S104" i="31096"/>
  <c r="D18" i="31096"/>
  <c r="C18" i="31096" s="1"/>
  <c r="D10" i="31096"/>
  <c r="C10" i="31096" s="1"/>
  <c r="D26" i="31096"/>
  <c r="C26" i="31096" s="1"/>
  <c r="A31" i="31097" l="1"/>
  <c r="A32" i="31097" s="1"/>
  <c r="A33" i="31097" s="1"/>
  <c r="A34" i="31097" s="1"/>
  <c r="A35" i="31097" s="1"/>
  <c r="A36" i="31097" s="1"/>
  <c r="A37" i="31097" s="1"/>
  <c r="A38" i="31097" s="1"/>
  <c r="A39" i="31097" s="1"/>
  <c r="A40" i="31097" s="1"/>
  <c r="A41" i="31097" s="1"/>
  <c r="A42" i="31097" s="1"/>
  <c r="A43" i="31097" s="1"/>
  <c r="A44" i="31097" s="1"/>
  <c r="A45" i="31097" s="1"/>
  <c r="A46" i="31097" s="1"/>
  <c r="A47" i="31097" s="1"/>
  <c r="A48" i="31097" s="1"/>
  <c r="A49" i="31097" s="1"/>
  <c r="A50" i="31097" s="1"/>
  <c r="A51" i="31097" s="1"/>
  <c r="A52" i="31097" s="1"/>
  <c r="A53" i="31097" s="1"/>
  <c r="A54" i="31097" s="1"/>
  <c r="A55" i="31097" s="1"/>
  <c r="A56" i="31097" s="1"/>
  <c r="A57" i="31097" s="1"/>
  <c r="A58" i="31097" s="1"/>
  <c r="A59" i="31097" s="1"/>
  <c r="S30" i="31096"/>
  <c r="C30" i="31096"/>
  <c r="C25" i="31096"/>
  <c r="AB6" i="31099"/>
  <c r="S25" i="31096"/>
  <c r="C29" i="31096"/>
  <c r="S96" i="31096"/>
  <c r="U32" i="31096"/>
  <c r="S32" i="31096" s="1"/>
  <c r="C24" i="31096"/>
  <c r="S24" i="31096"/>
  <c r="AF14" i="31099"/>
  <c r="BO14" i="31099" s="1"/>
  <c r="C28" i="31096"/>
  <c r="C23" i="31096"/>
  <c r="S33" i="31096"/>
  <c r="S29" i="31096"/>
  <c r="S15" i="31096"/>
  <c r="AF48" i="31098"/>
  <c r="AD6" i="31099"/>
  <c r="AF161" i="31097"/>
  <c r="AC6" i="31099"/>
  <c r="S23" i="31096"/>
  <c r="D31" i="31096"/>
  <c r="BL29" i="31099"/>
  <c r="A60" i="31097" l="1"/>
  <c r="A61" i="31097" s="1"/>
  <c r="A62" i="31097" s="1"/>
  <c r="A63" i="31097" s="1"/>
  <c r="A64" i="31097" s="1"/>
  <c r="A65" i="31097" s="1"/>
  <c r="A66" i="31097" s="1"/>
  <c r="A67" i="31097" s="1"/>
  <c r="A68" i="31097" s="1"/>
  <c r="A69" i="31097" s="1"/>
  <c r="A70" i="31097" s="1"/>
  <c r="A71" i="31097" s="1"/>
  <c r="A72" i="31097" s="1"/>
  <c r="A73" i="31097" s="1"/>
  <c r="A74" i="31097" s="1"/>
  <c r="A75" i="31097" s="1"/>
  <c r="A76" i="31097" s="1"/>
  <c r="AF6" i="31099"/>
  <c r="C31" i="31096"/>
  <c r="A77" i="31097" l="1"/>
  <c r="A78" i="31097" s="1"/>
  <c r="A79" i="31097" s="1"/>
  <c r="A80" i="31097" s="1"/>
  <c r="A81" i="31097" s="1"/>
  <c r="A82" i="31097" s="1"/>
  <c r="A83" i="31097" s="1"/>
  <c r="A84" i="31097" s="1"/>
  <c r="A85" i="31097" s="1"/>
  <c r="AQ74" i="31099"/>
  <c r="AQ71" i="31099" s="1"/>
  <c r="C33" i="31089"/>
  <c r="C32" i="31089"/>
  <c r="A86" i="31097" l="1"/>
  <c r="A87" i="31097" s="1"/>
  <c r="A88" i="31097" s="1"/>
  <c r="A89" i="31097" s="1"/>
  <c r="A90" i="31097" s="1"/>
  <c r="A91" i="31097" s="1"/>
  <c r="A92" i="31097" s="1"/>
  <c r="A93" i="31097" s="1"/>
  <c r="A94" i="31097" s="1"/>
  <c r="A95" i="31097" s="1"/>
  <c r="A96" i="31097" s="1"/>
  <c r="A97" i="31097" s="1"/>
  <c r="A98" i="31097" s="1"/>
  <c r="A99" i="31097" s="1"/>
  <c r="A100" i="31097" s="1"/>
  <c r="A101" i="31097" s="1"/>
  <c r="A102" i="31097" s="1"/>
  <c r="A103" i="31097" s="1"/>
  <c r="A104" i="31097" s="1"/>
  <c r="A105" i="31097" s="1"/>
  <c r="A106" i="31097" s="1"/>
  <c r="A107" i="31097" s="1"/>
  <c r="A108" i="31097" s="1"/>
  <c r="AQ72" i="31099"/>
  <c r="AQ73" i="31099"/>
  <c r="E98" i="31079"/>
  <c r="E97" i="31079"/>
  <c r="S68" i="1049"/>
  <c r="T68" i="1049"/>
  <c r="U68" i="1049"/>
  <c r="Y68" i="1049"/>
  <c r="Z68" i="1049"/>
  <c r="AA68" i="1049"/>
  <c r="AB68" i="1049"/>
  <c r="T69" i="1049"/>
  <c r="U69" i="1049"/>
  <c r="Y69" i="1049"/>
  <c r="AC69" i="1049" s="1"/>
  <c r="Z69" i="1049"/>
  <c r="AA69" i="1049"/>
  <c r="AB69" i="1049"/>
  <c r="N31" i="1049"/>
  <c r="N32" i="1049"/>
  <c r="I31" i="1049"/>
  <c r="I32" i="1049"/>
  <c r="W68" i="1049" l="1"/>
  <c r="W69" i="1049"/>
  <c r="AC68" i="1049"/>
  <c r="D32" i="1049"/>
  <c r="D31" i="1049"/>
  <c r="O33" i="1049" l="1"/>
  <c r="O32" i="1049"/>
  <c r="C31" i="31067" l="1"/>
  <c r="D31" i="31067"/>
  <c r="C32" i="31078"/>
  <c r="D32" i="31078"/>
  <c r="E32" i="31078"/>
  <c r="F32" i="31078"/>
  <c r="F31" i="31078"/>
  <c r="E31" i="31078"/>
  <c r="D31" i="31078"/>
  <c r="C31" i="31078"/>
  <c r="G31" i="31065"/>
  <c r="G32" i="31065"/>
  <c r="K28" i="31065"/>
  <c r="L28" i="31065"/>
  <c r="M28" i="31065"/>
  <c r="N28" i="31065"/>
  <c r="K29" i="31065"/>
  <c r="L29" i="31065"/>
  <c r="M29" i="31065"/>
  <c r="N29" i="31065"/>
  <c r="K30" i="31065"/>
  <c r="L30" i="31065"/>
  <c r="M30" i="31065"/>
  <c r="N30" i="31065"/>
  <c r="K31" i="31065"/>
  <c r="L31" i="31065"/>
  <c r="M31" i="31065"/>
  <c r="N31" i="31065"/>
  <c r="K32" i="31065"/>
  <c r="L32" i="31065"/>
  <c r="M32" i="31065"/>
  <c r="N32" i="31065"/>
  <c r="K31" i="31060" l="1"/>
  <c r="K32" i="31060"/>
  <c r="G31" i="31077"/>
  <c r="H31" i="31077"/>
  <c r="K31" i="31077"/>
  <c r="G32" i="31077"/>
  <c r="H32" i="31077"/>
  <c r="K32" i="31077"/>
  <c r="N96" i="31063"/>
  <c r="N97" i="31063"/>
  <c r="I31" i="31063"/>
  <c r="I32" i="31063"/>
  <c r="F31" i="31063"/>
  <c r="O96" i="31063" s="1"/>
  <c r="F32" i="31063"/>
  <c r="D31" i="31063"/>
  <c r="E31" i="31063"/>
  <c r="D32" i="31063"/>
  <c r="E32" i="31063"/>
  <c r="O97" i="31063" l="1"/>
  <c r="P66" i="31063"/>
  <c r="P97" i="31063"/>
  <c r="O66" i="31063"/>
  <c r="P65" i="31063"/>
  <c r="D32" i="31060"/>
  <c r="G32" i="31078"/>
  <c r="O65" i="31063"/>
  <c r="F31" i="31060"/>
  <c r="G31" i="31078"/>
  <c r="P96" i="31063"/>
  <c r="H32" i="31060"/>
  <c r="J32" i="31060"/>
  <c r="H31" i="31060"/>
  <c r="D31" i="31060"/>
  <c r="J31" i="31060"/>
  <c r="F32" i="31060"/>
  <c r="C31" i="31063"/>
  <c r="C32" i="31063"/>
  <c r="I32" i="31076" l="1"/>
  <c r="D31" i="31076"/>
  <c r="E31" i="31076"/>
  <c r="E31" i="31077" s="1"/>
  <c r="P31" i="31077" s="1"/>
  <c r="F31" i="31076"/>
  <c r="D32" i="31076"/>
  <c r="E32" i="31076"/>
  <c r="F32" i="31076"/>
  <c r="I31" i="31076"/>
  <c r="N30" i="31089"/>
  <c r="P30" i="31089"/>
  <c r="Q30" i="31089"/>
  <c r="R30" i="31089"/>
  <c r="S30" i="31089"/>
  <c r="T30" i="31089"/>
  <c r="N31" i="31089"/>
  <c r="P31" i="31089"/>
  <c r="Q31" i="31089"/>
  <c r="R31" i="31089"/>
  <c r="S31" i="31089"/>
  <c r="T31" i="31089"/>
  <c r="N32" i="31089"/>
  <c r="P32" i="31089"/>
  <c r="Q32" i="31089"/>
  <c r="R32" i="31089"/>
  <c r="S32" i="31089"/>
  <c r="T32" i="31089"/>
  <c r="N33" i="31089"/>
  <c r="P33" i="31089"/>
  <c r="Q33" i="31089"/>
  <c r="R33" i="31089"/>
  <c r="S33" i="31089"/>
  <c r="T33" i="31089"/>
  <c r="S77" i="31088"/>
  <c r="T77" i="31088"/>
  <c r="U77" i="31088"/>
  <c r="V77" i="31088"/>
  <c r="S110" i="31088"/>
  <c r="T110" i="31088"/>
  <c r="M31" i="31088"/>
  <c r="M32" i="31088"/>
  <c r="D31" i="31088"/>
  <c r="E31" i="31088"/>
  <c r="T32" i="31088" s="1"/>
  <c r="F31" i="31088"/>
  <c r="G31" i="31088"/>
  <c r="V32" i="31088" s="1"/>
  <c r="H31" i="31088"/>
  <c r="D32" i="31088"/>
  <c r="S33" i="31088" s="1"/>
  <c r="E32" i="31088"/>
  <c r="T33" i="31088" s="1"/>
  <c r="F32" i="31088"/>
  <c r="U33" i="31088" s="1"/>
  <c r="G32" i="31088"/>
  <c r="V33" i="31088" s="1"/>
  <c r="H32" i="31088"/>
  <c r="U32" i="31088"/>
  <c r="C23" i="2"/>
  <c r="C22" i="2"/>
  <c r="C21" i="2"/>
  <c r="C34" i="2"/>
  <c r="H25" i="2"/>
  <c r="S99" i="31087"/>
  <c r="T99" i="31087"/>
  <c r="S100" i="31087"/>
  <c r="T100" i="31087"/>
  <c r="S67" i="31087"/>
  <c r="T67" i="31087"/>
  <c r="U67" i="31087"/>
  <c r="V67" i="31087"/>
  <c r="S68" i="31087"/>
  <c r="T68" i="31087"/>
  <c r="U68" i="31087"/>
  <c r="V68" i="31087"/>
  <c r="D31" i="31087"/>
  <c r="E31" i="31087"/>
  <c r="T29" i="31087" s="1"/>
  <c r="F31" i="31087"/>
  <c r="U29" i="31087" s="1"/>
  <c r="G31" i="31087"/>
  <c r="V29" i="31087" s="1"/>
  <c r="H31" i="31087"/>
  <c r="R67" i="31087" s="1"/>
  <c r="M31" i="31087"/>
  <c r="R99" i="31087" s="1"/>
  <c r="D32" i="31087"/>
  <c r="E32" i="31087"/>
  <c r="F32" i="31087"/>
  <c r="G32" i="31087"/>
  <c r="H32" i="31087"/>
  <c r="M32" i="31087"/>
  <c r="W100" i="31086"/>
  <c r="X100" i="31086"/>
  <c r="W101" i="31086"/>
  <c r="X101" i="31086"/>
  <c r="W67" i="31086"/>
  <c r="X67" i="31086"/>
  <c r="Y67" i="31086"/>
  <c r="Z67" i="31086"/>
  <c r="W68" i="31086"/>
  <c r="X68" i="31086"/>
  <c r="Y68" i="31086"/>
  <c r="Z68" i="31086"/>
  <c r="D32" i="31086"/>
  <c r="E32" i="31086"/>
  <c r="F32" i="31086"/>
  <c r="G32" i="31086"/>
  <c r="H32" i="31086"/>
  <c r="M32" i="31086"/>
  <c r="O30" i="31089" l="1"/>
  <c r="V101" i="31086"/>
  <c r="R68" i="31087"/>
  <c r="V68" i="31086"/>
  <c r="U30" i="31087"/>
  <c r="T30" i="31087"/>
  <c r="S30" i="31087"/>
  <c r="C32" i="31088"/>
  <c r="V30" i="31087"/>
  <c r="C32" i="31086"/>
  <c r="O33" i="31089"/>
  <c r="O32" i="31089"/>
  <c r="P71" i="31076"/>
  <c r="I31" i="31077"/>
  <c r="P69" i="31077" s="1"/>
  <c r="F32" i="31077"/>
  <c r="O72" i="31076"/>
  <c r="E32" i="31077"/>
  <c r="D32" i="31077"/>
  <c r="O31" i="31089"/>
  <c r="O71" i="31076"/>
  <c r="F31" i="31077"/>
  <c r="O69" i="31077" s="1"/>
  <c r="C31" i="31076"/>
  <c r="C31" i="31077" s="1"/>
  <c r="D31" i="31077"/>
  <c r="O31" i="31077" s="1"/>
  <c r="P72" i="31076"/>
  <c r="I32" i="31077"/>
  <c r="C32" i="31076"/>
  <c r="C31" i="31088"/>
  <c r="S32" i="31088"/>
  <c r="R100" i="31087"/>
  <c r="C32" i="31087"/>
  <c r="C31" i="31087"/>
  <c r="R29" i="31087" s="1"/>
  <c r="S29" i="31087"/>
  <c r="V30" i="31086" l="1"/>
  <c r="P70" i="31077"/>
  <c r="O32" i="31077"/>
  <c r="P32" i="31077"/>
  <c r="O70" i="31077"/>
  <c r="C32" i="31077"/>
  <c r="R30" i="31087"/>
  <c r="U29" i="31086" l="1"/>
  <c r="U30" i="31086"/>
  <c r="W30" i="31086"/>
  <c r="X30" i="31086"/>
  <c r="Y30" i="31086"/>
  <c r="Z30" i="31086"/>
  <c r="D31" i="31086"/>
  <c r="E31" i="31086"/>
  <c r="F31" i="31086"/>
  <c r="Y29" i="31086" s="1"/>
  <c r="G31" i="31086"/>
  <c r="H31" i="31086"/>
  <c r="M31" i="31086"/>
  <c r="V67" i="31086" l="1"/>
  <c r="V100" i="31086"/>
  <c r="X29" i="31086"/>
  <c r="W29" i="31086"/>
  <c r="Z29" i="31086"/>
  <c r="C31" i="31086"/>
  <c r="V29" i="31086" l="1"/>
  <c r="C31" i="31089" l="1"/>
  <c r="C39" i="31089" s="1"/>
  <c r="E96" i="31079" l="1"/>
  <c r="E95" i="31079"/>
  <c r="E94" i="31079"/>
  <c r="E93" i="31079"/>
  <c r="D30" i="31088" l="1"/>
  <c r="N14" i="2"/>
  <c r="M14" i="2"/>
  <c r="G12" i="2"/>
  <c r="G11" i="2"/>
  <c r="G10" i="2"/>
  <c r="G9" i="2"/>
  <c r="G8" i="2"/>
  <c r="G7" i="2"/>
  <c r="G14" i="2"/>
  <c r="G41" i="2" s="1"/>
  <c r="J14" i="2"/>
  <c r="J41" i="2" s="1"/>
  <c r="J12" i="2"/>
  <c r="J11" i="2"/>
  <c r="J10" i="2"/>
  <c r="J9" i="2"/>
  <c r="J8" i="2"/>
  <c r="J7" i="2"/>
  <c r="S31" i="31088" l="1"/>
  <c r="D38" i="31088"/>
  <c r="M41" i="2"/>
  <c r="M28" i="2"/>
  <c r="N41" i="2"/>
  <c r="N28" i="2"/>
  <c r="G28" i="2"/>
  <c r="G27" i="2"/>
  <c r="G40" i="2"/>
  <c r="J27" i="2"/>
  <c r="J40" i="2"/>
  <c r="J28" i="2"/>
  <c r="G21" i="2"/>
  <c r="AB67" i="1049"/>
  <c r="AA67" i="1049"/>
  <c r="Z67" i="1049"/>
  <c r="Y67" i="1049"/>
  <c r="U67" i="1049"/>
  <c r="T67" i="1049"/>
  <c r="S67" i="1049"/>
  <c r="N30" i="1049"/>
  <c r="I30" i="1049"/>
  <c r="D30" i="31067"/>
  <c r="C30" i="31067"/>
  <c r="N27" i="31065"/>
  <c r="M27" i="31065"/>
  <c r="L27" i="31065"/>
  <c r="K27" i="31065"/>
  <c r="G30" i="31065"/>
  <c r="K30" i="31060"/>
  <c r="D30" i="31060" s="1"/>
  <c r="K30" i="31077"/>
  <c r="H30" i="31077"/>
  <c r="G30" i="31077"/>
  <c r="N95" i="31063"/>
  <c r="I30" i="31063"/>
  <c r="P95" i="31063" s="1"/>
  <c r="F30" i="31063"/>
  <c r="E30" i="31063"/>
  <c r="D30" i="31063"/>
  <c r="I30" i="31076"/>
  <c r="P70" i="31076" s="1"/>
  <c r="F30" i="31076"/>
  <c r="E30" i="31076"/>
  <c r="D30" i="31076"/>
  <c r="T109" i="31088"/>
  <c r="S109" i="31088"/>
  <c r="V76" i="31088"/>
  <c r="U76" i="31088"/>
  <c r="T76" i="31088"/>
  <c r="S76" i="31088"/>
  <c r="M30" i="31088"/>
  <c r="M38" i="31088" s="1"/>
  <c r="H30" i="31088"/>
  <c r="H38" i="31088" s="1"/>
  <c r="G30" i="31088"/>
  <c r="F30" i="31088"/>
  <c r="E30" i="31088"/>
  <c r="T98" i="31087"/>
  <c r="S98" i="31087"/>
  <c r="V66" i="31087"/>
  <c r="U66" i="31087"/>
  <c r="T66" i="31087"/>
  <c r="S66" i="31087"/>
  <c r="M30" i="31087"/>
  <c r="M38" i="31087" s="1"/>
  <c r="H30" i="31087"/>
  <c r="H38" i="31087" s="1"/>
  <c r="G30" i="31087"/>
  <c r="F30" i="31087"/>
  <c r="E30" i="31087"/>
  <c r="E38" i="31087" s="1"/>
  <c r="D30" i="31087"/>
  <c r="D38" i="31087" s="1"/>
  <c r="W66" i="31086"/>
  <c r="X99" i="31086"/>
  <c r="W99" i="31086"/>
  <c r="Z66" i="31086"/>
  <c r="Y66" i="31086"/>
  <c r="X66" i="31086"/>
  <c r="U28" i="31086"/>
  <c r="M30" i="31086"/>
  <c r="M38" i="31086" s="1"/>
  <c r="H30" i="31086"/>
  <c r="H38" i="31086" s="1"/>
  <c r="G30" i="31086"/>
  <c r="G38" i="31086" s="1"/>
  <c r="F30" i="31086"/>
  <c r="F38" i="31086" s="1"/>
  <c r="E30" i="31086"/>
  <c r="D30" i="31086"/>
  <c r="D38" i="31086" s="1"/>
  <c r="C30" i="31089"/>
  <c r="S47" i="1049"/>
  <c r="S48" i="1049"/>
  <c r="S49" i="1049"/>
  <c r="S50" i="1049"/>
  <c r="S51" i="1049"/>
  <c r="S52" i="1049"/>
  <c r="S53" i="1049"/>
  <c r="S54" i="1049"/>
  <c r="S55" i="1049"/>
  <c r="S56" i="1049"/>
  <c r="S57" i="1049"/>
  <c r="S58" i="1049"/>
  <c r="S59" i="1049"/>
  <c r="S60" i="1049"/>
  <c r="S61" i="1049"/>
  <c r="S62" i="1049"/>
  <c r="S63" i="1049"/>
  <c r="S64" i="1049"/>
  <c r="S65" i="1049"/>
  <c r="S66" i="1049"/>
  <c r="C29" i="31079"/>
  <c r="AB66" i="1049"/>
  <c r="AA66" i="1049"/>
  <c r="Z66" i="1049"/>
  <c r="Y66" i="1049"/>
  <c r="U66" i="1049"/>
  <c r="T66" i="1049"/>
  <c r="N29" i="1049"/>
  <c r="I29" i="1049"/>
  <c r="C29" i="31067"/>
  <c r="D29" i="31067"/>
  <c r="G29" i="31065"/>
  <c r="K29" i="31060"/>
  <c r="P67" i="31077"/>
  <c r="O67" i="31077"/>
  <c r="P29" i="31077"/>
  <c r="O29" i="31077"/>
  <c r="N94" i="31063"/>
  <c r="N63" i="31063"/>
  <c r="I29" i="31063"/>
  <c r="F29" i="31063"/>
  <c r="D29" i="31063"/>
  <c r="E29" i="31063"/>
  <c r="L14" i="2"/>
  <c r="L41" i="2" s="1"/>
  <c r="K14" i="2"/>
  <c r="K41" i="2" s="1"/>
  <c r="I29" i="31076"/>
  <c r="F29" i="31076"/>
  <c r="D29" i="31076"/>
  <c r="E29" i="31076"/>
  <c r="S108" i="31088"/>
  <c r="T108" i="31088"/>
  <c r="S75" i="31088"/>
  <c r="T75" i="31088"/>
  <c r="U75" i="31088"/>
  <c r="V75" i="31088"/>
  <c r="D29" i="31088"/>
  <c r="E29" i="31088"/>
  <c r="F29" i="31088"/>
  <c r="G29" i="31088"/>
  <c r="M29" i="31088"/>
  <c r="H29" i="31088"/>
  <c r="S97" i="31087"/>
  <c r="T97" i="31087"/>
  <c r="S65" i="31087"/>
  <c r="T65" i="31087"/>
  <c r="U65" i="31087"/>
  <c r="V65" i="31087"/>
  <c r="D29" i="31087"/>
  <c r="E29" i="31087"/>
  <c r="T27" i="31087" s="1"/>
  <c r="F29" i="31087"/>
  <c r="G29" i="31087"/>
  <c r="H29" i="31087"/>
  <c r="M29" i="31087"/>
  <c r="W98" i="31086"/>
  <c r="X98" i="31086"/>
  <c r="W65" i="31086"/>
  <c r="X65" i="31086"/>
  <c r="Y65" i="31086"/>
  <c r="Z65" i="31086"/>
  <c r="U27" i="31086"/>
  <c r="D29" i="31086"/>
  <c r="E29" i="31086"/>
  <c r="F29" i="31086"/>
  <c r="G29" i="31086"/>
  <c r="H29" i="31086"/>
  <c r="M29" i="31086"/>
  <c r="E75" i="31079"/>
  <c r="E76" i="31079"/>
  <c r="E77" i="31079"/>
  <c r="E78" i="31079"/>
  <c r="E79" i="31079"/>
  <c r="E80" i="31079"/>
  <c r="E81" i="31079"/>
  <c r="E82" i="31079"/>
  <c r="E83" i="31079"/>
  <c r="E84" i="31079"/>
  <c r="E85" i="31079"/>
  <c r="E86" i="31079"/>
  <c r="E87" i="31079"/>
  <c r="E88" i="31079"/>
  <c r="E89" i="31079"/>
  <c r="E90" i="31079"/>
  <c r="E91" i="31079"/>
  <c r="E92" i="31079"/>
  <c r="C9" i="31079"/>
  <c r="C10" i="31079"/>
  <c r="C11" i="31079"/>
  <c r="C12" i="31079"/>
  <c r="C13" i="31079"/>
  <c r="C14" i="31079"/>
  <c r="C15" i="31079"/>
  <c r="C16" i="31079"/>
  <c r="C17" i="31079"/>
  <c r="C18" i="31079"/>
  <c r="C19" i="31079"/>
  <c r="C20" i="31079"/>
  <c r="C21" i="31079"/>
  <c r="C22" i="31079"/>
  <c r="C23" i="31079"/>
  <c r="C24" i="31079"/>
  <c r="C25" i="31079"/>
  <c r="C26" i="31079"/>
  <c r="C27" i="31079"/>
  <c r="C28" i="31079"/>
  <c r="T65" i="1049"/>
  <c r="U65" i="1049"/>
  <c r="Y65" i="1049"/>
  <c r="Z65" i="1049"/>
  <c r="AA65" i="1049"/>
  <c r="AB65" i="1049"/>
  <c r="N28" i="1049"/>
  <c r="I28" i="1049"/>
  <c r="D28" i="31067"/>
  <c r="C28" i="31067"/>
  <c r="K8" i="31065"/>
  <c r="L8" i="31065"/>
  <c r="M8" i="31065"/>
  <c r="N8" i="31065"/>
  <c r="K9" i="31065"/>
  <c r="L9" i="31065"/>
  <c r="M9" i="31065"/>
  <c r="N9" i="31065"/>
  <c r="K10" i="31065"/>
  <c r="L10" i="31065"/>
  <c r="M10" i="31065"/>
  <c r="N10" i="31065"/>
  <c r="K11" i="31065"/>
  <c r="L11" i="31065"/>
  <c r="M11" i="31065"/>
  <c r="N11" i="31065"/>
  <c r="K12" i="31065"/>
  <c r="L12" i="31065"/>
  <c r="M12" i="31065"/>
  <c r="N12" i="31065"/>
  <c r="K13" i="31065"/>
  <c r="L13" i="31065"/>
  <c r="M13" i="31065"/>
  <c r="N13" i="31065"/>
  <c r="K14" i="31065"/>
  <c r="L14" i="31065"/>
  <c r="M14" i="31065"/>
  <c r="N14" i="31065"/>
  <c r="K15" i="31065"/>
  <c r="L15" i="31065"/>
  <c r="M15" i="31065"/>
  <c r="N15" i="31065"/>
  <c r="K16" i="31065"/>
  <c r="L16" i="31065"/>
  <c r="M16" i="31065"/>
  <c r="N16" i="31065"/>
  <c r="K17" i="31065"/>
  <c r="L17" i="31065"/>
  <c r="M17" i="31065"/>
  <c r="N17" i="31065"/>
  <c r="K18" i="31065"/>
  <c r="L18" i="31065"/>
  <c r="M18" i="31065"/>
  <c r="N18" i="31065"/>
  <c r="K19" i="31065"/>
  <c r="L19" i="31065"/>
  <c r="M19" i="31065"/>
  <c r="N19" i="31065"/>
  <c r="K20" i="31065"/>
  <c r="L20" i="31065"/>
  <c r="M20" i="31065"/>
  <c r="N20" i="31065"/>
  <c r="K21" i="31065"/>
  <c r="L21" i="31065"/>
  <c r="M21" i="31065"/>
  <c r="N21" i="31065"/>
  <c r="K22" i="31065"/>
  <c r="L22" i="31065"/>
  <c r="M22" i="31065"/>
  <c r="N22" i="31065"/>
  <c r="K23" i="31065"/>
  <c r="L23" i="31065"/>
  <c r="M23" i="31065"/>
  <c r="N23" i="31065"/>
  <c r="K24" i="31065"/>
  <c r="L24" i="31065"/>
  <c r="M24" i="31065"/>
  <c r="N24" i="31065"/>
  <c r="K25" i="31065"/>
  <c r="L25" i="31065"/>
  <c r="M25" i="31065"/>
  <c r="N25" i="31065"/>
  <c r="L26" i="31065"/>
  <c r="M26" i="31065"/>
  <c r="N26" i="31065"/>
  <c r="L7" i="31065"/>
  <c r="M7" i="31065"/>
  <c r="N7" i="31065"/>
  <c r="K7" i="31065"/>
  <c r="G9" i="31065"/>
  <c r="G10" i="31065"/>
  <c r="G11" i="31065"/>
  <c r="G12" i="31065"/>
  <c r="G13" i="31065"/>
  <c r="G14" i="31065"/>
  <c r="G15" i="31065"/>
  <c r="G16" i="31065"/>
  <c r="G17" i="31065"/>
  <c r="G18" i="31065"/>
  <c r="G19" i="31065"/>
  <c r="G20" i="31065"/>
  <c r="G21" i="31065"/>
  <c r="G22" i="31065"/>
  <c r="G23" i="31065"/>
  <c r="G24" i="31065"/>
  <c r="G25" i="31065"/>
  <c r="G27" i="31065"/>
  <c r="G28" i="31065"/>
  <c r="G8" i="31065"/>
  <c r="G7" i="31065"/>
  <c r="K28" i="31060"/>
  <c r="F28" i="31060" s="1"/>
  <c r="O46" i="31077"/>
  <c r="O47" i="31077"/>
  <c r="O48" i="31077"/>
  <c r="O49" i="31077"/>
  <c r="O50" i="31077"/>
  <c r="O51" i="31077"/>
  <c r="O52" i="31077"/>
  <c r="O53" i="31077"/>
  <c r="O54" i="31077"/>
  <c r="O55" i="31077"/>
  <c r="O56" i="31077"/>
  <c r="O57" i="31077"/>
  <c r="O58" i="31077"/>
  <c r="O59" i="31077"/>
  <c r="O60" i="31077"/>
  <c r="O61" i="31077"/>
  <c r="P61" i="31077"/>
  <c r="O62" i="31077"/>
  <c r="P62" i="31077"/>
  <c r="O63" i="31077"/>
  <c r="P63" i="31077"/>
  <c r="O64" i="31077"/>
  <c r="P64" i="31077"/>
  <c r="O65" i="31077"/>
  <c r="P65" i="31077"/>
  <c r="O66" i="31077"/>
  <c r="P66" i="31077"/>
  <c r="O45" i="31077"/>
  <c r="P8" i="31077"/>
  <c r="P9" i="31077"/>
  <c r="P10" i="31077"/>
  <c r="P11" i="31077"/>
  <c r="P12" i="31077"/>
  <c r="P13" i="31077"/>
  <c r="P14" i="31077"/>
  <c r="P15" i="31077"/>
  <c r="P16" i="31077"/>
  <c r="P17" i="31077"/>
  <c r="P18" i="31077"/>
  <c r="P19" i="31077"/>
  <c r="P20" i="31077"/>
  <c r="P21" i="31077"/>
  <c r="P22" i="31077"/>
  <c r="O23" i="31077"/>
  <c r="P23" i="31077"/>
  <c r="P24" i="31077"/>
  <c r="P25" i="31077"/>
  <c r="O26" i="31077"/>
  <c r="P26" i="31077"/>
  <c r="O27" i="31077"/>
  <c r="P27" i="31077"/>
  <c r="O28" i="31077"/>
  <c r="P28" i="31077"/>
  <c r="P7" i="31077"/>
  <c r="N73" i="31063"/>
  <c r="N74" i="31063"/>
  <c r="N75" i="31063"/>
  <c r="N76" i="31063"/>
  <c r="N77" i="31063"/>
  <c r="N78" i="31063"/>
  <c r="N79" i="31063"/>
  <c r="N80" i="31063"/>
  <c r="N81" i="31063"/>
  <c r="N82" i="31063"/>
  <c r="N83" i="31063"/>
  <c r="N84" i="31063"/>
  <c r="N85" i="31063"/>
  <c r="N86" i="31063"/>
  <c r="N87" i="31063"/>
  <c r="N88" i="31063"/>
  <c r="N89" i="31063"/>
  <c r="N90" i="31063"/>
  <c r="N91" i="31063"/>
  <c r="N92" i="31063"/>
  <c r="N93" i="31063"/>
  <c r="N72" i="31063"/>
  <c r="N42" i="31063"/>
  <c r="N43" i="31063"/>
  <c r="N44" i="31063"/>
  <c r="N45" i="31063"/>
  <c r="N46" i="31063"/>
  <c r="N47" i="31063"/>
  <c r="N48" i="31063"/>
  <c r="N49" i="31063"/>
  <c r="N50" i="31063"/>
  <c r="N51" i="31063"/>
  <c r="N52" i="31063"/>
  <c r="N53" i="31063"/>
  <c r="N54" i="31063"/>
  <c r="N55" i="31063"/>
  <c r="N56" i="31063"/>
  <c r="N57" i="31063"/>
  <c r="N58" i="31063"/>
  <c r="N59" i="31063"/>
  <c r="N60" i="31063"/>
  <c r="N61" i="31063"/>
  <c r="N62" i="31063"/>
  <c r="N41" i="31063"/>
  <c r="O42" i="31063"/>
  <c r="P42" i="31063"/>
  <c r="O43" i="31063"/>
  <c r="P43" i="31063"/>
  <c r="O44" i="31063"/>
  <c r="P44" i="31063"/>
  <c r="O45" i="31063"/>
  <c r="P45" i="31063"/>
  <c r="O46" i="31063"/>
  <c r="P46" i="31063"/>
  <c r="O47" i="31063"/>
  <c r="P47" i="31063"/>
  <c r="O48" i="31063"/>
  <c r="P48" i="31063"/>
  <c r="O49" i="31063"/>
  <c r="P49" i="31063"/>
  <c r="O50" i="31063"/>
  <c r="P50" i="31063"/>
  <c r="O51" i="31063"/>
  <c r="P51" i="31063"/>
  <c r="O52" i="31063"/>
  <c r="P52" i="31063"/>
  <c r="O53" i="31063"/>
  <c r="P53" i="31063"/>
  <c r="O54" i="31063"/>
  <c r="P54" i="31063"/>
  <c r="O55" i="31063"/>
  <c r="P55" i="31063"/>
  <c r="O56" i="31063"/>
  <c r="P56" i="31063"/>
  <c r="P41" i="31063"/>
  <c r="O41" i="31063"/>
  <c r="I28" i="31063"/>
  <c r="P93" i="31063" s="1"/>
  <c r="F28" i="31063"/>
  <c r="E28" i="31063"/>
  <c r="D28" i="31063"/>
  <c r="N29" i="31089"/>
  <c r="P29" i="31089"/>
  <c r="Q29" i="31089"/>
  <c r="R29" i="31089"/>
  <c r="S29" i="31089"/>
  <c r="T29" i="31089"/>
  <c r="C29" i="31089"/>
  <c r="I28" i="31076"/>
  <c r="P68" i="31076" s="1"/>
  <c r="F28" i="31076"/>
  <c r="O68" i="31076" s="1"/>
  <c r="E28" i="31076"/>
  <c r="D28" i="31076"/>
  <c r="S107" i="31088"/>
  <c r="T107" i="31088"/>
  <c r="S74" i="31088"/>
  <c r="T74" i="31088"/>
  <c r="U74" i="31088"/>
  <c r="V74" i="31088"/>
  <c r="M28" i="31088"/>
  <c r="H28" i="31088"/>
  <c r="S96" i="31087"/>
  <c r="T96" i="31087"/>
  <c r="S64" i="31087"/>
  <c r="T64" i="31087"/>
  <c r="U64" i="31087"/>
  <c r="V64" i="31087"/>
  <c r="X97" i="31086"/>
  <c r="W97" i="31086"/>
  <c r="Z64" i="31086"/>
  <c r="Y64" i="31086"/>
  <c r="X64" i="31086"/>
  <c r="W64" i="31086"/>
  <c r="U6" i="31086"/>
  <c r="U7" i="31086"/>
  <c r="U8" i="31086"/>
  <c r="U9" i="31086"/>
  <c r="U10" i="31086"/>
  <c r="U11" i="31086"/>
  <c r="U12" i="31086"/>
  <c r="U13" i="31086"/>
  <c r="U14" i="31086"/>
  <c r="U15" i="31086"/>
  <c r="U16" i="31086"/>
  <c r="U17" i="31086"/>
  <c r="U18" i="31086"/>
  <c r="U19" i="31086"/>
  <c r="U20" i="31086"/>
  <c r="U21" i="31086"/>
  <c r="U22" i="31086"/>
  <c r="U23" i="31086"/>
  <c r="U24" i="31086"/>
  <c r="U25" i="31086"/>
  <c r="U26" i="31086"/>
  <c r="U5" i="31086"/>
  <c r="M28" i="31087"/>
  <c r="H28" i="31087"/>
  <c r="G28" i="31087"/>
  <c r="F28" i="31087"/>
  <c r="E28" i="31087"/>
  <c r="D28" i="31087"/>
  <c r="D28" i="31086"/>
  <c r="E28" i="31086"/>
  <c r="F28" i="31086"/>
  <c r="G28" i="31086"/>
  <c r="H28" i="31086"/>
  <c r="M28" i="31086"/>
  <c r="Y64" i="1049"/>
  <c r="Z64" i="1049"/>
  <c r="AA64" i="1049"/>
  <c r="AB64" i="1049"/>
  <c r="T64" i="1049"/>
  <c r="U64" i="1049"/>
  <c r="I27" i="1049"/>
  <c r="N27" i="1049"/>
  <c r="D27" i="31067"/>
  <c r="C27" i="31067"/>
  <c r="K27" i="31060"/>
  <c r="H27" i="31060" s="1"/>
  <c r="I27" i="31063"/>
  <c r="F27" i="31063"/>
  <c r="E27" i="31063"/>
  <c r="D27" i="31063"/>
  <c r="I27" i="31076"/>
  <c r="F27" i="31076"/>
  <c r="E27" i="31076"/>
  <c r="D27" i="31076"/>
  <c r="P28" i="31089"/>
  <c r="Q28" i="31089"/>
  <c r="R28" i="31089"/>
  <c r="S28" i="31089"/>
  <c r="T28" i="31089"/>
  <c r="C28" i="31089"/>
  <c r="N28" i="31089"/>
  <c r="S106" i="31088"/>
  <c r="T106" i="31088"/>
  <c r="S73" i="31088"/>
  <c r="T73" i="31088"/>
  <c r="U73" i="31088"/>
  <c r="V73" i="31088"/>
  <c r="M27" i="31088"/>
  <c r="H27" i="31088"/>
  <c r="G27" i="31088"/>
  <c r="F27" i="31088"/>
  <c r="E27" i="31088"/>
  <c r="D27" i="31088"/>
  <c r="S28" i="31088" s="1"/>
  <c r="S95" i="31087"/>
  <c r="T95" i="31087"/>
  <c r="S63" i="31087"/>
  <c r="T63" i="31087"/>
  <c r="U63" i="31087"/>
  <c r="V63" i="31087"/>
  <c r="M27" i="31087"/>
  <c r="H27" i="31087"/>
  <c r="R63" i="31087" s="1"/>
  <c r="G27" i="31087"/>
  <c r="F27" i="31087"/>
  <c r="E27" i="31087"/>
  <c r="D27" i="31087"/>
  <c r="W63" i="31086"/>
  <c r="X63" i="31086"/>
  <c r="Y63" i="31086"/>
  <c r="Z63" i="31086"/>
  <c r="W96" i="31086"/>
  <c r="X96" i="31086"/>
  <c r="M27" i="31086"/>
  <c r="V96" i="31086" s="1"/>
  <c r="H27" i="31086"/>
  <c r="G27" i="31086"/>
  <c r="F27" i="31086"/>
  <c r="E27" i="31086"/>
  <c r="D27" i="31086"/>
  <c r="W25" i="31086" s="1"/>
  <c r="C26" i="31067"/>
  <c r="C26" i="31065"/>
  <c r="K26" i="31065" s="1"/>
  <c r="C26" i="31060"/>
  <c r="K26" i="31060" s="1"/>
  <c r="G26" i="31063"/>
  <c r="D26" i="31063" s="1"/>
  <c r="D26" i="31076"/>
  <c r="E26" i="31076"/>
  <c r="P27" i="31076" s="1"/>
  <c r="F26" i="31076"/>
  <c r="O66" i="31076" s="1"/>
  <c r="I26" i="31076"/>
  <c r="P66" i="31076" s="1"/>
  <c r="Y63" i="1049"/>
  <c r="Z63" i="1049"/>
  <c r="AA63" i="1049"/>
  <c r="AB63" i="1049"/>
  <c r="T63" i="1049"/>
  <c r="U63" i="1049"/>
  <c r="W63" i="1049" s="1"/>
  <c r="N26" i="1049"/>
  <c r="I26" i="1049"/>
  <c r="I25" i="31063"/>
  <c r="P90" i="31063" s="1"/>
  <c r="F25" i="31063"/>
  <c r="O90" i="31063" s="1"/>
  <c r="E25" i="31063"/>
  <c r="P59" i="31063" s="1"/>
  <c r="D25" i="31063"/>
  <c r="O59" i="31063" s="1"/>
  <c r="H34" i="2"/>
  <c r="T27" i="31089"/>
  <c r="S27" i="31089"/>
  <c r="R27" i="31089"/>
  <c r="Q27" i="31089"/>
  <c r="P27" i="31089"/>
  <c r="N27" i="31089"/>
  <c r="C27" i="31089"/>
  <c r="T26" i="31089"/>
  <c r="S26" i="31089"/>
  <c r="R26" i="31089"/>
  <c r="Q26" i="31089"/>
  <c r="P26" i="31089"/>
  <c r="N26" i="31089"/>
  <c r="C26" i="31089"/>
  <c r="T25" i="31089"/>
  <c r="S25" i="31089"/>
  <c r="R25" i="31089"/>
  <c r="Q25" i="31089"/>
  <c r="P25" i="31089"/>
  <c r="N25" i="31089"/>
  <c r="C25" i="31089"/>
  <c r="T24" i="31089"/>
  <c r="S24" i="31089"/>
  <c r="R24" i="31089"/>
  <c r="Q24" i="31089"/>
  <c r="P24" i="31089"/>
  <c r="N24" i="31089"/>
  <c r="C24" i="31089"/>
  <c r="T23" i="31089"/>
  <c r="S23" i="31089"/>
  <c r="R23" i="31089"/>
  <c r="Q23" i="31089"/>
  <c r="P23" i="31089"/>
  <c r="N23" i="31089"/>
  <c r="C23" i="31089"/>
  <c r="T22" i="31089"/>
  <c r="S22" i="31089"/>
  <c r="R22" i="31089"/>
  <c r="Q22" i="31089"/>
  <c r="P22" i="31089"/>
  <c r="N22" i="31089"/>
  <c r="C22" i="31089"/>
  <c r="T21" i="31089"/>
  <c r="S21" i="31089"/>
  <c r="R21" i="31089"/>
  <c r="Q21" i="31089"/>
  <c r="P21" i="31089"/>
  <c r="N21" i="31089"/>
  <c r="C21" i="31089"/>
  <c r="T20" i="31089"/>
  <c r="S20" i="31089"/>
  <c r="R20" i="31089"/>
  <c r="Q20" i="31089"/>
  <c r="P20" i="31089"/>
  <c r="N20" i="31089"/>
  <c r="C20" i="31089"/>
  <c r="T19" i="31089"/>
  <c r="S19" i="31089"/>
  <c r="R19" i="31089"/>
  <c r="Q19" i="31089"/>
  <c r="P19" i="31089"/>
  <c r="N19" i="31089"/>
  <c r="C19" i="31089"/>
  <c r="T18" i="31089"/>
  <c r="S18" i="31089"/>
  <c r="R18" i="31089"/>
  <c r="Q18" i="31089"/>
  <c r="P18" i="31089"/>
  <c r="N18" i="31089"/>
  <c r="C18" i="31089"/>
  <c r="T17" i="31089"/>
  <c r="S17" i="31089"/>
  <c r="R17" i="31089"/>
  <c r="Q17" i="31089"/>
  <c r="P17" i="31089"/>
  <c r="N17" i="31089"/>
  <c r="C17" i="31089"/>
  <c r="T16" i="31089"/>
  <c r="S16" i="31089"/>
  <c r="R16" i="31089"/>
  <c r="Q16" i="31089"/>
  <c r="P16" i="31089"/>
  <c r="N16" i="31089"/>
  <c r="C16" i="31089"/>
  <c r="T15" i="31089"/>
  <c r="S15" i="31089"/>
  <c r="R15" i="31089"/>
  <c r="Q15" i="31089"/>
  <c r="P15" i="31089"/>
  <c r="N15" i="31089"/>
  <c r="C15" i="31089"/>
  <c r="T14" i="31089"/>
  <c r="S14" i="31089"/>
  <c r="R14" i="31089"/>
  <c r="Q14" i="31089"/>
  <c r="P14" i="31089"/>
  <c r="N14" i="31089"/>
  <c r="C14" i="31089"/>
  <c r="T13" i="31089"/>
  <c r="S13" i="31089"/>
  <c r="R13" i="31089"/>
  <c r="Q13" i="31089"/>
  <c r="P13" i="31089"/>
  <c r="N13" i="31089"/>
  <c r="C13" i="31089"/>
  <c r="T12" i="31089"/>
  <c r="S12" i="31089"/>
  <c r="R12" i="31089"/>
  <c r="Q12" i="31089"/>
  <c r="P12" i="31089"/>
  <c r="N12" i="31089"/>
  <c r="C12" i="31089"/>
  <c r="T11" i="31089"/>
  <c r="S11" i="31089"/>
  <c r="R11" i="31089"/>
  <c r="Q11" i="31089"/>
  <c r="P11" i="31089"/>
  <c r="N11" i="31089"/>
  <c r="C11" i="31089"/>
  <c r="T10" i="31089"/>
  <c r="S10" i="31089"/>
  <c r="R10" i="31089"/>
  <c r="Q10" i="31089"/>
  <c r="P10" i="31089"/>
  <c r="N10" i="31089"/>
  <c r="C10" i="31089"/>
  <c r="T9" i="31089"/>
  <c r="S9" i="31089"/>
  <c r="R9" i="31089"/>
  <c r="Q9" i="31089"/>
  <c r="P9" i="31089"/>
  <c r="N9" i="31089"/>
  <c r="C9" i="31089"/>
  <c r="T8" i="31089"/>
  <c r="S8" i="31089"/>
  <c r="R8" i="31089"/>
  <c r="Q8" i="31089"/>
  <c r="P8" i="31089"/>
  <c r="N8" i="31089"/>
  <c r="C8" i="31089"/>
  <c r="S105" i="31088"/>
  <c r="U72" i="31088"/>
  <c r="T71" i="31088"/>
  <c r="S70" i="31088"/>
  <c r="T105" i="31088"/>
  <c r="M26" i="31088"/>
  <c r="V72" i="31088"/>
  <c r="G26" i="31088"/>
  <c r="V27" i="31088" s="1"/>
  <c r="F26" i="31088"/>
  <c r="U27" i="31088" s="1"/>
  <c r="E26" i="31088"/>
  <c r="T27" i="31088" s="1"/>
  <c r="T104" i="31088"/>
  <c r="M25" i="31088"/>
  <c r="G25" i="31088"/>
  <c r="U71" i="31088"/>
  <c r="S71" i="31088"/>
  <c r="H25" i="31088"/>
  <c r="E25" i="31088"/>
  <c r="D25" i="31088"/>
  <c r="T103" i="31088"/>
  <c r="S103" i="31088"/>
  <c r="H24" i="31088"/>
  <c r="T70" i="31088"/>
  <c r="G24" i="31088"/>
  <c r="D24" i="31088"/>
  <c r="T102" i="31088"/>
  <c r="M23" i="31088"/>
  <c r="T69" i="31088"/>
  <c r="H23" i="31088"/>
  <c r="G23" i="31088"/>
  <c r="E23" i="31088"/>
  <c r="D23" i="31088"/>
  <c r="S24" i="31088" s="1"/>
  <c r="T101" i="31088"/>
  <c r="S101" i="31088"/>
  <c r="M22" i="31088"/>
  <c r="T68" i="31088"/>
  <c r="S68" i="31088"/>
  <c r="H22" i="31088"/>
  <c r="G22" i="31088"/>
  <c r="E22" i="31088"/>
  <c r="T23" i="31088" s="1"/>
  <c r="D22" i="31088"/>
  <c r="T100" i="31088"/>
  <c r="S100" i="31088"/>
  <c r="M21" i="31088"/>
  <c r="H21" i="31088"/>
  <c r="T67" i="31088"/>
  <c r="S67" i="31088"/>
  <c r="G21" i="31088"/>
  <c r="E21" i="31088"/>
  <c r="T22" i="31088" s="1"/>
  <c r="D21" i="31088"/>
  <c r="S22" i="31088" s="1"/>
  <c r="T99" i="31088"/>
  <c r="S99" i="31088"/>
  <c r="T66" i="31088"/>
  <c r="S66" i="31088"/>
  <c r="G20" i="31088"/>
  <c r="E20" i="31088"/>
  <c r="T21" i="31088" s="1"/>
  <c r="D20" i="31088"/>
  <c r="S21" i="31088" s="1"/>
  <c r="T98" i="31088"/>
  <c r="M19" i="31088"/>
  <c r="T65" i="31088"/>
  <c r="H19" i="31088"/>
  <c r="G19" i="31088"/>
  <c r="E19" i="31088"/>
  <c r="T20" i="31088" s="1"/>
  <c r="D19" i="31088"/>
  <c r="T97" i="31088"/>
  <c r="S97" i="31088"/>
  <c r="M18" i="31088"/>
  <c r="T64" i="31088"/>
  <c r="S64" i="31088"/>
  <c r="H18" i="31088"/>
  <c r="G18" i="31088"/>
  <c r="E18" i="31088"/>
  <c r="T19" i="31088" s="1"/>
  <c r="D18" i="31088"/>
  <c r="S19" i="31088" s="1"/>
  <c r="T96" i="31088"/>
  <c r="S96" i="31088"/>
  <c r="M17" i="31088"/>
  <c r="T63" i="31088"/>
  <c r="H17" i="31088"/>
  <c r="G17" i="31088"/>
  <c r="E17" i="31088"/>
  <c r="T18" i="31088" s="1"/>
  <c r="D17" i="31088"/>
  <c r="S18" i="31088" s="1"/>
  <c r="T95" i="31088"/>
  <c r="S95" i="31088"/>
  <c r="T62" i="31088"/>
  <c r="S62" i="31088"/>
  <c r="G16" i="31088"/>
  <c r="E16" i="31088"/>
  <c r="T17" i="31088" s="1"/>
  <c r="D16" i="31088"/>
  <c r="S17" i="31088" s="1"/>
  <c r="T94" i="31088"/>
  <c r="M15" i="31088"/>
  <c r="T61" i="31088"/>
  <c r="H15" i="31088"/>
  <c r="G15" i="31088"/>
  <c r="E15" i="31088"/>
  <c r="T16" i="31088" s="1"/>
  <c r="D15" i="31088"/>
  <c r="T93" i="31088"/>
  <c r="S93" i="31088"/>
  <c r="M14" i="31088"/>
  <c r="T60" i="31088"/>
  <c r="S60" i="31088"/>
  <c r="H14" i="31088"/>
  <c r="G14" i="31088"/>
  <c r="E14" i="31088"/>
  <c r="T15" i="31088" s="1"/>
  <c r="D14" i="31088"/>
  <c r="S15" i="31088" s="1"/>
  <c r="M13" i="31088"/>
  <c r="S92" i="31088"/>
  <c r="T59" i="31088"/>
  <c r="H13" i="31088"/>
  <c r="G13" i="31088"/>
  <c r="E13" i="31088"/>
  <c r="T14" i="31088" s="1"/>
  <c r="D13" i="31088"/>
  <c r="T91" i="31088"/>
  <c r="S91" i="31088"/>
  <c r="T58" i="31088"/>
  <c r="S58" i="31088"/>
  <c r="G12" i="31088"/>
  <c r="E12" i="31088"/>
  <c r="T13" i="31088" s="1"/>
  <c r="D12" i="31088"/>
  <c r="S13" i="31088" s="1"/>
  <c r="T90" i="31088"/>
  <c r="M11" i="31088"/>
  <c r="T57" i="31088"/>
  <c r="H11" i="31088"/>
  <c r="G11" i="31088"/>
  <c r="E11" i="31088"/>
  <c r="T12" i="31088" s="1"/>
  <c r="D11" i="31088"/>
  <c r="S12" i="31088" s="1"/>
  <c r="T89" i="31088"/>
  <c r="S89" i="31088"/>
  <c r="M10" i="31088"/>
  <c r="T56" i="31088"/>
  <c r="S56" i="31088"/>
  <c r="H10" i="31088"/>
  <c r="G10" i="31088"/>
  <c r="E10" i="31088"/>
  <c r="T11" i="31088" s="1"/>
  <c r="D10" i="31088"/>
  <c r="S11" i="31088" s="1"/>
  <c r="T88" i="31088"/>
  <c r="M9" i="31088"/>
  <c r="T55" i="31088"/>
  <c r="H9" i="31088"/>
  <c r="G9" i="31088"/>
  <c r="E9" i="31088"/>
  <c r="T10" i="31088" s="1"/>
  <c r="D9" i="31088"/>
  <c r="S10" i="31088" s="1"/>
  <c r="T87" i="31088"/>
  <c r="S87" i="31088"/>
  <c r="T54" i="31088"/>
  <c r="S54" i="31088"/>
  <c r="G8" i="31088"/>
  <c r="E8" i="31088"/>
  <c r="T9" i="31088" s="1"/>
  <c r="D8" i="31088"/>
  <c r="T86" i="31088"/>
  <c r="M7" i="31088"/>
  <c r="T53" i="31088"/>
  <c r="D7" i="31088"/>
  <c r="S8" i="31088" s="1"/>
  <c r="E7" i="31088"/>
  <c r="T8" i="31088" s="1"/>
  <c r="U62" i="31087"/>
  <c r="U60" i="31087"/>
  <c r="T59" i="31087"/>
  <c r="S58" i="31087"/>
  <c r="T94" i="31087"/>
  <c r="V62" i="31087"/>
  <c r="G26" i="31087"/>
  <c r="V24" i="31087" s="1"/>
  <c r="F26" i="31087"/>
  <c r="U24" i="31087" s="1"/>
  <c r="T93" i="31087"/>
  <c r="S93" i="31087"/>
  <c r="H25" i="31087"/>
  <c r="T61" i="31087"/>
  <c r="S61" i="31087"/>
  <c r="G25" i="31087"/>
  <c r="D25" i="31087"/>
  <c r="T92" i="31087"/>
  <c r="S92" i="31087"/>
  <c r="M24" i="31087"/>
  <c r="T60" i="31087"/>
  <c r="H24" i="31087"/>
  <c r="G24" i="31087"/>
  <c r="F24" i="31087"/>
  <c r="U22" i="31087" s="1"/>
  <c r="E24" i="31087"/>
  <c r="T91" i="31087"/>
  <c r="S91" i="31087"/>
  <c r="S59" i="31087"/>
  <c r="G23" i="31087"/>
  <c r="E23" i="31087"/>
  <c r="T21" i="31087" s="1"/>
  <c r="D23" i="31087"/>
  <c r="S21" i="31087" s="1"/>
  <c r="T90" i="31087"/>
  <c r="S90" i="31087"/>
  <c r="M22" i="31087"/>
  <c r="T58" i="31087"/>
  <c r="H22" i="31087"/>
  <c r="G22" i="31087"/>
  <c r="E22" i="31087"/>
  <c r="D22" i="31087"/>
  <c r="S20" i="31087" s="1"/>
  <c r="T89" i="31087"/>
  <c r="S89" i="31087"/>
  <c r="T57" i="31087"/>
  <c r="S57" i="31087"/>
  <c r="G21" i="31087"/>
  <c r="E21" i="31087"/>
  <c r="T19" i="31087" s="1"/>
  <c r="D21" i="31087"/>
  <c r="S19" i="31087" s="1"/>
  <c r="T88" i="31087"/>
  <c r="S88" i="31087"/>
  <c r="M20" i="31087"/>
  <c r="R88" i="31087" s="1"/>
  <c r="T56" i="31087"/>
  <c r="S56" i="31087"/>
  <c r="H20" i="31087"/>
  <c r="R56" i="31087" s="1"/>
  <c r="G20" i="31087"/>
  <c r="E20" i="31087"/>
  <c r="T18" i="31087" s="1"/>
  <c r="D20" i="31087"/>
  <c r="T87" i="31087"/>
  <c r="S87" i="31087"/>
  <c r="T55" i="31087"/>
  <c r="S55" i="31087"/>
  <c r="G19" i="31087"/>
  <c r="E19" i="31087"/>
  <c r="T17" i="31087" s="1"/>
  <c r="D19" i="31087"/>
  <c r="S17" i="31087" s="1"/>
  <c r="T86" i="31087"/>
  <c r="S86" i="31087"/>
  <c r="M18" i="31087"/>
  <c r="R86" i="31087" s="1"/>
  <c r="T54" i="31087"/>
  <c r="S54" i="31087"/>
  <c r="H18" i="31087"/>
  <c r="R54" i="31087" s="1"/>
  <c r="G18" i="31087"/>
  <c r="E18" i="31087"/>
  <c r="T16" i="31087" s="1"/>
  <c r="D18" i="31087"/>
  <c r="T85" i="31087"/>
  <c r="S85" i="31087"/>
  <c r="T53" i="31087"/>
  <c r="S53" i="31087"/>
  <c r="G17" i="31087"/>
  <c r="E17" i="31087"/>
  <c r="T15" i="31087" s="1"/>
  <c r="D17" i="31087"/>
  <c r="S15" i="31087" s="1"/>
  <c r="S84" i="31087"/>
  <c r="M16" i="31087"/>
  <c r="R84" i="31087" s="1"/>
  <c r="T52" i="31087"/>
  <c r="H16" i="31087"/>
  <c r="R52" i="31087" s="1"/>
  <c r="G16" i="31087"/>
  <c r="E16" i="31087"/>
  <c r="T14" i="31087" s="1"/>
  <c r="D16" i="31087"/>
  <c r="T83" i="31087"/>
  <c r="S83" i="31087"/>
  <c r="T51" i="31087"/>
  <c r="S51" i="31087"/>
  <c r="G15" i="31087"/>
  <c r="E15" i="31087"/>
  <c r="T13" i="31087" s="1"/>
  <c r="D15" i="31087"/>
  <c r="S13" i="31087" s="1"/>
  <c r="T82" i="31087"/>
  <c r="S82" i="31087"/>
  <c r="M14" i="31087"/>
  <c r="R82" i="31087" s="1"/>
  <c r="T50" i="31087"/>
  <c r="S50" i="31087"/>
  <c r="H14" i="31087"/>
  <c r="R50" i="31087" s="1"/>
  <c r="G14" i="31087"/>
  <c r="E14" i="31087"/>
  <c r="T12" i="31087" s="1"/>
  <c r="D14" i="31087"/>
  <c r="S12" i="31087" s="1"/>
  <c r="T81" i="31087"/>
  <c r="S81" i="31087"/>
  <c r="E13" i="31087"/>
  <c r="T11" i="31087" s="1"/>
  <c r="S49" i="31087"/>
  <c r="D13" i="31087"/>
  <c r="S11" i="31087" s="1"/>
  <c r="T80" i="31087"/>
  <c r="M12" i="31087"/>
  <c r="R80" i="31087" s="1"/>
  <c r="T48" i="31087"/>
  <c r="S48" i="31087"/>
  <c r="G12" i="31087"/>
  <c r="E12" i="31087"/>
  <c r="T10" i="31087" s="1"/>
  <c r="D12" i="31087"/>
  <c r="S10" i="31087" s="1"/>
  <c r="T79" i="31087"/>
  <c r="S79" i="31087"/>
  <c r="M11" i="31087"/>
  <c r="R79" i="31087" s="1"/>
  <c r="T47" i="31087"/>
  <c r="H11" i="31087"/>
  <c r="R47" i="31087" s="1"/>
  <c r="E11" i="31087"/>
  <c r="T9" i="31087" s="1"/>
  <c r="D11" i="31087"/>
  <c r="S9" i="31087" s="1"/>
  <c r="T78" i="31087"/>
  <c r="S78" i="31087"/>
  <c r="M10" i="31087"/>
  <c r="R78" i="31087" s="1"/>
  <c r="T46" i="31087"/>
  <c r="H10" i="31087"/>
  <c r="R46" i="31087" s="1"/>
  <c r="E10" i="31087"/>
  <c r="T8" i="31087" s="1"/>
  <c r="D10" i="31087"/>
  <c r="S8" i="31087" s="1"/>
  <c r="T77" i="31087"/>
  <c r="S77" i="31087"/>
  <c r="M9" i="31087"/>
  <c r="R77" i="31087" s="1"/>
  <c r="T45" i="31087"/>
  <c r="S45" i="31087"/>
  <c r="E9" i="31087"/>
  <c r="T7" i="31087" s="1"/>
  <c r="D9" i="31087"/>
  <c r="S7" i="31087" s="1"/>
  <c r="T76" i="31087"/>
  <c r="S76" i="31087"/>
  <c r="M8" i="31087"/>
  <c r="R76" i="31087" s="1"/>
  <c r="T44" i="31087"/>
  <c r="H8" i="31087"/>
  <c r="R44" i="31087" s="1"/>
  <c r="E8" i="31087"/>
  <c r="T6" i="31087" s="1"/>
  <c r="D8" i="31087"/>
  <c r="S6" i="31087" s="1"/>
  <c r="T75" i="31087"/>
  <c r="S75" i="31087"/>
  <c r="M7" i="31087"/>
  <c r="R75" i="31087" s="1"/>
  <c r="T43" i="31087"/>
  <c r="H7" i="31087"/>
  <c r="R43" i="31087" s="1"/>
  <c r="E7" i="31087"/>
  <c r="T5" i="31087" s="1"/>
  <c r="D7" i="31087"/>
  <c r="S5" i="31087" s="1"/>
  <c r="W94" i="31086"/>
  <c r="Z62" i="31086"/>
  <c r="Y60" i="31086"/>
  <c r="X95" i="31086"/>
  <c r="Y62" i="31086"/>
  <c r="G26" i="31086"/>
  <c r="Z24" i="31086" s="1"/>
  <c r="F26" i="31086"/>
  <c r="Y24" i="31086" s="1"/>
  <c r="X94" i="31086"/>
  <c r="G25" i="31086"/>
  <c r="Y61" i="31086"/>
  <c r="X61" i="31086"/>
  <c r="W61" i="31086"/>
  <c r="H25" i="31086"/>
  <c r="D25" i="31086"/>
  <c r="X93" i="31086"/>
  <c r="M24" i="31086"/>
  <c r="E24" i="31086"/>
  <c r="H24" i="31086"/>
  <c r="G24" i="31086"/>
  <c r="F24" i="31086"/>
  <c r="Y22" i="31086" s="1"/>
  <c r="X92" i="31086"/>
  <c r="W92" i="31086"/>
  <c r="X59" i="31086"/>
  <c r="W59" i="31086"/>
  <c r="G23" i="31086"/>
  <c r="E23" i="31086"/>
  <c r="D23" i="31086"/>
  <c r="X91" i="31086"/>
  <c r="W91" i="31086"/>
  <c r="X58" i="31086"/>
  <c r="W58" i="31086"/>
  <c r="G22" i="31086"/>
  <c r="E22" i="31086"/>
  <c r="D22" i="31086"/>
  <c r="W20" i="31086" s="1"/>
  <c r="X90" i="31086"/>
  <c r="W90" i="31086"/>
  <c r="X57" i="31086"/>
  <c r="W57" i="31086"/>
  <c r="G21" i="31086"/>
  <c r="E21" i="31086"/>
  <c r="X19" i="31086" s="1"/>
  <c r="D21" i="31086"/>
  <c r="W19" i="31086" s="1"/>
  <c r="X89" i="31086"/>
  <c r="M20" i="31086"/>
  <c r="V89" i="31086" s="1"/>
  <c r="X56" i="31086"/>
  <c r="H20" i="31086"/>
  <c r="V56" i="31086" s="1"/>
  <c r="G20" i="31086"/>
  <c r="E20" i="31086"/>
  <c r="X18" i="31086" s="1"/>
  <c r="D20" i="31086"/>
  <c r="X88" i="31086"/>
  <c r="W88" i="31086"/>
  <c r="X55" i="31086"/>
  <c r="W55" i="31086"/>
  <c r="G19" i="31086"/>
  <c r="E19" i="31086"/>
  <c r="X17" i="31086" s="1"/>
  <c r="D19" i="31086"/>
  <c r="W17" i="31086" s="1"/>
  <c r="X87" i="31086"/>
  <c r="W87" i="31086"/>
  <c r="M18" i="31086"/>
  <c r="V87" i="31086" s="1"/>
  <c r="X54" i="31086"/>
  <c r="W54" i="31086"/>
  <c r="H18" i="31086"/>
  <c r="V54" i="31086" s="1"/>
  <c r="G18" i="31086"/>
  <c r="E18" i="31086"/>
  <c r="X16" i="31086" s="1"/>
  <c r="D18" i="31086"/>
  <c r="W16" i="31086" s="1"/>
  <c r="X86" i="31086"/>
  <c r="W86" i="31086"/>
  <c r="X53" i="31086"/>
  <c r="W53" i="31086"/>
  <c r="G17" i="31086"/>
  <c r="E17" i="31086"/>
  <c r="X15" i="31086" s="1"/>
  <c r="D17" i="31086"/>
  <c r="W15" i="31086" s="1"/>
  <c r="X85" i="31086"/>
  <c r="W85" i="31086"/>
  <c r="M16" i="31086"/>
  <c r="V85" i="31086" s="1"/>
  <c r="X52" i="31086"/>
  <c r="H16" i="31086"/>
  <c r="V52" i="31086" s="1"/>
  <c r="G16" i="31086"/>
  <c r="E16" i="31086"/>
  <c r="X14" i="31086" s="1"/>
  <c r="D16" i="31086"/>
  <c r="W14" i="31086" s="1"/>
  <c r="X84" i="31086"/>
  <c r="W84" i="31086"/>
  <c r="X51" i="31086"/>
  <c r="W51" i="31086"/>
  <c r="G15" i="31086"/>
  <c r="E15" i="31086"/>
  <c r="D15" i="31086"/>
  <c r="W13" i="31086" s="1"/>
  <c r="X83" i="31086"/>
  <c r="W83" i="31086"/>
  <c r="M14" i="31086"/>
  <c r="V83" i="31086" s="1"/>
  <c r="X50" i="31086"/>
  <c r="W50" i="31086"/>
  <c r="H14" i="31086"/>
  <c r="V50" i="31086" s="1"/>
  <c r="G14" i="31086"/>
  <c r="E14" i="31086"/>
  <c r="X12" i="31086" s="1"/>
  <c r="D14" i="31086"/>
  <c r="W12" i="31086" s="1"/>
  <c r="X82" i="31086"/>
  <c r="W82" i="31086"/>
  <c r="E13" i="31086"/>
  <c r="X11" i="31086" s="1"/>
  <c r="W49" i="31086"/>
  <c r="D13" i="31086"/>
  <c r="X81" i="31086"/>
  <c r="W81" i="31086"/>
  <c r="M12" i="31086"/>
  <c r="V81" i="31086" s="1"/>
  <c r="H12" i="31086"/>
  <c r="V48" i="31086" s="1"/>
  <c r="X48" i="31086"/>
  <c r="W48" i="31086"/>
  <c r="G12" i="31086"/>
  <c r="E12" i="31086"/>
  <c r="X10" i="31086" s="1"/>
  <c r="D12" i="31086"/>
  <c r="W10" i="31086" s="1"/>
  <c r="X80" i="31086"/>
  <c r="W80" i="31086"/>
  <c r="X47" i="31086"/>
  <c r="D11" i="31086"/>
  <c r="X79" i="31086"/>
  <c r="W79" i="31086"/>
  <c r="X46" i="31086"/>
  <c r="W46" i="31086"/>
  <c r="D10" i="31086"/>
  <c r="W8" i="31086" s="1"/>
  <c r="X78" i="31086"/>
  <c r="W78" i="31086"/>
  <c r="M9" i="31086"/>
  <c r="V78" i="31086" s="1"/>
  <c r="H9" i="31086"/>
  <c r="V45" i="31086" s="1"/>
  <c r="X45" i="31086"/>
  <c r="W45" i="31086"/>
  <c r="E9" i="31086"/>
  <c r="X7" i="31086" s="1"/>
  <c r="D9" i="31086"/>
  <c r="W7" i="31086" s="1"/>
  <c r="X77" i="31086"/>
  <c r="W77" i="31086"/>
  <c r="M8" i="31086"/>
  <c r="V77" i="31086" s="1"/>
  <c r="X44" i="31086"/>
  <c r="W44" i="31086"/>
  <c r="H8" i="31086"/>
  <c r="V44" i="31086" s="1"/>
  <c r="E8" i="31086"/>
  <c r="X6" i="31086" s="1"/>
  <c r="X76" i="31086"/>
  <c r="W76" i="31086"/>
  <c r="X43" i="31086"/>
  <c r="W43" i="31086"/>
  <c r="H7" i="31086"/>
  <c r="V43" i="31086" s="1"/>
  <c r="I25" i="1049"/>
  <c r="N25" i="1049"/>
  <c r="Y61" i="1049"/>
  <c r="Y62" i="1049"/>
  <c r="Y60" i="1049"/>
  <c r="D25" i="31077"/>
  <c r="O25" i="31077" s="1"/>
  <c r="D24" i="31077"/>
  <c r="D23" i="31063"/>
  <c r="E23" i="31063"/>
  <c r="D24" i="31063"/>
  <c r="E24" i="31063"/>
  <c r="C24" i="31067"/>
  <c r="C25" i="31067"/>
  <c r="D24" i="31067"/>
  <c r="D25" i="31067"/>
  <c r="K25" i="31060"/>
  <c r="D25" i="31060" s="1"/>
  <c r="E26" i="31063"/>
  <c r="P60" i="31063" s="1"/>
  <c r="F19" i="31063"/>
  <c r="O84" i="31063" s="1"/>
  <c r="F20" i="31063"/>
  <c r="O85" i="31063" s="1"/>
  <c r="F21" i="31063"/>
  <c r="O86" i="31063" s="1"/>
  <c r="F22" i="31063"/>
  <c r="F23" i="31063"/>
  <c r="F24" i="31063"/>
  <c r="I20" i="31063"/>
  <c r="P85" i="31063" s="1"/>
  <c r="I21" i="31063"/>
  <c r="P86" i="31063" s="1"/>
  <c r="I22" i="31063"/>
  <c r="I23" i="31063"/>
  <c r="I24" i="31063"/>
  <c r="I26" i="31063"/>
  <c r="P91" i="31063" s="1"/>
  <c r="I25" i="31076"/>
  <c r="P65" i="31076" s="1"/>
  <c r="F25" i="31076"/>
  <c r="O65" i="31076" s="1"/>
  <c r="E25" i="31076"/>
  <c r="D25" i="31076"/>
  <c r="O26" i="31076" s="1"/>
  <c r="E24" i="31076"/>
  <c r="P25" i="31076" s="1"/>
  <c r="D24" i="31076"/>
  <c r="I24" i="31076"/>
  <c r="P64" i="31076" s="1"/>
  <c r="F24" i="31076"/>
  <c r="I39" i="2"/>
  <c r="H39" i="2"/>
  <c r="D39" i="2"/>
  <c r="C39" i="2"/>
  <c r="G39" i="2"/>
  <c r="Z62" i="1049"/>
  <c r="AA62" i="1049"/>
  <c r="AB62" i="1049"/>
  <c r="T62" i="1049"/>
  <c r="U62" i="1049"/>
  <c r="N24" i="1049"/>
  <c r="I24" i="1049"/>
  <c r="K24" i="31060"/>
  <c r="Z61" i="1049"/>
  <c r="AA61" i="1049"/>
  <c r="AB61" i="1049"/>
  <c r="T61" i="1049"/>
  <c r="U61" i="1049"/>
  <c r="D23" i="31076"/>
  <c r="E23" i="31076"/>
  <c r="E74" i="31079"/>
  <c r="C8" i="31079"/>
  <c r="C7" i="31079"/>
  <c r="I22" i="31077"/>
  <c r="D22" i="31077"/>
  <c r="I21" i="31077"/>
  <c r="P59" i="31077" s="1"/>
  <c r="D21" i="31077"/>
  <c r="O21" i="31077" s="1"/>
  <c r="D20" i="31077"/>
  <c r="O20" i="31077" s="1"/>
  <c r="I19" i="31077"/>
  <c r="P57" i="31077" s="1"/>
  <c r="D19" i="31077"/>
  <c r="O19" i="31077" s="1"/>
  <c r="I18" i="31077"/>
  <c r="D18" i="31077"/>
  <c r="O18" i="31077" s="1"/>
  <c r="I17" i="31077"/>
  <c r="P55" i="31077" s="1"/>
  <c r="D17" i="31077"/>
  <c r="O17" i="31077" s="1"/>
  <c r="I16" i="31077"/>
  <c r="P54" i="31077" s="1"/>
  <c r="D16" i="31077"/>
  <c r="O16" i="31077" s="1"/>
  <c r="I15" i="31077"/>
  <c r="P53" i="31077" s="1"/>
  <c r="D15" i="31077"/>
  <c r="O15" i="31077" s="1"/>
  <c r="I14" i="31077"/>
  <c r="P52" i="31077" s="1"/>
  <c r="D14" i="31077"/>
  <c r="O14" i="31077" s="1"/>
  <c r="I13" i="31077"/>
  <c r="P51" i="31077" s="1"/>
  <c r="D13" i="31077"/>
  <c r="O13" i="31077" s="1"/>
  <c r="I11" i="31077"/>
  <c r="P49" i="31077" s="1"/>
  <c r="D11" i="31077"/>
  <c r="O11" i="31077" s="1"/>
  <c r="I10" i="31077"/>
  <c r="P48" i="31077" s="1"/>
  <c r="D10" i="31077"/>
  <c r="O10" i="31077" s="1"/>
  <c r="I9" i="31077"/>
  <c r="P47" i="31077" s="1"/>
  <c r="D9" i="31077"/>
  <c r="O9" i="31077" s="1"/>
  <c r="I8" i="31077"/>
  <c r="P46" i="31077" s="1"/>
  <c r="D8" i="31077"/>
  <c r="O8" i="31077" s="1"/>
  <c r="I7" i="31077"/>
  <c r="P45" i="31077" s="1"/>
  <c r="D7" i="31077"/>
  <c r="O7" i="31077" s="1"/>
  <c r="C7" i="31063"/>
  <c r="F7" i="31063"/>
  <c r="O72" i="31063" s="1"/>
  <c r="I7" i="31063"/>
  <c r="P72" i="31063" s="1"/>
  <c r="C8" i="31063"/>
  <c r="F8" i="31063"/>
  <c r="O73" i="31063" s="1"/>
  <c r="I8" i="31063"/>
  <c r="P73" i="31063" s="1"/>
  <c r="C9" i="31063"/>
  <c r="F9" i="31063"/>
  <c r="O74" i="31063" s="1"/>
  <c r="I9" i="31063"/>
  <c r="P74" i="31063" s="1"/>
  <c r="C10" i="31063"/>
  <c r="F10" i="31063"/>
  <c r="O75" i="31063" s="1"/>
  <c r="I10" i="31063"/>
  <c r="P75" i="31063" s="1"/>
  <c r="C11" i="31063"/>
  <c r="F11" i="31063"/>
  <c r="O76" i="31063" s="1"/>
  <c r="I11" i="31063"/>
  <c r="P76" i="31063"/>
  <c r="C12" i="31063"/>
  <c r="F12" i="31063"/>
  <c r="O77" i="31063" s="1"/>
  <c r="I12" i="31063"/>
  <c r="P77" i="31063" s="1"/>
  <c r="C13" i="31063"/>
  <c r="F13" i="31063"/>
  <c r="O78" i="31063" s="1"/>
  <c r="I13" i="31063"/>
  <c r="P78" i="31063" s="1"/>
  <c r="C14" i="31063"/>
  <c r="F14" i="31063"/>
  <c r="O79" i="31063" s="1"/>
  <c r="I14" i="31063"/>
  <c r="P79" i="31063" s="1"/>
  <c r="C15" i="31063"/>
  <c r="F15" i="31063"/>
  <c r="O80" i="31063" s="1"/>
  <c r="I15" i="31063"/>
  <c r="P80" i="31063" s="1"/>
  <c r="C16" i="31063"/>
  <c r="F16" i="31063"/>
  <c r="O81" i="31063" s="1"/>
  <c r="I16" i="31063"/>
  <c r="P81" i="31063" s="1"/>
  <c r="C17" i="31063"/>
  <c r="F17" i="31063"/>
  <c r="O82" i="31063" s="1"/>
  <c r="I17" i="31063"/>
  <c r="P82" i="31063" s="1"/>
  <c r="C18" i="31063"/>
  <c r="F18" i="31063"/>
  <c r="O83" i="31063" s="1"/>
  <c r="I18" i="31063"/>
  <c r="P83" i="31063" s="1"/>
  <c r="C19" i="31063"/>
  <c r="I19" i="31063"/>
  <c r="P84" i="31063" s="1"/>
  <c r="C20" i="31063"/>
  <c r="C21" i="31063"/>
  <c r="C22" i="31063"/>
  <c r="I23" i="31076"/>
  <c r="F23" i="31076"/>
  <c r="I22" i="31076"/>
  <c r="E22" i="31076"/>
  <c r="I21" i="31076"/>
  <c r="P61" i="31076" s="1"/>
  <c r="E21" i="31076"/>
  <c r="P22" i="31076" s="1"/>
  <c r="D21" i="31076"/>
  <c r="I20" i="31076"/>
  <c r="P60" i="31076" s="1"/>
  <c r="F20" i="31076"/>
  <c r="O60" i="31076" s="1"/>
  <c r="E20" i="31076"/>
  <c r="P21" i="31076" s="1"/>
  <c r="D20" i="31076"/>
  <c r="O21" i="31076" s="1"/>
  <c r="I19" i="31076"/>
  <c r="P59" i="31076" s="1"/>
  <c r="F19" i="31076"/>
  <c r="O59" i="31076" s="1"/>
  <c r="E19" i="31076"/>
  <c r="P20" i="31076" s="1"/>
  <c r="I18" i="31076"/>
  <c r="P58" i="31076" s="1"/>
  <c r="E18" i="31076"/>
  <c r="P19" i="31076" s="1"/>
  <c r="I17" i="31076"/>
  <c r="P57" i="31076" s="1"/>
  <c r="E17" i="31076"/>
  <c r="P18" i="31076" s="1"/>
  <c r="F17" i="31076"/>
  <c r="D17" i="31076"/>
  <c r="O18" i="31076" s="1"/>
  <c r="I16" i="31076"/>
  <c r="P56" i="31076" s="1"/>
  <c r="E16" i="31076"/>
  <c r="P17" i="31076" s="1"/>
  <c r="F16" i="31076"/>
  <c r="O56" i="31076" s="1"/>
  <c r="D16" i="31076"/>
  <c r="O17" i="31076" s="1"/>
  <c r="I15" i="31076"/>
  <c r="P55" i="31076" s="1"/>
  <c r="E15" i="31076"/>
  <c r="P16" i="31076" s="1"/>
  <c r="F15" i="31076"/>
  <c r="O55" i="31076" s="1"/>
  <c r="I14" i="31076"/>
  <c r="P54" i="31076" s="1"/>
  <c r="E14" i="31076"/>
  <c r="P15" i="31076" s="1"/>
  <c r="F14" i="31076"/>
  <c r="O54" i="31076" s="1"/>
  <c r="D14" i="31076"/>
  <c r="O15" i="31076" s="1"/>
  <c r="I13" i="31076"/>
  <c r="P53" i="31076" s="1"/>
  <c r="E13" i="31076"/>
  <c r="P14" i="31076" s="1"/>
  <c r="F13" i="31076"/>
  <c r="O53" i="31076" s="1"/>
  <c r="D13" i="31076"/>
  <c r="O14" i="31076" s="1"/>
  <c r="I12" i="31076"/>
  <c r="P52" i="31076" s="1"/>
  <c r="F12" i="31076"/>
  <c r="O52" i="31076" s="1"/>
  <c r="I11" i="31076"/>
  <c r="P51" i="31076" s="1"/>
  <c r="E11" i="31076"/>
  <c r="P12" i="31076" s="1"/>
  <c r="F11" i="31076"/>
  <c r="O51" i="31076" s="1"/>
  <c r="D11" i="31076"/>
  <c r="O12" i="31076" s="1"/>
  <c r="I10" i="31076"/>
  <c r="P50" i="31076" s="1"/>
  <c r="D10" i="31076"/>
  <c r="O11" i="31076" s="1"/>
  <c r="I9" i="31076"/>
  <c r="P49" i="31076" s="1"/>
  <c r="E9" i="31076"/>
  <c r="P10" i="31076" s="1"/>
  <c r="I8" i="31076"/>
  <c r="P48" i="31076" s="1"/>
  <c r="F8" i="31076"/>
  <c r="O48" i="31076" s="1"/>
  <c r="E8" i="31076"/>
  <c r="P9" i="31076" s="1"/>
  <c r="I7" i="31076"/>
  <c r="P47" i="31076" s="1"/>
  <c r="F7" i="31076"/>
  <c r="O47" i="31076" s="1"/>
  <c r="D12" i="31076"/>
  <c r="O13" i="31076" s="1"/>
  <c r="F21" i="31076"/>
  <c r="O61" i="31076" s="1"/>
  <c r="D15" i="31076"/>
  <c r="O16" i="31076" s="1"/>
  <c r="D7" i="31076"/>
  <c r="O8" i="31076" s="1"/>
  <c r="F9" i="31076"/>
  <c r="O49" i="31076" s="1"/>
  <c r="E10" i="31076"/>
  <c r="P11" i="31076" s="1"/>
  <c r="E12" i="31076"/>
  <c r="P13" i="31076" s="1"/>
  <c r="E7" i="31076"/>
  <c r="P8" i="31076" s="1"/>
  <c r="D8" i="31076"/>
  <c r="O9" i="31076" s="1"/>
  <c r="D9" i="31076"/>
  <c r="O10" i="31076" s="1"/>
  <c r="F18" i="31076"/>
  <c r="O58" i="31076" s="1"/>
  <c r="F22" i="31076"/>
  <c r="O62" i="31076" s="1"/>
  <c r="F10" i="31076"/>
  <c r="O50" i="31076" s="1"/>
  <c r="D18" i="31076"/>
  <c r="O19" i="31076" s="1"/>
  <c r="D19" i="31076"/>
  <c r="O20" i="31076" s="1"/>
  <c r="D22" i="31076"/>
  <c r="O23" i="31076" s="1"/>
  <c r="Z59" i="1049"/>
  <c r="AA59" i="1049"/>
  <c r="AB59" i="1049"/>
  <c r="Z60" i="1049"/>
  <c r="AA60" i="1049"/>
  <c r="AB60" i="1049"/>
  <c r="T59" i="1049"/>
  <c r="U59" i="1049"/>
  <c r="T60" i="1049"/>
  <c r="U60" i="1049"/>
  <c r="N23" i="1049"/>
  <c r="N22" i="1049"/>
  <c r="I22" i="1049"/>
  <c r="I23" i="1049"/>
  <c r="C22" i="31067"/>
  <c r="D22" i="31067"/>
  <c r="C23" i="31067"/>
  <c r="D23" i="31067"/>
  <c r="K23" i="31060"/>
  <c r="H23" i="31060" s="1"/>
  <c r="K22" i="31060"/>
  <c r="K21" i="31060"/>
  <c r="H21" i="31060" s="1"/>
  <c r="D38" i="2"/>
  <c r="H38" i="2"/>
  <c r="I38" i="2"/>
  <c r="C38" i="2"/>
  <c r="D37" i="2"/>
  <c r="H37" i="2"/>
  <c r="I37" i="2"/>
  <c r="C37" i="2"/>
  <c r="D36" i="2"/>
  <c r="H36" i="2"/>
  <c r="I36" i="2"/>
  <c r="C36" i="2"/>
  <c r="D35" i="2"/>
  <c r="H35" i="2"/>
  <c r="I35" i="2"/>
  <c r="K35" i="2"/>
  <c r="L35" i="2"/>
  <c r="C35" i="2"/>
  <c r="D26" i="2"/>
  <c r="H26" i="2"/>
  <c r="I26" i="2"/>
  <c r="D25" i="2"/>
  <c r="I25" i="2"/>
  <c r="D24" i="2"/>
  <c r="H24" i="2"/>
  <c r="I24" i="2"/>
  <c r="D23" i="2"/>
  <c r="H23" i="2"/>
  <c r="I23" i="2"/>
  <c r="D22" i="2"/>
  <c r="H22" i="2"/>
  <c r="I22" i="2"/>
  <c r="K22" i="2"/>
  <c r="L22" i="2"/>
  <c r="H21" i="2"/>
  <c r="C25" i="2"/>
  <c r="C24" i="2"/>
  <c r="L26" i="2"/>
  <c r="I19" i="1049"/>
  <c r="N19" i="1049"/>
  <c r="I18" i="1049"/>
  <c r="N18" i="1049"/>
  <c r="I20" i="1049"/>
  <c r="N20" i="1049"/>
  <c r="I21" i="1049"/>
  <c r="N21" i="1049"/>
  <c r="N14" i="1049"/>
  <c r="N15" i="1049"/>
  <c r="N16" i="1049"/>
  <c r="N17" i="1049"/>
  <c r="I17" i="1049"/>
  <c r="D17" i="1049" s="1"/>
  <c r="G35" i="2"/>
  <c r="Z56" i="1049"/>
  <c r="AA56" i="1049"/>
  <c r="AB56" i="1049"/>
  <c r="Z57" i="1049"/>
  <c r="AA57" i="1049"/>
  <c r="AB57" i="1049"/>
  <c r="Z58" i="1049"/>
  <c r="AA58" i="1049"/>
  <c r="AB58" i="1049"/>
  <c r="T56" i="1049"/>
  <c r="U56" i="1049"/>
  <c r="T57" i="1049"/>
  <c r="U57" i="1049"/>
  <c r="T58" i="1049"/>
  <c r="U58" i="1049"/>
  <c r="D21" i="31067"/>
  <c r="C21" i="31067"/>
  <c r="D20" i="31067"/>
  <c r="C20" i="31067"/>
  <c r="K20" i="31060"/>
  <c r="D20" i="31060" s="1"/>
  <c r="Z48" i="1049"/>
  <c r="AA48" i="1049"/>
  <c r="AB48" i="1049"/>
  <c r="Z49" i="1049"/>
  <c r="AA49" i="1049"/>
  <c r="AB49" i="1049"/>
  <c r="Z50" i="1049"/>
  <c r="AA50" i="1049"/>
  <c r="AB50" i="1049"/>
  <c r="Z51" i="1049"/>
  <c r="AA51" i="1049"/>
  <c r="AB51" i="1049"/>
  <c r="Z52" i="1049"/>
  <c r="AA52" i="1049"/>
  <c r="AB52" i="1049"/>
  <c r="Z53" i="1049"/>
  <c r="AA53" i="1049"/>
  <c r="AB53" i="1049"/>
  <c r="Z54" i="1049"/>
  <c r="AA54" i="1049"/>
  <c r="AB54" i="1049"/>
  <c r="Z55" i="1049"/>
  <c r="AA55" i="1049"/>
  <c r="AB55" i="1049"/>
  <c r="AB47" i="1049"/>
  <c r="AA47" i="1049"/>
  <c r="Z47" i="1049"/>
  <c r="T48" i="1049"/>
  <c r="U48" i="1049"/>
  <c r="V48" i="1049"/>
  <c r="T52" i="1049"/>
  <c r="U52" i="1049"/>
  <c r="V47" i="1049"/>
  <c r="U49" i="1049"/>
  <c r="U50" i="1049"/>
  <c r="U51" i="1049"/>
  <c r="U53" i="1049"/>
  <c r="U54" i="1049"/>
  <c r="U55" i="1049"/>
  <c r="U47" i="1049"/>
  <c r="T49" i="1049"/>
  <c r="T50" i="1049"/>
  <c r="T51" i="1049"/>
  <c r="T53" i="1049"/>
  <c r="T54" i="1049"/>
  <c r="T55" i="1049"/>
  <c r="T47" i="1049"/>
  <c r="K19" i="31060"/>
  <c r="D19" i="31060" s="1"/>
  <c r="K26" i="2"/>
  <c r="K25" i="2"/>
  <c r="L38" i="2"/>
  <c r="D7" i="31067"/>
  <c r="C7" i="31067"/>
  <c r="D19" i="31067"/>
  <c r="C19" i="31067"/>
  <c r="D18" i="31067"/>
  <c r="C18" i="31067"/>
  <c r="D17" i="31067"/>
  <c r="C17" i="31067"/>
  <c r="D16" i="31067"/>
  <c r="C16" i="31067"/>
  <c r="D15" i="31067"/>
  <c r="C15" i="31067"/>
  <c r="D14" i="31067"/>
  <c r="C14" i="31067"/>
  <c r="D13" i="31067"/>
  <c r="C13" i="31067"/>
  <c r="D12" i="31067"/>
  <c r="C12" i="31067"/>
  <c r="D11" i="31067"/>
  <c r="C11" i="31067"/>
  <c r="D10" i="31067"/>
  <c r="C10" i="31067"/>
  <c r="D9" i="31067"/>
  <c r="C9" i="31067"/>
  <c r="D8" i="31067"/>
  <c r="C8" i="31067"/>
  <c r="I15" i="1049"/>
  <c r="K18" i="31060"/>
  <c r="F18" i="31060" s="1"/>
  <c r="I16" i="1049"/>
  <c r="K17" i="31060"/>
  <c r="J17" i="31060" s="1"/>
  <c r="E8" i="31060"/>
  <c r="K8" i="31060" s="1"/>
  <c r="J8" i="31060" s="1"/>
  <c r="K16" i="31060"/>
  <c r="D16" i="31060" s="1"/>
  <c r="N7" i="1049"/>
  <c r="I7" i="1049"/>
  <c r="E7" i="31060"/>
  <c r="K7" i="31060" s="1"/>
  <c r="J7" i="31060" s="1"/>
  <c r="K15" i="31060"/>
  <c r="J15" i="31060" s="1"/>
  <c r="K37" i="2"/>
  <c r="L37" i="2"/>
  <c r="G37" i="2"/>
  <c r="K14" i="31060"/>
  <c r="H14" i="31060" s="1"/>
  <c r="K13" i="31060"/>
  <c r="H13" i="31060" s="1"/>
  <c r="K12" i="31060"/>
  <c r="H12" i="31060" s="1"/>
  <c r="K11" i="31060"/>
  <c r="J11" i="31060" s="1"/>
  <c r="K10" i="31060"/>
  <c r="H10" i="31060" s="1"/>
  <c r="G9" i="31060"/>
  <c r="I9" i="31060"/>
  <c r="I14" i="1049"/>
  <c r="I13" i="1049"/>
  <c r="D13" i="1049" s="1"/>
  <c r="N13" i="1049"/>
  <c r="I12" i="1049"/>
  <c r="N12" i="1049"/>
  <c r="I11" i="1049"/>
  <c r="N11" i="1049"/>
  <c r="I10" i="1049"/>
  <c r="N10" i="1049"/>
  <c r="D10" i="1049" s="1"/>
  <c r="I9" i="1049"/>
  <c r="N9" i="1049"/>
  <c r="I8" i="1049"/>
  <c r="N8" i="1049"/>
  <c r="L23" i="2"/>
  <c r="L24" i="2"/>
  <c r="L25" i="2"/>
  <c r="G26" i="2"/>
  <c r="K36" i="2"/>
  <c r="G36" i="2"/>
  <c r="K38" i="2"/>
  <c r="G38" i="2"/>
  <c r="G22" i="2"/>
  <c r="K24" i="2"/>
  <c r="G24" i="2"/>
  <c r="G25" i="2"/>
  <c r="D12" i="31077"/>
  <c r="O12" i="31077" s="1"/>
  <c r="G23" i="2"/>
  <c r="L36" i="2"/>
  <c r="K23" i="2"/>
  <c r="I12" i="31077"/>
  <c r="P50" i="31077" s="1"/>
  <c r="J23" i="2"/>
  <c r="J36" i="2"/>
  <c r="J37" i="2"/>
  <c r="J24" i="2"/>
  <c r="J38" i="2"/>
  <c r="J25" i="2"/>
  <c r="J26" i="2"/>
  <c r="D7" i="31086"/>
  <c r="W5" i="31086" s="1"/>
  <c r="D8" i="31086"/>
  <c r="H10" i="31086"/>
  <c r="V46" i="31086" s="1"/>
  <c r="M10" i="31086"/>
  <c r="V79" i="31086" s="1"/>
  <c r="E11" i="31086"/>
  <c r="X9" i="31086" s="1"/>
  <c r="H13" i="31086"/>
  <c r="V49" i="31086" s="1"/>
  <c r="M13" i="31086"/>
  <c r="V82" i="31086" s="1"/>
  <c r="H15" i="31086"/>
  <c r="V51" i="31086" s="1"/>
  <c r="M15" i="31086"/>
  <c r="V84" i="31086" s="1"/>
  <c r="H17" i="31086"/>
  <c r="V53" i="31086" s="1"/>
  <c r="M17" i="31086"/>
  <c r="V86" i="31086" s="1"/>
  <c r="H19" i="31086"/>
  <c r="V55" i="31086" s="1"/>
  <c r="M19" i="31086"/>
  <c r="V88" i="31086" s="1"/>
  <c r="H21" i="31086"/>
  <c r="V57" i="31086" s="1"/>
  <c r="M21" i="31086"/>
  <c r="V90" i="31086" s="1"/>
  <c r="E25" i="31086"/>
  <c r="M25" i="31086"/>
  <c r="D26" i="31086"/>
  <c r="W24" i="31086" s="1"/>
  <c r="H26" i="31086"/>
  <c r="V62" i="31086" s="1"/>
  <c r="X49" i="31086"/>
  <c r="W52" i="31086"/>
  <c r="W56" i="31086"/>
  <c r="W60" i="31086"/>
  <c r="W62" i="31086"/>
  <c r="W89" i="31086"/>
  <c r="W93" i="31086"/>
  <c r="E7" i="31086"/>
  <c r="X5" i="31086" s="1"/>
  <c r="M7" i="31086"/>
  <c r="V76" i="31086" s="1"/>
  <c r="H11" i="31086"/>
  <c r="V47" i="31086" s="1"/>
  <c r="M11" i="31086"/>
  <c r="V80" i="31086" s="1"/>
  <c r="H23" i="31086"/>
  <c r="M23" i="31086"/>
  <c r="W23" i="31086"/>
  <c r="D24" i="31086"/>
  <c r="F25" i="31086"/>
  <c r="E26" i="31086"/>
  <c r="X24" i="31086" s="1"/>
  <c r="M26" i="31086"/>
  <c r="V95" i="31086" s="1"/>
  <c r="W47" i="31086"/>
  <c r="X60" i="31086"/>
  <c r="X62" i="31086"/>
  <c r="H22" i="31086"/>
  <c r="M22" i="31086"/>
  <c r="V91" i="31086" s="1"/>
  <c r="W95" i="31086"/>
  <c r="E10" i="31086"/>
  <c r="X8" i="31086" s="1"/>
  <c r="H8" i="31088"/>
  <c r="M8" i="31088"/>
  <c r="H12" i="31088"/>
  <c r="M12" i="31088"/>
  <c r="H16" i="31088"/>
  <c r="M16" i="31088"/>
  <c r="H20" i="31088"/>
  <c r="M20" i="31088"/>
  <c r="E24" i="31088"/>
  <c r="M24" i="31088"/>
  <c r="F25" i="31088"/>
  <c r="U26" i="31088" s="1"/>
  <c r="S53" i="31088"/>
  <c r="S55" i="31088"/>
  <c r="S57" i="31088"/>
  <c r="S59" i="31088"/>
  <c r="S61" i="31088"/>
  <c r="S63" i="31088"/>
  <c r="S65" i="31088"/>
  <c r="S69" i="31088"/>
  <c r="U70" i="31088"/>
  <c r="S72" i="31088"/>
  <c r="S86" i="31088"/>
  <c r="S88" i="31088"/>
  <c r="S90" i="31088"/>
  <c r="S94" i="31088"/>
  <c r="S98" i="31088"/>
  <c r="S102" i="31088"/>
  <c r="S104" i="31088"/>
  <c r="H7" i="31088"/>
  <c r="F24" i="31088"/>
  <c r="U25" i="31088" s="1"/>
  <c r="D26" i="31088"/>
  <c r="S27" i="31088" s="1"/>
  <c r="H26" i="31088"/>
  <c r="T72" i="31088"/>
  <c r="T92" i="31088"/>
  <c r="S16" i="31087"/>
  <c r="S18" i="31087"/>
  <c r="H12" i="31087"/>
  <c r="R48" i="31087" s="1"/>
  <c r="H13" i="31087"/>
  <c r="R49" i="31087" s="1"/>
  <c r="M13" i="31087"/>
  <c r="R81" i="31087" s="1"/>
  <c r="H15" i="31087"/>
  <c r="R51" i="31087" s="1"/>
  <c r="M15" i="31087"/>
  <c r="R83" i="31087" s="1"/>
  <c r="H17" i="31087"/>
  <c r="R53" i="31087" s="1"/>
  <c r="M17" i="31087"/>
  <c r="R85" i="31087" s="1"/>
  <c r="H19" i="31087"/>
  <c r="R55" i="31087" s="1"/>
  <c r="M19" i="31087"/>
  <c r="R87" i="31087" s="1"/>
  <c r="H21" i="31087"/>
  <c r="R57" i="31087" s="1"/>
  <c r="M21" i="31087"/>
  <c r="R89" i="31087" s="1"/>
  <c r="E25" i="31087"/>
  <c r="M25" i="31087"/>
  <c r="D26" i="31087"/>
  <c r="S24" i="31087" s="1"/>
  <c r="H26" i="31087"/>
  <c r="R62" i="31087" s="1"/>
  <c r="S44" i="31087"/>
  <c r="T49" i="31087"/>
  <c r="S52" i="31087"/>
  <c r="S60" i="31087"/>
  <c r="S62" i="31087"/>
  <c r="S80" i="31087"/>
  <c r="H23" i="31087"/>
  <c r="M23" i="31087"/>
  <c r="D24" i="31087"/>
  <c r="F25" i="31087"/>
  <c r="U23" i="31087" s="1"/>
  <c r="E26" i="31087"/>
  <c r="T24" i="31087" s="1"/>
  <c r="M26" i="31087"/>
  <c r="R94" i="31087" s="1"/>
  <c r="S43" i="31087"/>
  <c r="S47" i="31087"/>
  <c r="T62" i="31087"/>
  <c r="T84" i="31087"/>
  <c r="S46" i="31087"/>
  <c r="U61" i="31087"/>
  <c r="S94" i="31087"/>
  <c r="H9" i="31087"/>
  <c r="R45" i="31087" s="1"/>
  <c r="L39" i="2"/>
  <c r="K39" i="2"/>
  <c r="J22" i="2"/>
  <c r="I20" i="31077"/>
  <c r="P58" i="31077" s="1"/>
  <c r="H25" i="31060"/>
  <c r="J25" i="31060"/>
  <c r="D18" i="31060"/>
  <c r="J10" i="31060"/>
  <c r="J35" i="2"/>
  <c r="F25" i="31060"/>
  <c r="C13" i="31076"/>
  <c r="O57" i="31076"/>
  <c r="D27" i="31060"/>
  <c r="I34" i="2"/>
  <c r="O36" i="2"/>
  <c r="J39" i="2"/>
  <c r="O37" i="2"/>
  <c r="T29" i="31088"/>
  <c r="V29" i="31088"/>
  <c r="R96" i="31087"/>
  <c r="R64" i="31087"/>
  <c r="V64" i="31086"/>
  <c r="I21" i="2"/>
  <c r="D34" i="2"/>
  <c r="D21" i="2"/>
  <c r="J34" i="2"/>
  <c r="G34" i="2"/>
  <c r="J21" i="2"/>
  <c r="L21" i="2"/>
  <c r="P56" i="31077"/>
  <c r="O38" i="2"/>
  <c r="O25" i="2"/>
  <c r="O26" i="2"/>
  <c r="O39" i="2"/>
  <c r="O35" i="2"/>
  <c r="O22" i="2"/>
  <c r="O23" i="2"/>
  <c r="O24" i="2"/>
  <c r="W11" i="31086"/>
  <c r="W27" i="31086"/>
  <c r="X27" i="31086"/>
  <c r="J13" i="31060"/>
  <c r="D13" i="31060"/>
  <c r="F13" i="31060"/>
  <c r="D29" i="31060"/>
  <c r="P63" i="31063"/>
  <c r="O24" i="31077"/>
  <c r="D26" i="31067"/>
  <c r="H29" i="31060"/>
  <c r="R97" i="31087"/>
  <c r="W9" i="31086"/>
  <c r="W56" i="1049" l="1"/>
  <c r="C27" i="31063"/>
  <c r="C41" i="31089"/>
  <c r="C40" i="31089"/>
  <c r="C24" i="31076"/>
  <c r="C27" i="31076"/>
  <c r="C29" i="31076"/>
  <c r="T23" i="31087"/>
  <c r="E40" i="31087"/>
  <c r="E39" i="31087"/>
  <c r="H40" i="31088"/>
  <c r="H39" i="31088"/>
  <c r="U31" i="31088"/>
  <c r="F38" i="31088"/>
  <c r="C13" i="31086"/>
  <c r="V11" i="31086" s="1"/>
  <c r="V31" i="31088"/>
  <c r="G38" i="31088"/>
  <c r="D40" i="31086"/>
  <c r="D39" i="31086"/>
  <c r="M39" i="31088"/>
  <c r="M40" i="31088"/>
  <c r="C22" i="31086"/>
  <c r="V20" i="31086" s="1"/>
  <c r="V61" i="31086"/>
  <c r="H40" i="31086"/>
  <c r="H39" i="31086"/>
  <c r="C13" i="31088"/>
  <c r="J28" i="31060"/>
  <c r="T31" i="31088"/>
  <c r="E38" i="31088"/>
  <c r="J27" i="31060"/>
  <c r="F21" i="31060"/>
  <c r="H28" i="31060"/>
  <c r="R61" i="31087"/>
  <c r="H40" i="31087"/>
  <c r="H39" i="31087"/>
  <c r="C19" i="31088"/>
  <c r="O27" i="31089"/>
  <c r="S23" i="31087"/>
  <c r="D40" i="31087"/>
  <c r="D39" i="31087"/>
  <c r="H18" i="31060"/>
  <c r="C26" i="31076"/>
  <c r="F20" i="31060"/>
  <c r="F29" i="31060"/>
  <c r="J18" i="31060"/>
  <c r="V94" i="31086"/>
  <c r="M40" i="31086"/>
  <c r="M39" i="31086"/>
  <c r="D21" i="1049"/>
  <c r="X28" i="31086"/>
  <c r="E38" i="31086"/>
  <c r="T26" i="31088"/>
  <c r="E39" i="31088"/>
  <c r="E40" i="31088"/>
  <c r="D18" i="1049"/>
  <c r="O18" i="1049" s="1"/>
  <c r="U28" i="31087"/>
  <c r="F38" i="31087"/>
  <c r="V28" i="31087"/>
  <c r="G38" i="31087"/>
  <c r="J29" i="31060"/>
  <c r="R93" i="31087"/>
  <c r="M39" i="31087"/>
  <c r="M40" i="31087"/>
  <c r="X23" i="31086"/>
  <c r="E39" i="31086"/>
  <c r="E40" i="31086"/>
  <c r="D40" i="31088"/>
  <c r="D39" i="31088"/>
  <c r="C15" i="31088"/>
  <c r="C20" i="31086"/>
  <c r="V18" i="31086" s="1"/>
  <c r="D16" i="1049"/>
  <c r="C7" i="31086"/>
  <c r="V5" i="31086" s="1"/>
  <c r="AC56" i="1049"/>
  <c r="C17" i="31087"/>
  <c r="R15" i="31087" s="1"/>
  <c r="O11" i="31089"/>
  <c r="C20" i="31076"/>
  <c r="D8" i="1049"/>
  <c r="J19" i="31060"/>
  <c r="D10" i="31060"/>
  <c r="D9" i="1049"/>
  <c r="O9" i="1049" s="1"/>
  <c r="O29" i="31089"/>
  <c r="AC47" i="1049"/>
  <c r="J20" i="31060"/>
  <c r="H19" i="31060"/>
  <c r="H20" i="31060"/>
  <c r="C18" i="31076"/>
  <c r="D14" i="31060"/>
  <c r="F10" i="31060"/>
  <c r="D26" i="1049"/>
  <c r="F14" i="31060"/>
  <c r="AC50" i="1049"/>
  <c r="J14" i="31060"/>
  <c r="F17" i="31060"/>
  <c r="O24" i="31089"/>
  <c r="D17" i="31060"/>
  <c r="H17" i="31060"/>
  <c r="D26" i="31060"/>
  <c r="J26" i="31060"/>
  <c r="H26" i="31060"/>
  <c r="F26" i="31060"/>
  <c r="K9" i="31060"/>
  <c r="J9" i="31060" s="1"/>
  <c r="D7" i="1049"/>
  <c r="P89" i="31063"/>
  <c r="O8" i="31089"/>
  <c r="O15" i="31089"/>
  <c r="H30" i="31060"/>
  <c r="D11" i="31060"/>
  <c r="S22" i="31087"/>
  <c r="C7" i="31087"/>
  <c r="R5" i="31087" s="1"/>
  <c r="T22" i="31087"/>
  <c r="G26" i="31065"/>
  <c r="J24" i="31060"/>
  <c r="V98" i="31086"/>
  <c r="D24" i="1049"/>
  <c r="O64" i="31076"/>
  <c r="V65" i="31086"/>
  <c r="O63" i="31063"/>
  <c r="C15" i="31076"/>
  <c r="F11" i="31060"/>
  <c r="V60" i="31086"/>
  <c r="R60" i="31087"/>
  <c r="Z27" i="31086"/>
  <c r="R65" i="31087"/>
  <c r="C12" i="31086"/>
  <c r="V10" i="31086" s="1"/>
  <c r="O25" i="31076"/>
  <c r="O89" i="31063"/>
  <c r="P58" i="31063"/>
  <c r="X22" i="31086"/>
  <c r="Y27" i="31086"/>
  <c r="V27" i="31087"/>
  <c r="O69" i="31076"/>
  <c r="H11" i="31060"/>
  <c r="W22" i="31086"/>
  <c r="D12" i="1049"/>
  <c r="O13" i="1049" s="1"/>
  <c r="O58" i="31063"/>
  <c r="V93" i="31086"/>
  <c r="R92" i="31087"/>
  <c r="U27" i="31087"/>
  <c r="P69" i="31076"/>
  <c r="T30" i="31088"/>
  <c r="T25" i="31088"/>
  <c r="C22" i="31076"/>
  <c r="S25" i="31088"/>
  <c r="S27" i="31087"/>
  <c r="S30" i="31088"/>
  <c r="O94" i="31063"/>
  <c r="C29" i="31063"/>
  <c r="W64" i="1049"/>
  <c r="D22" i="1049"/>
  <c r="AC62" i="1049"/>
  <c r="X20" i="31086"/>
  <c r="C30" i="31086"/>
  <c r="C21" i="31088"/>
  <c r="J23" i="31060"/>
  <c r="C21" i="31087"/>
  <c r="R19" i="31087" s="1"/>
  <c r="C23" i="31087"/>
  <c r="P24" i="31076"/>
  <c r="P57" i="31063"/>
  <c r="O12" i="31089"/>
  <c r="O21" i="31089"/>
  <c r="W58" i="1049"/>
  <c r="O24" i="31076"/>
  <c r="O57" i="31063"/>
  <c r="O19" i="31089"/>
  <c r="C29" i="31087"/>
  <c r="O63" i="31076"/>
  <c r="D28" i="31060"/>
  <c r="P63" i="31076"/>
  <c r="O88" i="31063"/>
  <c r="C23" i="31088"/>
  <c r="S29" i="31088"/>
  <c r="V26" i="31087"/>
  <c r="R91" i="31087"/>
  <c r="C17" i="31088"/>
  <c r="T24" i="31088"/>
  <c r="P88" i="31063"/>
  <c r="R59" i="31087"/>
  <c r="C12" i="31088"/>
  <c r="V97" i="31086"/>
  <c r="C29" i="31088"/>
  <c r="O17" i="31089"/>
  <c r="C27" i="31086"/>
  <c r="V25" i="31086" s="1"/>
  <c r="V92" i="31086"/>
  <c r="Z26" i="31086"/>
  <c r="V59" i="31086"/>
  <c r="Y26" i="31086"/>
  <c r="W50" i="1049"/>
  <c r="X26" i="31086"/>
  <c r="K28" i="2"/>
  <c r="H7" i="31060"/>
  <c r="W21" i="31086"/>
  <c r="W26" i="31086"/>
  <c r="O62" i="31063"/>
  <c r="L34" i="2"/>
  <c r="F7" i="31060"/>
  <c r="X21" i="31086"/>
  <c r="S26" i="31087"/>
  <c r="P62" i="31063"/>
  <c r="D7" i="31060"/>
  <c r="O93" i="31063"/>
  <c r="C8" i="31087"/>
  <c r="R6" i="31087" s="1"/>
  <c r="C19" i="31087"/>
  <c r="R17" i="31087" s="1"/>
  <c r="D15" i="1049"/>
  <c r="O16" i="1049" s="1"/>
  <c r="U26" i="31087"/>
  <c r="W60" i="1049"/>
  <c r="W55" i="1049"/>
  <c r="AC55" i="1049"/>
  <c r="D23" i="1049"/>
  <c r="W59" i="1049"/>
  <c r="D14" i="1049"/>
  <c r="O14" i="1049" s="1"/>
  <c r="D28" i="1049"/>
  <c r="AC57" i="1049"/>
  <c r="F24" i="31060"/>
  <c r="H24" i="31060"/>
  <c r="D24" i="31060"/>
  <c r="J12" i="31060"/>
  <c r="F30" i="31060"/>
  <c r="C23" i="31063"/>
  <c r="P67" i="31076"/>
  <c r="C19" i="31076"/>
  <c r="C8" i="31076"/>
  <c r="C28" i="31076"/>
  <c r="C9" i="31076"/>
  <c r="C16" i="31088"/>
  <c r="C8" i="31088"/>
  <c r="C14" i="31088"/>
  <c r="U28" i="31088"/>
  <c r="C10" i="31088"/>
  <c r="C20" i="31088"/>
  <c r="C26" i="31088"/>
  <c r="C22" i="31088"/>
  <c r="K34" i="2"/>
  <c r="L28" i="2"/>
  <c r="C10" i="31087"/>
  <c r="R8" i="31087" s="1"/>
  <c r="S25" i="31087"/>
  <c r="C15" i="31087"/>
  <c r="R13" i="31087" s="1"/>
  <c r="C16" i="31087"/>
  <c r="R14" i="31087" s="1"/>
  <c r="C18" i="31087"/>
  <c r="R16" i="31087" s="1"/>
  <c r="C20" i="31087"/>
  <c r="R18" i="31087" s="1"/>
  <c r="C25" i="31087"/>
  <c r="C9" i="31087"/>
  <c r="R7" i="31087" s="1"/>
  <c r="C18" i="31086"/>
  <c r="V16" i="31086" s="1"/>
  <c r="C16" i="31086"/>
  <c r="V14" i="31086" s="1"/>
  <c r="C17" i="31086"/>
  <c r="V15" i="31086" s="1"/>
  <c r="C19" i="31086"/>
  <c r="V17" i="31086" s="1"/>
  <c r="C23" i="31086"/>
  <c r="V63" i="31086"/>
  <c r="W18" i="31086"/>
  <c r="C21" i="31086"/>
  <c r="V19" i="31086" s="1"/>
  <c r="C11" i="31086"/>
  <c r="V9" i="31086" s="1"/>
  <c r="C14" i="31086"/>
  <c r="V12" i="31086" s="1"/>
  <c r="O60" i="31063"/>
  <c r="C26" i="31063"/>
  <c r="F9" i="31060"/>
  <c r="C9" i="31088"/>
  <c r="D23" i="31060"/>
  <c r="S16" i="31088"/>
  <c r="W51" i="1049"/>
  <c r="AC54" i="1049"/>
  <c r="V28" i="31088"/>
  <c r="J30" i="31060"/>
  <c r="S20" i="31088"/>
  <c r="H22" i="31060"/>
  <c r="F8" i="31060"/>
  <c r="F23" i="31060"/>
  <c r="F26" i="31063"/>
  <c r="O91" i="31063" s="1"/>
  <c r="S14" i="31087"/>
  <c r="R90" i="31087"/>
  <c r="C11" i="31088"/>
  <c r="T25" i="31087"/>
  <c r="R58" i="31087"/>
  <c r="C10" i="31076"/>
  <c r="D12" i="31060"/>
  <c r="C24" i="31086"/>
  <c r="H8" i="31060"/>
  <c r="S14" i="31088"/>
  <c r="F12" i="31060"/>
  <c r="C15" i="31086"/>
  <c r="V13" i="31086" s="1"/>
  <c r="U25" i="31087"/>
  <c r="O67" i="31076"/>
  <c r="E30" i="31077"/>
  <c r="P30" i="31077" s="1"/>
  <c r="O87" i="31063"/>
  <c r="O10" i="31089"/>
  <c r="V25" i="31087"/>
  <c r="C29" i="31086"/>
  <c r="P87" i="31063"/>
  <c r="C28" i="31086"/>
  <c r="D8" i="31060"/>
  <c r="C28" i="31063"/>
  <c r="F19" i="31060"/>
  <c r="C14" i="31087"/>
  <c r="R12" i="31087" s="1"/>
  <c r="C21" i="31076"/>
  <c r="S23" i="31088"/>
  <c r="X25" i="31086"/>
  <c r="C12" i="31076"/>
  <c r="O20" i="31089"/>
  <c r="R95" i="31087"/>
  <c r="O61" i="31063"/>
  <c r="C24" i="31063"/>
  <c r="J16" i="31060"/>
  <c r="Y25" i="31086"/>
  <c r="P61" i="31063"/>
  <c r="AC52" i="1049"/>
  <c r="P23" i="31076"/>
  <c r="Z25" i="31086"/>
  <c r="O92" i="31063"/>
  <c r="K21" i="2"/>
  <c r="H16" i="31060"/>
  <c r="F22" i="31060"/>
  <c r="C8" i="31086"/>
  <c r="V6" i="31086" s="1"/>
  <c r="D11" i="1049"/>
  <c r="O11" i="1049" s="1"/>
  <c r="W48" i="1049"/>
  <c r="P62" i="31076"/>
  <c r="D25" i="1049"/>
  <c r="O25" i="1049" s="1"/>
  <c r="AC63" i="1049"/>
  <c r="P92" i="31063"/>
  <c r="C28" i="31088"/>
  <c r="C28" i="31087"/>
  <c r="J21" i="31060"/>
  <c r="O22" i="31077"/>
  <c r="F27" i="31060"/>
  <c r="F16" i="31060"/>
  <c r="C25" i="31063"/>
  <c r="D22" i="31060"/>
  <c r="P60" i="31077"/>
  <c r="T20" i="31087"/>
  <c r="C22" i="31087"/>
  <c r="C10" i="31086"/>
  <c r="V8" i="31086" s="1"/>
  <c r="T26" i="31087"/>
  <c r="D27" i="1049"/>
  <c r="V58" i="31086"/>
  <c r="O14" i="31089"/>
  <c r="O16" i="31089"/>
  <c r="O23" i="31089"/>
  <c r="O25" i="31089"/>
  <c r="C27" i="31088"/>
  <c r="J22" i="31060"/>
  <c r="T28" i="31088"/>
  <c r="C14" i="31076"/>
  <c r="D21" i="31060"/>
  <c r="O27" i="31076"/>
  <c r="W67" i="1049"/>
  <c r="AC58" i="1049"/>
  <c r="W66" i="1049"/>
  <c r="AC51" i="1049"/>
  <c r="AC53" i="1049"/>
  <c r="D29" i="1049"/>
  <c r="D15" i="31060"/>
  <c r="H15" i="31060"/>
  <c r="F15" i="31060"/>
  <c r="P94" i="31063"/>
  <c r="O22" i="31076"/>
  <c r="C25" i="31076"/>
  <c r="D30" i="31077"/>
  <c r="O30" i="31077" s="1"/>
  <c r="C11" i="31076"/>
  <c r="C16" i="31076"/>
  <c r="C17" i="31076"/>
  <c r="C7" i="31076"/>
  <c r="O26" i="31089"/>
  <c r="O9" i="31089"/>
  <c r="C24" i="31088"/>
  <c r="U29" i="31088"/>
  <c r="U30" i="31088"/>
  <c r="C25" i="31088"/>
  <c r="C7" i="31088"/>
  <c r="C18" i="31088"/>
  <c r="S26" i="31088"/>
  <c r="C30" i="31088"/>
  <c r="C38" i="31088" s="1"/>
  <c r="C12" i="31087"/>
  <c r="R10" i="31087" s="1"/>
  <c r="C13" i="31087"/>
  <c r="R11" i="31087" s="1"/>
  <c r="C11" i="31087"/>
  <c r="R9" i="31087" s="1"/>
  <c r="C26" i="31087"/>
  <c r="R24" i="31087" s="1"/>
  <c r="C27" i="31087"/>
  <c r="C9" i="31086"/>
  <c r="V7" i="31086" s="1"/>
  <c r="C26" i="31086"/>
  <c r="V24" i="31086" s="1"/>
  <c r="X13" i="31086"/>
  <c r="Y28" i="31086"/>
  <c r="C24" i="31087"/>
  <c r="Y23" i="31086"/>
  <c r="W6" i="31086"/>
  <c r="C23" i="31076"/>
  <c r="C25" i="31086"/>
  <c r="O95" i="31063"/>
  <c r="F30" i="31077"/>
  <c r="O70" i="31076"/>
  <c r="O13" i="31089"/>
  <c r="W61" i="1049"/>
  <c r="W53" i="1049"/>
  <c r="Z28" i="31086"/>
  <c r="S28" i="31087"/>
  <c r="V30" i="31088"/>
  <c r="AC48" i="1049"/>
  <c r="W62" i="1049"/>
  <c r="S9" i="31088"/>
  <c r="O18" i="31089"/>
  <c r="V66" i="31086"/>
  <c r="C30" i="31087"/>
  <c r="C38" i="31087" s="1"/>
  <c r="R66" i="31087"/>
  <c r="O64" i="31063"/>
  <c r="AC65" i="1049"/>
  <c r="P64" i="31063"/>
  <c r="W47" i="1049"/>
  <c r="W52" i="1049"/>
  <c r="P26" i="31076"/>
  <c r="C30" i="31063"/>
  <c r="I30" i="31077"/>
  <c r="AC61" i="1049"/>
  <c r="W65" i="1049"/>
  <c r="W57" i="1049"/>
  <c r="W49" i="1049"/>
  <c r="T28" i="31087"/>
  <c r="R98" i="31087"/>
  <c r="C30" i="31076"/>
  <c r="AC60" i="1049"/>
  <c r="O28" i="31089"/>
  <c r="O14" i="2"/>
  <c r="AC66" i="1049"/>
  <c r="W28" i="31086"/>
  <c r="V99" i="31086"/>
  <c r="O22" i="1049"/>
  <c r="W54" i="1049"/>
  <c r="AC49" i="1049"/>
  <c r="D19" i="1049"/>
  <c r="O19" i="1049" s="1"/>
  <c r="AC59" i="1049"/>
  <c r="O22" i="31089"/>
  <c r="AC64" i="1049"/>
  <c r="AC67" i="1049"/>
  <c r="O23" i="1049"/>
  <c r="O17" i="1049"/>
  <c r="D20" i="1049"/>
  <c r="D30" i="1049"/>
  <c r="O31" i="1049" s="1"/>
  <c r="O24" i="1049" l="1"/>
  <c r="O10" i="1049"/>
  <c r="R23" i="31087"/>
  <c r="C39" i="31087"/>
  <c r="C40" i="31087"/>
  <c r="V28" i="31086"/>
  <c r="C38" i="31086"/>
  <c r="C40" i="31088"/>
  <c r="C39" i="31088"/>
  <c r="V23" i="31086"/>
  <c r="C40" i="31086"/>
  <c r="C39" i="31086"/>
  <c r="O8" i="1049"/>
  <c r="O26" i="1049"/>
  <c r="O12" i="1049"/>
  <c r="O29" i="1049"/>
  <c r="R22" i="31087"/>
  <c r="V27" i="31086"/>
  <c r="V22" i="31086"/>
  <c r="D9" i="31060"/>
  <c r="H9" i="31060"/>
  <c r="O41" i="2"/>
  <c r="R14" i="2"/>
  <c r="R27" i="31087"/>
  <c r="R26" i="31087"/>
  <c r="V26" i="31086"/>
  <c r="V21" i="31086"/>
  <c r="R21" i="31087"/>
  <c r="O28" i="2"/>
  <c r="O15" i="1049"/>
  <c r="O27" i="1049"/>
  <c r="R25" i="31087"/>
  <c r="R20" i="31087"/>
  <c r="O28" i="1049"/>
  <c r="O20" i="1049"/>
  <c r="O34" i="2"/>
  <c r="O21" i="2"/>
  <c r="C30" i="31077"/>
  <c r="P68" i="31077"/>
  <c r="O68" i="31077"/>
  <c r="R28" i="31087"/>
  <c r="O30" i="1049"/>
  <c r="O21" i="1049"/>
</calcChain>
</file>

<file path=xl/sharedStrings.xml><?xml version="1.0" encoding="utf-8"?>
<sst xmlns="http://schemas.openxmlformats.org/spreadsheetml/2006/main" count="816" uniqueCount="354">
  <si>
    <t>Total</t>
  </si>
  <si>
    <t>Hidro</t>
  </si>
  <si>
    <t>Termo</t>
  </si>
  <si>
    <t>TOTAL</t>
  </si>
  <si>
    <t>Hidráulica</t>
  </si>
  <si>
    <t>Térmica</t>
  </si>
  <si>
    <t>Eólica</t>
  </si>
  <si>
    <t>-----</t>
  </si>
  <si>
    <t>Regulados</t>
  </si>
  <si>
    <t>Libres</t>
  </si>
  <si>
    <t>Distribuidoras</t>
  </si>
  <si>
    <t>Generadoras</t>
  </si>
  <si>
    <t xml:space="preserve">Total </t>
  </si>
  <si>
    <t>Generación</t>
  </si>
  <si>
    <t>Mercado eléctrico</t>
  </si>
  <si>
    <t>Uso propio</t>
  </si>
  <si>
    <t>Regulado</t>
  </si>
  <si>
    <t>Libre</t>
  </si>
  <si>
    <t>Año</t>
  </si>
  <si>
    <t>Mercado Libre</t>
  </si>
  <si>
    <t>Mercado Regulado</t>
  </si>
  <si>
    <t>MAT</t>
  </si>
  <si>
    <t>AT</t>
  </si>
  <si>
    <t>MT</t>
  </si>
  <si>
    <t>BT</t>
  </si>
  <si>
    <t>Total Libre</t>
  </si>
  <si>
    <t>Total Regulado</t>
  </si>
  <si>
    <t>Clientes</t>
  </si>
  <si>
    <t>Totales</t>
  </si>
  <si>
    <t>PERÍODO</t>
  </si>
  <si>
    <t xml:space="preserve">(60 - 70) </t>
  </si>
  <si>
    <t xml:space="preserve">(70 - 80) </t>
  </si>
  <si>
    <t xml:space="preserve">(80 - 90) </t>
  </si>
  <si>
    <t>Total General</t>
  </si>
  <si>
    <t>Potencia Instalada  (MW)</t>
  </si>
  <si>
    <t>Incrementos periódicos de potencia instalada  (%)</t>
  </si>
  <si>
    <t>Crecimiento medio anual de la potencia instalada  (%)</t>
  </si>
  <si>
    <t xml:space="preserve">(90 - 00) </t>
  </si>
  <si>
    <t>Total-ML</t>
  </si>
  <si>
    <t>Total-MR</t>
  </si>
  <si>
    <t>Industrial</t>
  </si>
  <si>
    <t>Comercial</t>
  </si>
  <si>
    <t>Residencial</t>
  </si>
  <si>
    <t>Alumbrado Público</t>
  </si>
  <si>
    <t>%</t>
  </si>
  <si>
    <t>Mercado Eléctrico</t>
  </si>
  <si>
    <t>Uso Propio</t>
  </si>
  <si>
    <t xml:space="preserve">10.3   INCREMENTO Y CRECIMIENTO MEDIO ANUAL DE LA POTENCIA INSTALADA POR DÉCADAS </t>
  </si>
  <si>
    <t>10.4.     EVOLUCIÓN DE LA PRODUCCIÓN DE ENERGÍA ELÉCTRICA (GW.h)</t>
  </si>
  <si>
    <t>Tipo de Mercado</t>
  </si>
  <si>
    <t>Facturación a Cliente Final</t>
  </si>
  <si>
    <t>Consumo</t>
  </si>
  <si>
    <t>Ventas a Cliente Final</t>
  </si>
  <si>
    <t>de uso propio</t>
  </si>
  <si>
    <t>10.13 EVOLUCIÓN DEL NÚMERO DE CLIENTES POR NIVEL DE TENSIÓN</t>
  </si>
  <si>
    <t xml:space="preserve">(00 - 10) </t>
  </si>
  <si>
    <t>AÑO</t>
  </si>
  <si>
    <t>Solar</t>
  </si>
  <si>
    <t>10.2.     EVOLUCIÓN DE LA POTENCIA EFECTIVA (MW)</t>
  </si>
  <si>
    <t>Precio Medio por Sector Económico</t>
  </si>
  <si>
    <t>(*) Corresponde al cociente de la facturación y venta total de energía eléctrica</t>
  </si>
  <si>
    <t>Precio Medio *</t>
  </si>
  <si>
    <t>10. 12   EVOLUCIÓN DEL CONSUMO DE ENERGÍA ELÉCTRICA (GW.h)</t>
  </si>
  <si>
    <t>10.14    EVOLUCIÓN DEL NÚMERO DE TRABAJADORES</t>
  </si>
  <si>
    <t>TRABAJADORES POR ACTIVIDAD</t>
  </si>
  <si>
    <t>Transmisoras</t>
  </si>
  <si>
    <t>10.15    EVOLUCIÓN DE LAS PÉRDIDAS EN DISTRIBUCIÓN (%)</t>
  </si>
  <si>
    <t>Pérdidas (%)</t>
  </si>
  <si>
    <t>10.16    EVOLUCIÓN DE LA MÁXIMA DEMANDA DEL SEIN (MW)</t>
  </si>
  <si>
    <t>Tasa Anual (%)</t>
  </si>
  <si>
    <t>1997*</t>
  </si>
  <si>
    <t>2001**</t>
  </si>
  <si>
    <t>(*) De 1997 a 1999 : SICN + SIS</t>
  </si>
  <si>
    <t xml:space="preserve">Máxima Demanda (MW) </t>
  </si>
  <si>
    <t>-</t>
  </si>
  <si>
    <t>Nº</t>
  </si>
  <si>
    <t>Actividad de generación</t>
  </si>
  <si>
    <t>CEMENTOS LIMA S.A.</t>
  </si>
  <si>
    <t>CEMENTOS NORTE PACASMAYO ENERGÍA S.A.</t>
  </si>
  <si>
    <t>DUKE ENERGY INTERNATIONAL EGENOR S. EN C. POR A.</t>
  </si>
  <si>
    <t>ELECTRICIDAD ANDINA S.A.</t>
  </si>
  <si>
    <t>EMPRESA ADMINISTRADORA CHUNGAR S.A.C.</t>
  </si>
  <si>
    <t>EMPRESA DE GENERACIÓN ELÉCTRICA CHÉVES S.A.</t>
  </si>
  <si>
    <t>EMPRESA DE GENERACIÓN ELÉCTRICA HUANZA S.A.</t>
  </si>
  <si>
    <t>EMPRESA DE GENERACIÓN TERMOELÉCTRICA VENTANILLA S.A.</t>
  </si>
  <si>
    <t>EMPRESA GEN. Y COMER. DE SERV.PÚB.DE ELECTRICIDAD PANGOA S.A.</t>
  </si>
  <si>
    <t>EMPRESA PERUANA DE INVERSIONES EN ENERGÍAS RENOVABLES S.A.C.</t>
  </si>
  <si>
    <t>HYDRO TAMBORAQUE</t>
  </si>
  <si>
    <t>QUITARACSA S.A. EMPRESA DE GENERACIÓN ELÉCTRICA</t>
  </si>
  <si>
    <t>SOCIEDAD MINERA CORONA S.A.</t>
  </si>
  <si>
    <t>TARUCANI GENERATING COMPANY S.A.</t>
  </si>
  <si>
    <t>TERMOCHILCA S.A.C.</t>
  </si>
  <si>
    <t>TERMOSELVA S.R.L.</t>
  </si>
  <si>
    <t>Actividad de transmisión</t>
  </si>
  <si>
    <t>CONSORCIO MINERO HORIZONTE S.A.</t>
  </si>
  <si>
    <t>ETENORTE S.R.L.</t>
  </si>
  <si>
    <t>ETESELVA S.R.L.</t>
  </si>
  <si>
    <t>Actividad de distribución</t>
  </si>
  <si>
    <t xml:space="preserve">CONSORCIO ELÉCTRICO DE VILLACURI S.A.C. </t>
  </si>
  <si>
    <t>ELECTRO PANGOA S.A.</t>
  </si>
  <si>
    <t>ELECTROCENTRO S.A.</t>
  </si>
  <si>
    <t xml:space="preserve">ELECTRONOROESTE S.A. </t>
  </si>
  <si>
    <t xml:space="preserve">ELECTRONORTE S.A. </t>
  </si>
  <si>
    <t>EMPRESA DE SERV.ELÉCTRICOS MUNICIPALES DE PARAMONGA S.A.</t>
  </si>
  <si>
    <t>EMPRESA MUNICIPAL DE SERVICIO ELÉCTRICO DE TOCACHE S.A.</t>
  </si>
  <si>
    <t xml:space="preserve">EMPRESA MUNICIPAL DE SERVICIOS ELÉCTRICOS UTCUBAMBA S.A.C. </t>
  </si>
  <si>
    <t>HIDRANDINA S.A.</t>
  </si>
  <si>
    <t>LUZ DEL SUR S.A.A.</t>
  </si>
  <si>
    <t xml:space="preserve">SERVICIOS ELECTRICOS RIOJA S.A. </t>
  </si>
  <si>
    <t>ELECTROANDES S.A.*</t>
  </si>
  <si>
    <t>ELECTROLIMA</t>
  </si>
  <si>
    <t>ELECTROPERÚ S.A.</t>
  </si>
  <si>
    <t xml:space="preserve">EMPRESA DE GENERACIÓN DE ENERGÍA ELÉCTRICA DEL CENTRO S.A. </t>
  </si>
  <si>
    <t>EMPRESA DE GENERACIÓN ELÉCTRICA DE AREQUIPA S.A.</t>
  </si>
  <si>
    <t xml:space="preserve">EMPRESA DE GENERACIÓN ELÉCTRICA DEL SUR S.A. </t>
  </si>
  <si>
    <t xml:space="preserve">EMPRESA DE GENERACIÓN ELÉCTRICA MACHUPICCHU S.A. </t>
  </si>
  <si>
    <t>EMPRESA DE GENERACIÓN ELÉCTRICA SAN GABAN S.A.</t>
  </si>
  <si>
    <t>EMPRESA DE TRANSMISIÓN ELÉCTRICA DEL CENTRO NORTE S.A.</t>
  </si>
  <si>
    <t>EMPRESA DE TRANSMISIÓN ELÉCTRICA DEL SUR S.A.</t>
  </si>
  <si>
    <t>INADE - PROYECTO ESPECIAL OLMOS TINAJONES</t>
  </si>
  <si>
    <t>ELECTRO ORIENTE S.A.</t>
  </si>
  <si>
    <t>ELECTRO PUNO S.A.A.</t>
  </si>
  <si>
    <t>ELECTRO SUR ESTE S.A.A.</t>
  </si>
  <si>
    <t>ELECTRO SUR MEDIO S.A.A.</t>
  </si>
  <si>
    <t>ELECTRO TOCACHE S.A.</t>
  </si>
  <si>
    <t>ELECTRO UCAYALI S.A.</t>
  </si>
  <si>
    <t>ELECTROSUR S.A.</t>
  </si>
  <si>
    <t>ELECTRO NORTE MEDIO - HIDRANDINA S.A.</t>
  </si>
  <si>
    <t>INADE - PROYECTO ESPECIAL CHAVIMOCHIC</t>
  </si>
  <si>
    <t>SOCIEDAD ELÉCTRICA DEL SUR OESTE S.A. (SEAL)</t>
  </si>
  <si>
    <r>
      <t>(*)</t>
    </r>
    <r>
      <rPr>
        <sz val="9"/>
        <rFont val="Arial"/>
        <family val="2"/>
      </rPr>
      <t xml:space="preserve"> La DEP y el FONER se fusionaron en mayo de 2007 creándose la Dirección General de Electrificación Rural - DGER</t>
    </r>
  </si>
  <si>
    <t>Privada</t>
  </si>
  <si>
    <t>Total Inversiones*</t>
  </si>
  <si>
    <t>* Se incluyen las inversiones estatales, privadas y en electrificación rural</t>
  </si>
  <si>
    <t>Empresa</t>
  </si>
  <si>
    <t>Estatal</t>
  </si>
  <si>
    <t>Rural (*)</t>
  </si>
  <si>
    <t>BIOENERGÍA DEL CHIRA S.A.</t>
  </si>
  <si>
    <t>CENTRAL HIDROELECTRICA LANGUI S.A.</t>
  </si>
  <si>
    <t>CENTRAL HIDROELECTRICA SAN HILARION S.A.</t>
  </si>
  <si>
    <t>ECO ENERGY SAC</t>
  </si>
  <si>
    <t>ELECTRICA RIO DOBLE SA</t>
  </si>
  <si>
    <t>ELECTRICA SANTA ROSA S.A.C.</t>
  </si>
  <si>
    <t>HIDROCAÑETE SA</t>
  </si>
  <si>
    <t>HOT ROCK PERU SA</t>
  </si>
  <si>
    <t>T-SOLAR SAC</t>
  </si>
  <si>
    <t>EMPRESA DE DISTRIBUCION ELECTRICA DE CAÑETE  S.A.</t>
  </si>
  <si>
    <t>Eólico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</si>
  <si>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</si>
  <si>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</si>
  <si>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</si>
  <si>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</si>
  <si>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</si>
  <si>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</si>
  <si>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</si>
  <si>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</si>
  <si>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</si>
  <si>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</si>
  <si>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</si>
  <si>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</si>
  <si>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</si>
  <si>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</si>
  <si>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CHINANGO S.A.C.</t>
  </si>
  <si>
    <t>CERRO DEL AGUILA S.A.</t>
  </si>
  <si>
    <t>ABENGOA S.A.</t>
  </si>
  <si>
    <t>DISTRIBUIDORAS</t>
  </si>
  <si>
    <t>TRANSMISORAS</t>
  </si>
  <si>
    <t>PRIVADA</t>
  </si>
  <si>
    <t>GENERADORAS</t>
  </si>
  <si>
    <t>10.7.  EVOLUCIÓN DE FACTURACIÓN DE ENERGÍA ELÉCTRICA  A CLIENTE FINAL (miles US$)</t>
  </si>
  <si>
    <t>10.10  EVOLUCIÓN DE FACTURACIÓN DE ENERGÍA ELÉCTRICA POR SECTOR ECONÓMICO (miles US$)</t>
  </si>
  <si>
    <t>10.5  EVOLUCIÓN DE LA LONGITUD TOTAL DE LÍNEAS DE TRANSMISIÓN A NIVEL NACIONAL (km)</t>
  </si>
  <si>
    <t>Longitud de Líneas de Transmisión</t>
  </si>
  <si>
    <t>Nivel de Tensión ( kV )</t>
  </si>
  <si>
    <t>30 - 50</t>
  </si>
  <si>
    <t>60 - 69</t>
  </si>
  <si>
    <t>2011*</t>
  </si>
  <si>
    <t>(*) Entra en operación la primera línea en 500 kV  Chilca-La Planicie-Zapallal perteneciente a la empresa ISA Perú S.A.</t>
  </si>
  <si>
    <t xml:space="preserve"> </t>
  </si>
  <si>
    <t>Total Empresas</t>
  </si>
  <si>
    <t>Empresas Estatales</t>
  </si>
  <si>
    <t>Empresas Privadas</t>
  </si>
  <si>
    <t>Estatal (*)</t>
  </si>
  <si>
    <t>2001*</t>
  </si>
  <si>
    <t>(**) Información Preliminar</t>
  </si>
  <si>
    <t>Total Estatales</t>
  </si>
  <si>
    <t>Transmisión</t>
  </si>
  <si>
    <t>Distribución</t>
  </si>
  <si>
    <t>(*) No incluye inversiones ejecutadas por la Dirección General de Electrificación Rural - DGER</t>
  </si>
  <si>
    <t>Total Privadas</t>
  </si>
  <si>
    <t>DGER</t>
  </si>
  <si>
    <t>( * ) En el año 2001 se interconectan los sistemas SICN y SIS para conformar el Sistema Eléctrico Interconectado Nacional - SEIN</t>
  </si>
  <si>
    <t>Mercado Electrico</t>
  </si>
  <si>
    <t>---</t>
  </si>
  <si>
    <t>NOTA: El cuadro presenta la longitud lineal del recorrido, no considera el número de ternas.</t>
  </si>
  <si>
    <t>10.1.     EVOLUCIÓN DE LA POTENCIA INSTALADA (MW)</t>
  </si>
  <si>
    <t>ENERGÍA EÓLICA SA</t>
  </si>
  <si>
    <t xml:space="preserve">MOQUEGUA FV S.A.C. </t>
  </si>
  <si>
    <t>MAJA ENERGIA SAC</t>
  </si>
  <si>
    <t>SOLARPACK S.A.</t>
  </si>
  <si>
    <t xml:space="preserve">PETRAMAS S.A. </t>
  </si>
  <si>
    <t>PROYECTO ESPECIAL CHAVIMOCHIC</t>
  </si>
  <si>
    <t>Pública</t>
  </si>
  <si>
    <t>Inversiones ejecutadas por la Direccion General de Electrificación Rural</t>
  </si>
  <si>
    <t>Alumbrado Publico</t>
  </si>
  <si>
    <t>14</t>
  </si>
  <si>
    <t>10.17.1   Resumen de evolución de inversiones ejecutadas por sector y actividad (millones US $)</t>
  </si>
  <si>
    <t>10.17.5.1    Total por empresas privadas, estatales y por la Dirección General de Electrificación Rural (millones US$)</t>
  </si>
  <si>
    <t>10.17.5.2    Desagregado por empresas privadas, estatales y por la Dirección General de Electrificación Rural (millones US$)</t>
  </si>
  <si>
    <t>15</t>
  </si>
  <si>
    <t>EMPRESA DE GENERACIÓN ELÉCTRICA SANTA ANA S.R.L. *</t>
  </si>
  <si>
    <t>EMPRESA DE GENERACIÓN HIDRÁULICA SELVA S.A. *</t>
  </si>
  <si>
    <t>GENRENT DEL PERÚ S.A.C. *</t>
  </si>
  <si>
    <t>HUAURA POWER GROUP S.A. *</t>
  </si>
  <si>
    <t>INFRAESTRUCTURAS Y ENERGÍAS DEL PERÚ S.A.C. *</t>
  </si>
  <si>
    <t>SAMAY I S.A. *</t>
  </si>
  <si>
    <t>ATN 3 S.A. *</t>
  </si>
  <si>
    <t>CONSORCIO RED ELÉCTRICA INTERNACIONAL S.A. - AC CAPITALES SAFI *</t>
  </si>
  <si>
    <t>(60 - 16)</t>
  </si>
  <si>
    <t>16</t>
  </si>
  <si>
    <t>AGROINDUSTRIAL PARAMONGA S.A.</t>
  </si>
  <si>
    <t>AGUAS Y ENERGIA PERU S.A.</t>
  </si>
  <si>
    <t>COMPAÑÍA ELECTRICA EL PLATANAL S.A. (CELEPSA)</t>
  </si>
  <si>
    <t>CORPORACION MINERA DEL PERU S.A. *</t>
  </si>
  <si>
    <t>EMPRESA DE GENERACIÓN ELÉCTRICA CANCHAYLLO S.A.C. *</t>
  </si>
  <si>
    <t>EMPRESA DE GENERACION ELECTRICA DE JUNÍN S.A.C.</t>
  </si>
  <si>
    <t>EMPRESA DE GENERACIÓN HIDROELÉCTRICA DEL CUSCO S.A. *</t>
  </si>
  <si>
    <t xml:space="preserve">EMPRESA DE GENERACION HUALLAGA S.A. </t>
  </si>
  <si>
    <t>EMPRESA ELÉCTRICA AGUA AZUL S.A.</t>
  </si>
  <si>
    <t xml:space="preserve">LA VIRGEN S.A.C. </t>
  </si>
  <si>
    <t>PARQUE EÓLICO MARCONA S.A.C. (COBRA PERU)</t>
  </si>
  <si>
    <t>PARQUE EÓLICO TRES HERMANAS S.A.C.</t>
  </si>
  <si>
    <t>PERUANA DE ENERGIA S.A. (PERENE)</t>
  </si>
  <si>
    <t>SHOUGANG GENERACION ELECTRICA S.A.A. (SHOUGESA)</t>
  </si>
  <si>
    <t>SINDICATO ENERGETICO S.A. (SINERSA)</t>
  </si>
  <si>
    <t>STATKRAFT PERU S.A.</t>
  </si>
  <si>
    <t>SOCIEDAD MINERA CERRO VERDE S.A.A.</t>
  </si>
  <si>
    <t>EMPRESA ELECTRICA NUEVA ESPERANZA SRL</t>
  </si>
  <si>
    <t>FENIX POWER PERU S.A.</t>
  </si>
  <si>
    <t>GENERACIÓN ANDINA S.A.</t>
  </si>
  <si>
    <t>GENERACION ELECTRICA DE ATOCONGO S.A. *</t>
  </si>
  <si>
    <t>GENERADORA DE ENERGIA DEL PERU S.A.*</t>
  </si>
  <si>
    <t>GTS MAJES S.A.C.</t>
  </si>
  <si>
    <t>GTS REPARTICIÓN S.A.C.</t>
  </si>
  <si>
    <t>HIDROELECTRICA SANTA CRUZ S.A.C.</t>
  </si>
  <si>
    <t>KALLPA GENERACION S.A.</t>
  </si>
  <si>
    <t xml:space="preserve">ANDEAN POWER S.A. </t>
  </si>
  <si>
    <t>CONSORCIO ENERGÍA LIMPIA S.A.</t>
  </si>
  <si>
    <t>EMPRESA DE GENERACION MACUSANI S.A.</t>
  </si>
  <si>
    <t>EMPRESA ELÉCTRICA AGUA AZÚL S.A.</t>
  </si>
  <si>
    <t xml:space="preserve">HIDROELÉCTRICA KARPA S.A.C. </t>
  </si>
  <si>
    <t>COMPAÑÍA MINERA PODEROSA S.A. *</t>
  </si>
  <si>
    <t>EGEJUNÍN TULUMAYO IV S.A.C. *</t>
  </si>
  <si>
    <t>EGEJUNÍN TULUMAYO V S.A.C. *</t>
  </si>
  <si>
    <t>EMPRESA DE GENERACIÓN ELÉCTRICA COLCA S.A.*</t>
  </si>
  <si>
    <t>EMPRESA DE GENERACION ELECTRICA RÍO BAÑOS S.A.C.*</t>
  </si>
  <si>
    <t>EMPRESA DE GENERACIÓN ELÉCTRICA SANTA LORENZA S.A.C *</t>
  </si>
  <si>
    <t>EMPRESA ENERGÉTICA MONZON SAC</t>
  </si>
  <si>
    <t>EMPRESA HYDRIKA 1 S.A.C. *</t>
  </si>
  <si>
    <t>EMPRESA HYDRIKA 3 S.A.C. *</t>
  </si>
  <si>
    <t>ENEL GREEN POWER S.A.C</t>
  </si>
  <si>
    <t xml:space="preserve">GR PAINO S.A.C. </t>
  </si>
  <si>
    <t xml:space="preserve">GR TARUCA S.A.C. </t>
  </si>
  <si>
    <t>HIDROELÉCTRICA LAGUNA AZUL S.R.L.</t>
  </si>
  <si>
    <r>
      <t>EMPRESA DE GENERACIÓN ELÉCTRICA CAHUA S.A.</t>
    </r>
    <r>
      <rPr>
        <vertAlign val="superscript"/>
        <sz val="10"/>
        <rFont val="Tahoma"/>
        <family val="2"/>
      </rPr>
      <t xml:space="preserve"> </t>
    </r>
  </si>
  <si>
    <t xml:space="preserve">GLOBELEQ PERU S.A. </t>
  </si>
  <si>
    <t>(*) Información estimada de empresas con proyectos en ejecución.</t>
  </si>
  <si>
    <t>CARAVELI COTAROUSE TRANSMISORA DE ENERGIA S.A.C.</t>
  </si>
  <si>
    <t xml:space="preserve">CONCESIONARIA LÍNEA DE TRANSMISIÓN CCNCM S.A.C. * </t>
  </si>
  <si>
    <t>CONSORCIO ENERGETICO DE HUANCAVELICA S.A. (CONENHUA)</t>
  </si>
  <si>
    <t>TRANSMISORA ELÉCTRICA DEL SUR 2 S.A. *</t>
  </si>
  <si>
    <t>CONSORCIO TRANSMANTARO S.A. (CTM)</t>
  </si>
  <si>
    <t>INTERCONEXION ELECTRICA ISA PERU S.A.</t>
  </si>
  <si>
    <t>LÍNEAS DE TRANSMISIÓN PERUANAS S.A.C. *</t>
  </si>
  <si>
    <t>MINERA AURIFERA RETAMAS S.A. (MARSA)</t>
  </si>
  <si>
    <t>RED DE ENERGIA DEL PERU S.A. (REP)</t>
  </si>
  <si>
    <t>RED ELECTRICA DEL SUR S.A. (REDESUR)</t>
  </si>
  <si>
    <t>TRANSMISORA ELÉCTRICA DEL SUR S.A.</t>
  </si>
  <si>
    <t xml:space="preserve">ELECTRODUNAS S.A.A. </t>
  </si>
  <si>
    <t>Leyenda:
MTA: Muy Alta Tensión
AT: Alta Tensión
MT: Media Tensión
BT: Baja Tensión</t>
  </si>
  <si>
    <t>17</t>
  </si>
  <si>
    <t>AC ENERGÍA S.A. (*)</t>
  </si>
  <si>
    <t>ANDES GENERATING CORPORATION S.A.C. (*)</t>
  </si>
  <si>
    <t>COMPAÑÍA VERACRUZ S.A.C. (*)</t>
  </si>
  <si>
    <t>ELECTRO ZAÑA S.A.C. (*)</t>
  </si>
  <si>
    <t>ENEL GENERACIÓN PERÚ S.A.A.</t>
  </si>
  <si>
    <t>ENEL GENERACIÓN PIURA S.A.</t>
  </si>
  <si>
    <t>ENGIE ENERGIA PERU S.A.</t>
  </si>
  <si>
    <t>HYDRO GLOBAL PERÚ S.A.C. (*)</t>
  </si>
  <si>
    <t>AGROINDUSTRIAS SAN JACINTO (*)</t>
  </si>
  <si>
    <t>TRANSMISORA ELÉCTRICA DEL SUR 3 S.A. *</t>
  </si>
  <si>
    <t>Inversión Total</t>
  </si>
  <si>
    <t>18</t>
  </si>
  <si>
    <t>Orazul Energy Perú S.A.</t>
  </si>
  <si>
    <t>Desde el año 2001 se interconectan los sistemas SICN y SIS para conformar el Sistema Eléctrico Interconectado Nacional - SEIN</t>
  </si>
  <si>
    <t>PERUANA DE INVERSIONES EN ENERGÍA RENOVABLES S.A.</t>
  </si>
  <si>
    <t>19</t>
  </si>
  <si>
    <t>20</t>
  </si>
  <si>
    <t>COBRA INSTALACIONES Y SERVICIOS S.A.</t>
  </si>
  <si>
    <t>TERNA PERU S.A.C.</t>
  </si>
  <si>
    <t>EMPRESA DE DISTRIBUCION Y COMERCIALIZACION DE ELECTRICIDAD SAN RAMON S.A. ·</t>
  </si>
  <si>
    <t>EMP.DE ADMIN. DE INFRAEST. ELECTRICA S.A </t>
  </si>
  <si>
    <t>Celepsa Renovables</t>
  </si>
  <si>
    <t>Compañía Eléctrica El Platanal S.A. (CELEPSA)</t>
  </si>
  <si>
    <t>Engie Energía Perú S.A.</t>
  </si>
  <si>
    <t>Fénix Power Perú S.A.</t>
  </si>
  <si>
    <t>Inland Energy S.A.C.</t>
  </si>
  <si>
    <t>Peruana de Inversiones en Energía Renovables S.A.</t>
  </si>
  <si>
    <t>Shougang Generación Eléctrica S.A.A.</t>
  </si>
  <si>
    <t>CELEPSA RENOVABLES S.R.L. (EX HIDROELÉCTRICA MARAÑÓN)</t>
  </si>
  <si>
    <t>INLAND ENERGY S.A.C.</t>
  </si>
  <si>
    <t>ORAZUL ENERGY PERÚ S.A.</t>
  </si>
  <si>
    <t>CONSECIONARA LINEA DE TRANSMISIÓN LA NIÑA S.A.C.*</t>
  </si>
  <si>
    <t>(10 - 20)</t>
  </si>
  <si>
    <t>Empresa de Generacion Huanza S. A.</t>
  </si>
  <si>
    <t>Termoselva S.R.L.</t>
  </si>
  <si>
    <t>AGROPECUARIA AURORA S.A.C.</t>
  </si>
  <si>
    <t>EMPRESA DE TRANSMISIÓN AYMARAES S.A.C.</t>
  </si>
  <si>
    <t>ACCIONA.ORG PERÚ</t>
  </si>
  <si>
    <r>
      <t xml:space="preserve">10.17.4  Inversiones ejecutadas por la Dirección General de Electrificación Rural </t>
    </r>
    <r>
      <rPr>
        <b/>
        <vertAlign val="superscript"/>
        <sz val="14"/>
        <rFont val="Arial"/>
        <family val="2"/>
      </rPr>
      <t>(*)</t>
    </r>
    <r>
      <rPr>
        <b/>
        <sz val="14"/>
        <rFont val="Arial"/>
        <family val="2"/>
      </rPr>
      <t xml:space="preserve"> : Período 1995 - 2022 (miles de US$)</t>
    </r>
  </si>
  <si>
    <r>
      <t xml:space="preserve">10.17.   EVOLUCIÓN DE INVERSIONES </t>
    </r>
    <r>
      <rPr>
        <b/>
        <vertAlign val="superscript"/>
        <sz val="14"/>
        <rFont val="Arial"/>
        <family val="2"/>
      </rPr>
      <t>1</t>
    </r>
  </si>
  <si>
    <r>
      <t>Electrificación Rural</t>
    </r>
    <r>
      <rPr>
        <b/>
        <vertAlign val="superscript"/>
        <sz val="10"/>
        <color theme="0"/>
        <rFont val="Arial"/>
        <family val="2"/>
      </rPr>
      <t>2</t>
    </r>
  </si>
  <si>
    <t>2 Corresponde a inversiones ejecutadas por la Dirección General de Electrificación Rural.</t>
  </si>
  <si>
    <t>1 Información preliminar a diciembre 2022,</t>
  </si>
  <si>
    <t>TRANSMISORA ELÉCTRICA DEL SUR 4 S.A. *</t>
  </si>
  <si>
    <r>
      <t xml:space="preserve">ENEL DISTRIBUCIÓN PERÚ S.A.A. </t>
    </r>
    <r>
      <rPr>
        <vertAlign val="superscript"/>
        <sz val="10"/>
        <rFont val="Tahoma"/>
        <family val="2"/>
      </rPr>
      <t xml:space="preserve">(*) </t>
    </r>
  </si>
  <si>
    <t>Incremento 23/22</t>
  </si>
  <si>
    <t>Variación media 23/18</t>
  </si>
  <si>
    <t>Incremento 23/13</t>
  </si>
  <si>
    <t>Variación media 23/13</t>
  </si>
  <si>
    <t xml:space="preserve">(20 - 23) </t>
  </si>
  <si>
    <r>
      <t>10.17.2  Inversiones ejecutadas por empresas privadas</t>
    </r>
    <r>
      <rPr>
        <b/>
        <vertAlign val="superscript"/>
        <sz val="14"/>
        <color theme="1"/>
        <rFont val="Arial"/>
        <family val="2"/>
      </rPr>
      <t>1</t>
    </r>
    <r>
      <rPr>
        <b/>
        <sz val="14"/>
        <color theme="1"/>
        <rFont val="Arial"/>
        <family val="2"/>
      </rPr>
      <t xml:space="preserve"> 1995 - 2023 (miles de US$)</t>
    </r>
  </si>
  <si>
    <t>1 Información preliminar a diciembre 2023,</t>
  </si>
  <si>
    <r>
      <t>1</t>
    </r>
    <r>
      <rPr>
        <sz val="8"/>
        <rFont val="Arial"/>
        <family val="2"/>
      </rPr>
      <t xml:space="preserve"> Información preliminar a diciembre 2023.</t>
    </r>
  </si>
  <si>
    <t>CENTRAL HIDROELÉCTRICA HUALLAGA HYDRO S.A.**</t>
  </si>
  <si>
    <t>ELECTRO ARAZA S.A.C. **</t>
  </si>
  <si>
    <t>ENERGÍA RENOVABLE DEL SUR S.A. **</t>
  </si>
  <si>
    <t>ENERGÍA RENOVABLE LA JOYA S.A. **</t>
  </si>
  <si>
    <t>NUEVA ESPERANZA HYDRO S.A. **</t>
  </si>
  <si>
    <t>ATLÁNTICA TRANSMISIÓN SUR S.A. ***</t>
  </si>
  <si>
    <t>(**) Empresa reporta información a partir de 2023.</t>
  </si>
  <si>
    <t>(***) Cambio de razón social.</t>
  </si>
  <si>
    <t>ATN S.A. ***</t>
  </si>
  <si>
    <t>EMPRESA GENERADORA, DISTRIBUIDORA Y COMERCIALIZADORA DE SERVICIO PUBLICO DE ELECTRICIDAD PANGOA S.A.**</t>
  </si>
  <si>
    <t>ENTELIN PERU S.A.C. ***</t>
  </si>
  <si>
    <t>1 Información preliminar a diciembre 2023.</t>
  </si>
  <si>
    <r>
      <t>10.17.5  Total de Inversiones ejecutadas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1995 - 2023 (millones US$)</t>
    </r>
  </si>
  <si>
    <r>
      <t>10.17.3  Inversiones ejecutadas por empresas estatales</t>
    </r>
    <r>
      <rPr>
        <b/>
        <vertAlign val="superscript"/>
        <sz val="14"/>
        <color theme="1"/>
        <rFont val="Arial"/>
        <family val="2"/>
      </rPr>
      <t>1</t>
    </r>
    <r>
      <rPr>
        <b/>
        <sz val="14"/>
        <color theme="1"/>
        <rFont val="Arial"/>
        <family val="2"/>
      </rPr>
      <t xml:space="preserve"> : Período 1995 - 2023 (miles de US$)</t>
    </r>
  </si>
  <si>
    <t>10.6.    EVOLUCIÓN DE  VENTAS  DE  ENERGÍA  ELÉCTRICA  A CLIENTE FINAL (GWh)</t>
  </si>
  <si>
    <t>10.9.    EVOLUCIÓN DE VENTAS DE ENERGÍA ELÉCTRICA POR SECTOR ECONÓMICO (GWh)</t>
  </si>
  <si>
    <t>10.8  PRECIO MEDIO DE ENERGÍA ELÉCTRICA  POR TIPO DE EMPRESA Y MERCADO (cent. US$ / kWh)</t>
  </si>
  <si>
    <t>10.11  PRECIO MEDIO DE ENERGÍA ELÉCTRICA POR SECTOR ECONÓMICO (cent. US$/kWh) *</t>
  </si>
  <si>
    <r>
      <rPr>
        <b/>
        <sz val="10"/>
        <color theme="0"/>
        <rFont val="Calibri"/>
        <family val="2"/>
      </rPr>
      <t>Δ</t>
    </r>
    <r>
      <rPr>
        <b/>
        <sz val="10"/>
        <color theme="0"/>
        <rFont val="Century Gothic"/>
        <family val="2"/>
      </rPr>
      <t xml:space="preserve"> Anual</t>
    </r>
  </si>
  <si>
    <t>Consumo propio de cogeneradores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</si>
</sst>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 * #,##0.00_ ;_ * \-#,##0.00_ ;_ * &quot;-&quot;??_ ;_ @_ "/>
    <numFmt numFmtId="165" formatCode="0.0%"/>
    <numFmt numFmtId="166" formatCode="0.000%"/>
    <numFmt numFmtId="167" formatCode="#\ ##0.00"/>
    <numFmt numFmtId="168" formatCode="0.0"/>
    <numFmt numFmtId="169" formatCode="#,##0.0"/>
    <numFmt numFmtId="170" formatCode="0.000"/>
    <numFmt numFmtId="173" formatCode="_-[$€]* #,##0.00_-;\-[$€]* #,##0.00_-;_-[$€]* &quot;-&quot;??_-;_-@_-"/>
    <numFmt numFmtId="174" formatCode="#,##0.000"/>
    <numFmt numFmtId="175" formatCode="#\ ##0"/>
    <numFmt numFmtId="176" formatCode="#\ ##0.0"/>
    <numFmt numFmtId="177" formatCode="_ * #,##0.0_ ;_ * \-#,##0.0_ ;_ * &quot;-&quot;??_ ;_ @_ "/>
    <numFmt numFmtId="178" formatCode="_(* #,##0.000000_);_(* \(#,##0.000000\);_(* &quot;-&quot;??_);_(@_)"/>
    <numFmt numFmtId="179" formatCode="_-* #,##0\ _€_-;\-* #,##0\ _€_-;_-* &quot;-&quot;\ _€_-;_-@_-"/>
    <numFmt numFmtId="181" formatCode="_-* #,##0.0\ _€_-;\-* #,##0.0\ _€_-;_-* &quot;-&quot;\ _€_-;_-@_-"/>
    <numFmt numFmtId="182" formatCode="_-* #,##0.00000_-;\-* #,##0.00000_-;_-* &quot;-&quot;??_-;_-@_-"/>
    <numFmt numFmtId="183" formatCode="_-* #,##0.000000000000000_-;\-* #,##0.000000000000000_-;_-* &quot;-&quot;??_-;_-@_-"/>
  </numFmts>
  <fonts count="8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indexed="33"/>
      <name val="Arial"/>
      <family val="2"/>
    </font>
    <font>
      <b/>
      <sz val="10"/>
      <color indexed="33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  <font>
      <vertAlign val="superscript"/>
      <sz val="10"/>
      <name val="Tahoma"/>
      <family val="2"/>
    </font>
    <font>
      <b/>
      <sz val="10"/>
      <name val="Tahoma"/>
      <family val="2"/>
    </font>
    <font>
      <vertAlign val="superscript"/>
      <sz val="10"/>
      <name val="Arial"/>
      <family val="2"/>
    </font>
    <font>
      <b/>
      <i/>
      <sz val="12"/>
      <name val="Tahoma"/>
      <family val="2"/>
    </font>
    <font>
      <b/>
      <vertAlign val="superscript"/>
      <sz val="14"/>
      <name val="Arial"/>
      <family val="2"/>
    </font>
    <font>
      <b/>
      <sz val="12"/>
      <name val="Tahoma"/>
      <family val="2"/>
    </font>
    <font>
      <vertAlign val="superscript"/>
      <sz val="9"/>
      <name val="Arial"/>
      <family val="2"/>
    </font>
    <font>
      <sz val="11"/>
      <color indexed="8"/>
      <name val="Calibri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Tahoma"/>
      <family val="2"/>
    </font>
    <font>
      <sz val="10"/>
      <color rgb="FFFF0000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9F9F9F"/>
      <name val="Arial"/>
      <family val="2"/>
    </font>
    <font>
      <b/>
      <sz val="10"/>
      <color rgb="FF9F9F9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Tahoma"/>
      <family val="2"/>
    </font>
    <font>
      <sz val="10"/>
      <color theme="0"/>
      <name val="Arial"/>
      <family val="2"/>
    </font>
    <font>
      <b/>
      <sz val="11"/>
      <color rgb="FF9F9F9F"/>
      <name val="Arial"/>
      <family val="2"/>
    </font>
    <font>
      <b/>
      <sz val="12"/>
      <color rgb="FF9F9F9F"/>
      <name val="Arial"/>
      <family val="2"/>
    </font>
    <font>
      <b/>
      <sz val="12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12"/>
      <color theme="0"/>
      <name val="Tahoma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sz val="10"/>
      <color theme="0"/>
      <name val="Tahoma"/>
      <family val="2"/>
    </font>
    <font>
      <b/>
      <vertAlign val="superscript"/>
      <sz val="14"/>
      <color theme="1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sz val="10"/>
      <color rgb="FF9F9F9F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b/>
      <sz val="8"/>
      <color theme="0"/>
      <name val="Century Gothic"/>
      <family val="2"/>
    </font>
    <font>
      <b/>
      <sz val="9"/>
      <color rgb="FF9F9F9F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i/>
      <sz val="8"/>
      <name val="Century Gothic"/>
      <family val="2"/>
    </font>
    <font>
      <b/>
      <sz val="11"/>
      <name val="Century Gothic"/>
      <family val="2"/>
    </font>
    <font>
      <sz val="10"/>
      <color theme="0"/>
      <name val="Century Gothic"/>
      <family val="2"/>
    </font>
    <font>
      <sz val="8"/>
      <name val="Century Gothic"/>
      <family val="2"/>
    </font>
    <font>
      <b/>
      <sz val="16"/>
      <name val="Century Gothic"/>
      <family val="2"/>
    </font>
    <font>
      <b/>
      <sz val="10"/>
      <color rgb="FF9F9F9F"/>
      <name val="Century Gothic"/>
      <family val="2"/>
    </font>
    <font>
      <b/>
      <sz val="14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color theme="0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indexed="33"/>
      <name val="Century Gothic"/>
      <family val="2"/>
    </font>
    <font>
      <b/>
      <sz val="10"/>
      <color indexed="33"/>
      <name val="Century Gothic"/>
      <family val="2"/>
    </font>
    <font>
      <b/>
      <sz val="11"/>
      <color theme="0" tint="-0.249977111117893"/>
      <name val="Century Gothic"/>
      <family val="2"/>
    </font>
    <font>
      <b/>
      <sz val="10"/>
      <color indexed="9"/>
      <name val="Century Gothic"/>
      <family val="2"/>
    </font>
    <font>
      <i/>
      <sz val="9"/>
      <name val="Century Gothic"/>
      <family val="2"/>
    </font>
    <font>
      <b/>
      <sz val="10"/>
      <color theme="0"/>
      <name val="Calibri"/>
      <family val="2"/>
    </font>
    <font>
      <sz val="9"/>
      <color rgb="FF9F9F9F"/>
      <name val="Century Gothic"/>
      <family val="2"/>
    </font>
    <font>
      <vertAlign val="superscript"/>
      <sz val="1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7"/>
      </patternFill>
    </fill>
    <fill>
      <patternFill patternType="solid">
        <fgColor indexed="47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theme="0" tint="-0.14999847407452621"/>
        <bgColor indexed="47"/>
      </patternFill>
    </fill>
    <fill>
      <patternFill patternType="solid">
        <fgColor rgb="FF008080"/>
        <bgColor indexed="64"/>
      </patternFill>
    </fill>
    <fill>
      <patternFill patternType="solid">
        <fgColor rgb="FF585858"/>
        <bgColor indexed="64"/>
      </patternFill>
    </fill>
    <fill>
      <patternFill patternType="solid">
        <fgColor rgb="FF4B4B4B"/>
        <bgColor indexed="64"/>
      </patternFill>
    </fill>
  </fills>
  <borders count="16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thin">
        <color indexed="64"/>
      </left>
      <right/>
      <top style="medium">
        <color indexed="64"/>
      </top>
      <bottom style="thin">
        <color indexed="55"/>
      </bottom>
      <diagonal/>
    </border>
    <border>
      <left/>
      <right style="thin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5" fillId="0" borderId="0"/>
    <xf numFmtId="0" fontId="5" fillId="0" borderId="0"/>
    <xf numFmtId="173" fontId="1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1" fillId="0" borderId="0"/>
    <xf numFmtId="0" fontId="5" fillId="0" borderId="0"/>
    <xf numFmtId="0" fontId="5" fillId="0" borderId="0"/>
    <xf numFmtId="0" fontId="35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8">
    <xf numFmtId="0" fontId="0" fillId="0" borderId="0" xfId="0"/>
    <xf numFmtId="0" fontId="0" fillId="0" borderId="0" xfId="0" applyAlignment="1">
      <alignment horizontal="right"/>
    </xf>
    <xf numFmtId="0" fontId="5" fillId="8" borderId="0" xfId="11" applyFill="1"/>
    <xf numFmtId="0" fontId="5" fillId="0" borderId="0" xfId="11"/>
    <xf numFmtId="0" fontId="20" fillId="0" borderId="0" xfId="11" applyFont="1"/>
    <xf numFmtId="0" fontId="21" fillId="8" borderId="10" xfId="11" applyFont="1" applyFill="1" applyBorder="1" applyAlignment="1">
      <alignment horizontal="center"/>
    </xf>
    <xf numFmtId="0" fontId="21" fillId="8" borderId="11" xfId="11" applyFont="1" applyFill="1" applyBorder="1"/>
    <xf numFmtId="3" fontId="21" fillId="8" borderId="11" xfId="11" applyNumberFormat="1" applyFont="1" applyFill="1" applyBorder="1"/>
    <xf numFmtId="3" fontId="21" fillId="8" borderId="12" xfId="11" applyNumberFormat="1" applyFont="1" applyFill="1" applyBorder="1"/>
    <xf numFmtId="0" fontId="21" fillId="8" borderId="13" xfId="11" applyFont="1" applyFill="1" applyBorder="1" applyAlignment="1">
      <alignment horizontal="center"/>
    </xf>
    <xf numFmtId="0" fontId="21" fillId="8" borderId="14" xfId="11" applyFont="1" applyFill="1" applyBorder="1"/>
    <xf numFmtId="3" fontId="23" fillId="8" borderId="14" xfId="11" applyNumberFormat="1" applyFont="1" applyFill="1" applyBorder="1"/>
    <xf numFmtId="3" fontId="21" fillId="8" borderId="14" xfId="11" applyNumberFormat="1" applyFont="1" applyFill="1" applyBorder="1"/>
    <xf numFmtId="3" fontId="21" fillId="8" borderId="15" xfId="11" applyNumberFormat="1" applyFont="1" applyFill="1" applyBorder="1"/>
    <xf numFmtId="3" fontId="21" fillId="8" borderId="17" xfId="11" applyNumberFormat="1" applyFont="1" applyFill="1" applyBorder="1"/>
    <xf numFmtId="3" fontId="5" fillId="0" borderId="0" xfId="11" applyNumberFormat="1"/>
    <xf numFmtId="3" fontId="23" fillId="8" borderId="11" xfId="11" applyNumberFormat="1" applyFont="1" applyFill="1" applyBorder="1"/>
    <xf numFmtId="0" fontId="21" fillId="8" borderId="21" xfId="11" applyFont="1" applyFill="1" applyBorder="1"/>
    <xf numFmtId="3" fontId="21" fillId="8" borderId="21" xfId="11" applyNumberFormat="1" applyFont="1" applyFill="1" applyBorder="1"/>
    <xf numFmtId="3" fontId="25" fillId="8" borderId="19" xfId="11" applyNumberFormat="1" applyFont="1" applyFill="1" applyBorder="1"/>
    <xf numFmtId="0" fontId="25" fillId="8" borderId="19" xfId="11" applyFont="1" applyFill="1" applyBorder="1"/>
    <xf numFmtId="3" fontId="25" fillId="8" borderId="20" xfId="11" applyNumberFormat="1" applyFont="1" applyFill="1" applyBorder="1"/>
    <xf numFmtId="3" fontId="25" fillId="8" borderId="22" xfId="11" applyNumberFormat="1" applyFont="1" applyFill="1" applyBorder="1"/>
    <xf numFmtId="0" fontId="21" fillId="8" borderId="14" xfId="11" applyFont="1" applyFill="1" applyBorder="1" applyAlignment="1">
      <alignment horizontal="left" vertical="center" wrapText="1"/>
    </xf>
    <xf numFmtId="3" fontId="5" fillId="8" borderId="0" xfId="11" applyNumberFormat="1" applyFill="1"/>
    <xf numFmtId="0" fontId="21" fillId="8" borderId="13" xfId="11" applyFont="1" applyFill="1" applyBorder="1" applyAlignment="1">
      <alignment horizontal="center" vertical="center" wrapText="1"/>
    </xf>
    <xf numFmtId="0" fontId="26" fillId="0" borderId="0" xfId="11" applyFont="1"/>
    <xf numFmtId="9" fontId="4" fillId="0" borderId="0" xfId="22" applyFont="1"/>
    <xf numFmtId="0" fontId="21" fillId="8" borderId="27" xfId="11" applyFont="1" applyFill="1" applyBorder="1" applyAlignment="1">
      <alignment horizontal="center"/>
    </xf>
    <xf numFmtId="0" fontId="21" fillId="8" borderId="28" xfId="11" applyFont="1" applyFill="1" applyBorder="1"/>
    <xf numFmtId="3" fontId="21" fillId="8" borderId="28" xfId="11" applyNumberFormat="1" applyFont="1" applyFill="1" applyBorder="1"/>
    <xf numFmtId="3" fontId="21" fillId="8" borderId="29" xfId="11" applyNumberFormat="1" applyFont="1" applyFill="1" applyBorder="1"/>
    <xf numFmtId="3" fontId="21" fillId="8" borderId="30" xfId="11" applyNumberFormat="1" applyFont="1" applyFill="1" applyBorder="1"/>
    <xf numFmtId="0" fontId="21" fillId="8" borderId="31" xfId="11" applyFont="1" applyFill="1" applyBorder="1" applyAlignment="1">
      <alignment horizontal="center"/>
    </xf>
    <xf numFmtId="0" fontId="21" fillId="8" borderId="32" xfId="11" applyFont="1" applyFill="1" applyBorder="1"/>
    <xf numFmtId="3" fontId="21" fillId="8" borderId="32" xfId="11" applyNumberFormat="1" applyFont="1" applyFill="1" applyBorder="1"/>
    <xf numFmtId="0" fontId="21" fillId="8" borderId="33" xfId="11" applyFont="1" applyFill="1" applyBorder="1"/>
    <xf numFmtId="0" fontId="21" fillId="8" borderId="34" xfId="11" applyFont="1" applyFill="1" applyBorder="1"/>
    <xf numFmtId="3" fontId="21" fillId="8" borderId="33" xfId="11" applyNumberFormat="1" applyFont="1" applyFill="1" applyBorder="1"/>
    <xf numFmtId="3" fontId="21" fillId="8" borderId="34" xfId="11" applyNumberFormat="1" applyFont="1" applyFill="1" applyBorder="1"/>
    <xf numFmtId="0" fontId="21" fillId="8" borderId="35" xfId="11" applyFont="1" applyFill="1" applyBorder="1" applyAlignment="1">
      <alignment horizontal="center"/>
    </xf>
    <xf numFmtId="0" fontId="21" fillId="8" borderId="36" xfId="11" applyFont="1" applyFill="1" applyBorder="1"/>
    <xf numFmtId="3" fontId="21" fillId="8" borderId="36" xfId="11" applyNumberFormat="1" applyFont="1" applyFill="1" applyBorder="1"/>
    <xf numFmtId="3" fontId="21" fillId="8" borderId="37" xfId="11" applyNumberFormat="1" applyFont="1" applyFill="1" applyBorder="1"/>
    <xf numFmtId="3" fontId="21" fillId="8" borderId="38" xfId="11" applyNumberFormat="1" applyFont="1" applyFill="1" applyBorder="1"/>
    <xf numFmtId="3" fontId="23" fillId="8" borderId="28" xfId="11" applyNumberFormat="1" applyFont="1" applyFill="1" applyBorder="1"/>
    <xf numFmtId="3" fontId="23" fillId="8" borderId="30" xfId="11" applyNumberFormat="1" applyFont="1" applyFill="1" applyBorder="1"/>
    <xf numFmtId="3" fontId="23" fillId="8" borderId="29" xfId="11" applyNumberFormat="1" applyFont="1" applyFill="1" applyBorder="1"/>
    <xf numFmtId="3" fontId="23" fillId="8" borderId="32" xfId="11" applyNumberFormat="1" applyFont="1" applyFill="1" applyBorder="1"/>
    <xf numFmtId="3" fontId="23" fillId="8" borderId="33" xfId="11" applyNumberFormat="1" applyFont="1" applyFill="1" applyBorder="1"/>
    <xf numFmtId="3" fontId="23" fillId="8" borderId="34" xfId="11" applyNumberFormat="1" applyFont="1" applyFill="1" applyBorder="1"/>
    <xf numFmtId="0" fontId="21" fillId="8" borderId="39" xfId="11" applyFont="1" applyFill="1" applyBorder="1"/>
    <xf numFmtId="0" fontId="21" fillId="8" borderId="5" xfId="11" applyFont="1" applyFill="1" applyBorder="1"/>
    <xf numFmtId="174" fontId="21" fillId="8" borderId="32" xfId="11" applyNumberFormat="1" applyFont="1" applyFill="1" applyBorder="1"/>
    <xf numFmtId="3" fontId="27" fillId="8" borderId="32" xfId="11" applyNumberFormat="1" applyFont="1" applyFill="1" applyBorder="1"/>
    <xf numFmtId="3" fontId="27" fillId="8" borderId="33" xfId="11" applyNumberFormat="1" applyFont="1" applyFill="1" applyBorder="1"/>
    <xf numFmtId="3" fontId="27" fillId="8" borderId="34" xfId="11" applyNumberFormat="1" applyFont="1" applyFill="1" applyBorder="1"/>
    <xf numFmtId="3" fontId="21" fillId="8" borderId="34" xfId="11" applyNumberFormat="1" applyFont="1" applyFill="1" applyBorder="1" applyAlignment="1">
      <alignment horizontal="center"/>
    </xf>
    <xf numFmtId="0" fontId="39" fillId="0" borderId="0" xfId="11" applyFont="1"/>
    <xf numFmtId="3" fontId="39" fillId="0" borderId="0" xfId="11" applyNumberFormat="1" applyFont="1"/>
    <xf numFmtId="0" fontId="4" fillId="0" borderId="0" xfId="11" applyFont="1"/>
    <xf numFmtId="0" fontId="11" fillId="0" borderId="0" xfId="11" applyFont="1" applyAlignment="1">
      <alignment horizontal="left"/>
    </xf>
    <xf numFmtId="0" fontId="3" fillId="8" borderId="0" xfId="11" applyFont="1" applyFill="1" applyAlignment="1">
      <alignment horizontal="center"/>
    </xf>
    <xf numFmtId="3" fontId="4" fillId="0" borderId="14" xfId="11" applyNumberFormat="1" applyFont="1" applyBorder="1"/>
    <xf numFmtId="0" fontId="4" fillId="0" borderId="14" xfId="11" applyFont="1" applyBorder="1"/>
    <xf numFmtId="0" fontId="4" fillId="0" borderId="41" xfId="11" applyFont="1" applyBorder="1"/>
    <xf numFmtId="179" fontId="5" fillId="0" borderId="41" xfId="11" applyNumberFormat="1" applyBorder="1"/>
    <xf numFmtId="179" fontId="4" fillId="0" borderId="41" xfId="11" applyNumberFormat="1" applyFont="1" applyBorder="1" applyAlignment="1">
      <alignment horizontal="center"/>
    </xf>
    <xf numFmtId="179" fontId="5" fillId="0" borderId="0" xfId="11" applyNumberFormat="1"/>
    <xf numFmtId="179" fontId="4" fillId="0" borderId="0" xfId="11" applyNumberFormat="1" applyFont="1" applyAlignment="1">
      <alignment horizontal="center"/>
    </xf>
    <xf numFmtId="0" fontId="11" fillId="8" borderId="0" xfId="11" applyFont="1" applyFill="1" applyAlignment="1">
      <alignment horizontal="left"/>
    </xf>
    <xf numFmtId="0" fontId="3" fillId="8" borderId="0" xfId="11" applyFont="1" applyFill="1"/>
    <xf numFmtId="0" fontId="9" fillId="0" borderId="0" xfId="11" applyFont="1"/>
    <xf numFmtId="0" fontId="10" fillId="0" borderId="0" xfId="11" applyFont="1"/>
    <xf numFmtId="0" fontId="2" fillId="0" borderId="0" xfId="11" applyFont="1" applyAlignment="1">
      <alignment horizontal="centerContinuous"/>
    </xf>
    <xf numFmtId="0" fontId="5" fillId="0" borderId="0" xfId="11" applyAlignment="1">
      <alignment horizontal="centerContinuous"/>
    </xf>
    <xf numFmtId="0" fontId="40" fillId="0" borderId="0" xfId="11" applyFont="1"/>
    <xf numFmtId="0" fontId="5" fillId="5" borderId="8" xfId="11" applyFill="1" applyBorder="1" applyAlignment="1">
      <alignment horizontal="center"/>
    </xf>
    <xf numFmtId="169" fontId="5" fillId="5" borderId="43" xfId="11" applyNumberFormat="1" applyFill="1" applyBorder="1" applyAlignment="1">
      <alignment horizontal="center"/>
    </xf>
    <xf numFmtId="169" fontId="5" fillId="5" borderId="44" xfId="11" applyNumberFormat="1" applyFill="1" applyBorder="1" applyAlignment="1">
      <alignment horizontal="center"/>
    </xf>
    <xf numFmtId="169" fontId="5" fillId="5" borderId="21" xfId="11" applyNumberFormat="1" applyFill="1" applyBorder="1"/>
    <xf numFmtId="169" fontId="5" fillId="5" borderId="45" xfId="11" applyNumberFormat="1" applyFill="1" applyBorder="1"/>
    <xf numFmtId="0" fontId="5" fillId="6" borderId="4" xfId="11" applyFill="1" applyBorder="1" applyAlignment="1">
      <alignment horizontal="center"/>
    </xf>
    <xf numFmtId="169" fontId="5" fillId="6" borderId="47" xfId="11" applyNumberFormat="1" applyFill="1" applyBorder="1" applyAlignment="1">
      <alignment horizontal="center"/>
    </xf>
    <xf numFmtId="169" fontId="5" fillId="6" borderId="48" xfId="11" applyNumberFormat="1" applyFill="1" applyBorder="1" applyAlignment="1">
      <alignment horizontal="center"/>
    </xf>
    <xf numFmtId="169" fontId="5" fillId="6" borderId="2" xfId="11" applyNumberFormat="1" applyFill="1" applyBorder="1"/>
    <xf numFmtId="169" fontId="5" fillId="6" borderId="49" xfId="11" applyNumberFormat="1" applyFill="1" applyBorder="1"/>
    <xf numFmtId="0" fontId="5" fillId="5" borderId="4" xfId="11" applyFill="1" applyBorder="1" applyAlignment="1">
      <alignment horizontal="center"/>
    </xf>
    <xf numFmtId="169" fontId="5" fillId="5" borderId="47" xfId="11" applyNumberFormat="1" applyFill="1" applyBorder="1" applyAlignment="1">
      <alignment horizontal="center"/>
    </xf>
    <xf numFmtId="169" fontId="5" fillId="5" borderId="48" xfId="11" applyNumberFormat="1" applyFill="1" applyBorder="1" applyAlignment="1">
      <alignment horizontal="center"/>
    </xf>
    <xf numFmtId="169" fontId="5" fillId="5" borderId="2" xfId="11" applyNumberFormat="1" applyFill="1" applyBorder="1"/>
    <xf numFmtId="169" fontId="5" fillId="5" borderId="49" xfId="11" applyNumberFormat="1" applyFill="1" applyBorder="1"/>
    <xf numFmtId="168" fontId="5" fillId="5" borderId="2" xfId="11" applyNumberFormat="1" applyFill="1" applyBorder="1"/>
    <xf numFmtId="168" fontId="5" fillId="6" borderId="2" xfId="11" applyNumberFormat="1" applyFill="1" applyBorder="1"/>
    <xf numFmtId="0" fontId="5" fillId="3" borderId="4" xfId="11" applyFill="1" applyBorder="1" applyAlignment="1">
      <alignment horizontal="center"/>
    </xf>
    <xf numFmtId="169" fontId="5" fillId="3" borderId="2" xfId="11" applyNumberFormat="1" applyFill="1" applyBorder="1"/>
    <xf numFmtId="168" fontId="5" fillId="3" borderId="2" xfId="11" applyNumberFormat="1" applyFill="1" applyBorder="1"/>
    <xf numFmtId="0" fontId="8" fillId="0" borderId="0" xfId="11" quotePrefix="1" applyFont="1"/>
    <xf numFmtId="0" fontId="8" fillId="0" borderId="0" xfId="11" applyFont="1"/>
    <xf numFmtId="0" fontId="32" fillId="0" borderId="0" xfId="11" applyFont="1"/>
    <xf numFmtId="0" fontId="18" fillId="0" borderId="0" xfId="11" applyFont="1"/>
    <xf numFmtId="0" fontId="42" fillId="0" borderId="0" xfId="11" applyFont="1"/>
    <xf numFmtId="168" fontId="42" fillId="0" borderId="0" xfId="11" applyNumberFormat="1" applyFont="1"/>
    <xf numFmtId="168" fontId="42" fillId="2" borderId="0" xfId="11" applyNumberFormat="1" applyFont="1" applyFill="1"/>
    <xf numFmtId="0" fontId="42" fillId="8" borderId="0" xfId="11" applyFont="1" applyFill="1"/>
    <xf numFmtId="0" fontId="43" fillId="0" borderId="0" xfId="11" applyFont="1"/>
    <xf numFmtId="169" fontId="5" fillId="0" borderId="2" xfId="11" applyNumberFormat="1" applyBorder="1"/>
    <xf numFmtId="168" fontId="5" fillId="0" borderId="2" xfId="11" applyNumberFormat="1" applyBorder="1"/>
    <xf numFmtId="0" fontId="3" fillId="9" borderId="21" xfId="11" applyFont="1" applyFill="1" applyBorder="1" applyAlignment="1">
      <alignment horizontal="right"/>
    </xf>
    <xf numFmtId="0" fontId="21" fillId="8" borderId="56" xfId="11" applyFont="1" applyFill="1" applyBorder="1" applyAlignment="1">
      <alignment horizontal="center"/>
    </xf>
    <xf numFmtId="3" fontId="23" fillId="8" borderId="55" xfId="11" applyNumberFormat="1" applyFont="1" applyFill="1" applyBorder="1"/>
    <xf numFmtId="3" fontId="21" fillId="8" borderId="55" xfId="11" applyNumberFormat="1" applyFont="1" applyFill="1" applyBorder="1"/>
    <xf numFmtId="3" fontId="21" fillId="8" borderId="57" xfId="11" applyNumberFormat="1" applyFont="1" applyFill="1" applyBorder="1"/>
    <xf numFmtId="3" fontId="25" fillId="8" borderId="58" xfId="11" applyNumberFormat="1" applyFont="1" applyFill="1" applyBorder="1"/>
    <xf numFmtId="179" fontId="5" fillId="0" borderId="14" xfId="11" applyNumberFormat="1" applyBorder="1"/>
    <xf numFmtId="0" fontId="0" fillId="8" borderId="0" xfId="0" applyFill="1"/>
    <xf numFmtId="4" fontId="0" fillId="8" borderId="1" xfId="0" applyNumberForma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169" fontId="5" fillId="7" borderId="47" xfId="11" applyNumberFormat="1" applyFill="1" applyBorder="1" applyAlignment="1">
      <alignment horizontal="center"/>
    </xf>
    <xf numFmtId="169" fontId="5" fillId="7" borderId="48" xfId="11" applyNumberFormat="1" applyFill="1" applyBorder="1" applyAlignment="1">
      <alignment horizontal="center"/>
    </xf>
    <xf numFmtId="169" fontId="5" fillId="7" borderId="2" xfId="11" applyNumberFormat="1" applyFill="1" applyBorder="1"/>
    <xf numFmtId="169" fontId="5" fillId="7" borderId="49" xfId="11" applyNumberFormat="1" applyFill="1" applyBorder="1"/>
    <xf numFmtId="169" fontId="5" fillId="11" borderId="49" xfId="11" applyNumberFormat="1" applyFill="1" applyBorder="1"/>
    <xf numFmtId="168" fontId="5" fillId="7" borderId="2" xfId="11" applyNumberFormat="1" applyFill="1" applyBorder="1"/>
    <xf numFmtId="167" fontId="40" fillId="0" borderId="0" xfId="11" applyNumberFormat="1" applyFont="1"/>
    <xf numFmtId="0" fontId="40" fillId="0" borderId="0" xfId="11" applyFont="1" applyAlignment="1">
      <alignment horizontal="right"/>
    </xf>
    <xf numFmtId="0" fontId="11" fillId="8" borderId="0" xfId="0" applyFont="1" applyFill="1" applyAlignment="1">
      <alignment horizontal="left"/>
    </xf>
    <xf numFmtId="0" fontId="40" fillId="0" borderId="0" xfId="11" applyFont="1" applyAlignment="1">
      <alignment horizontal="center"/>
    </xf>
    <xf numFmtId="9" fontId="6" fillId="3" borderId="86" xfId="22" applyFont="1" applyFill="1" applyBorder="1" applyAlignment="1">
      <alignment horizontal="center" vertical="center"/>
    </xf>
    <xf numFmtId="9" fontId="6" fillId="2" borderId="87" xfId="22" applyFont="1" applyFill="1" applyBorder="1" applyAlignment="1">
      <alignment horizontal="center" vertical="center"/>
    </xf>
    <xf numFmtId="0" fontId="0" fillId="8" borderId="0" xfId="0" applyFill="1" applyAlignment="1">
      <alignment horizontal="centerContinuous"/>
    </xf>
    <xf numFmtId="0" fontId="2" fillId="8" borderId="0" xfId="0" applyFont="1" applyFill="1" applyAlignment="1">
      <alignment horizontal="left"/>
    </xf>
    <xf numFmtId="0" fontId="0" fillId="8" borderId="0" xfId="0" applyFill="1" applyAlignment="1">
      <alignment horizontal="right"/>
    </xf>
    <xf numFmtId="0" fontId="13" fillId="8" borderId="0" xfId="0" applyFont="1" applyFill="1"/>
    <xf numFmtId="169" fontId="0" fillId="8" borderId="0" xfId="0" applyNumberFormat="1" applyFill="1"/>
    <xf numFmtId="0" fontId="12" fillId="8" borderId="0" xfId="0" applyFont="1" applyFill="1"/>
    <xf numFmtId="0" fontId="0" fillId="8" borderId="49" xfId="0" applyFill="1" applyBorder="1" applyAlignment="1">
      <alignment horizontal="center" vertical="center"/>
    </xf>
    <xf numFmtId="4" fontId="0" fillId="8" borderId="2" xfId="0" applyNumberFormat="1" applyFill="1" applyBorder="1" applyAlignment="1">
      <alignment vertical="center"/>
    </xf>
    <xf numFmtId="9" fontId="14" fillId="8" borderId="2" xfId="19" applyFont="1" applyFill="1" applyBorder="1" applyAlignment="1">
      <alignment vertical="center"/>
    </xf>
    <xf numFmtId="4" fontId="0" fillId="8" borderId="46" xfId="0" applyNumberFormat="1" applyFill="1" applyBorder="1" applyAlignment="1">
      <alignment vertical="center"/>
    </xf>
    <xf numFmtId="0" fontId="5" fillId="8" borderId="49" xfId="0" applyFont="1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169" fontId="0" fillId="8" borderId="2" xfId="0" applyNumberFormat="1" applyFill="1" applyBorder="1" applyAlignment="1">
      <alignment vertical="center"/>
    </xf>
    <xf numFmtId="9" fontId="14" fillId="8" borderId="36" xfId="19" applyFont="1" applyFill="1" applyBorder="1" applyAlignment="1">
      <alignment vertical="center"/>
    </xf>
    <xf numFmtId="169" fontId="0" fillId="8" borderId="46" xfId="0" applyNumberFormat="1" applyFill="1" applyBorder="1" applyAlignment="1">
      <alignment vertical="center"/>
    </xf>
    <xf numFmtId="0" fontId="14" fillId="8" borderId="65" xfId="0" applyFont="1" applyFill="1" applyBorder="1"/>
    <xf numFmtId="0" fontId="14" fillId="8" borderId="87" xfId="0" applyFont="1" applyFill="1" applyBorder="1"/>
    <xf numFmtId="169" fontId="0" fillId="8" borderId="1" xfId="0" applyNumberFormat="1" applyFill="1" applyBorder="1" applyAlignment="1">
      <alignment vertical="center"/>
    </xf>
    <xf numFmtId="9" fontId="14" fillId="8" borderId="116" xfId="19" applyFont="1" applyFill="1" applyBorder="1" applyAlignment="1">
      <alignment vertical="center"/>
    </xf>
    <xf numFmtId="9" fontId="14" fillId="8" borderId="106" xfId="19" applyFont="1" applyFill="1" applyBorder="1" applyAlignment="1">
      <alignment vertical="center"/>
    </xf>
    <xf numFmtId="9" fontId="14" fillId="8" borderId="115" xfId="19" applyFont="1" applyFill="1" applyBorder="1" applyAlignment="1">
      <alignment vertical="center"/>
    </xf>
    <xf numFmtId="0" fontId="0" fillId="7" borderId="49" xfId="0" applyFill="1" applyBorder="1" applyAlignment="1">
      <alignment horizontal="center" vertical="center"/>
    </xf>
    <xf numFmtId="9" fontId="14" fillId="7" borderId="106" xfId="19" applyFont="1" applyFill="1" applyBorder="1" applyAlignment="1">
      <alignment vertical="center"/>
    </xf>
    <xf numFmtId="4" fontId="0" fillId="7" borderId="2" xfId="0" applyNumberFormat="1" applyFill="1" applyBorder="1" applyAlignment="1">
      <alignment vertical="center"/>
    </xf>
    <xf numFmtId="9" fontId="14" fillId="7" borderId="2" xfId="19" applyFont="1" applyFill="1" applyBorder="1" applyAlignment="1">
      <alignment vertical="center"/>
    </xf>
    <xf numFmtId="4" fontId="0" fillId="7" borderId="46" xfId="0" applyNumberFormat="1" applyFill="1" applyBorder="1" applyAlignment="1">
      <alignment vertical="center"/>
    </xf>
    <xf numFmtId="0" fontId="14" fillId="7" borderId="64" xfId="0" applyFont="1" applyFill="1" applyBorder="1"/>
    <xf numFmtId="0" fontId="14" fillId="7" borderId="65" xfId="0" applyFont="1" applyFill="1" applyBorder="1"/>
    <xf numFmtId="9" fontId="6" fillId="7" borderId="117" xfId="22" applyFont="1" applyFill="1" applyBorder="1" applyAlignment="1">
      <alignment horizontal="right"/>
    </xf>
    <xf numFmtId="165" fontId="6" fillId="7" borderId="118" xfId="19" applyNumberFormat="1" applyFont="1" applyFill="1" applyBorder="1" applyAlignment="1">
      <alignment horizontal="right" vertical="center"/>
    </xf>
    <xf numFmtId="9" fontId="6" fillId="7" borderId="119" xfId="22" applyFont="1" applyFill="1" applyBorder="1" applyAlignment="1">
      <alignment horizontal="right"/>
    </xf>
    <xf numFmtId="165" fontId="6" fillId="7" borderId="119" xfId="19" applyNumberFormat="1" applyFont="1" applyFill="1" applyBorder="1" applyAlignment="1">
      <alignment horizontal="right" vertical="center"/>
    </xf>
    <xf numFmtId="9" fontId="6" fillId="7" borderId="120" xfId="22" applyFont="1" applyFill="1" applyBorder="1" applyAlignment="1">
      <alignment horizontal="right"/>
    </xf>
    <xf numFmtId="9" fontId="6" fillId="8" borderId="121" xfId="22" applyFont="1" applyFill="1" applyBorder="1" applyAlignment="1">
      <alignment horizontal="right"/>
    </xf>
    <xf numFmtId="165" fontId="6" fillId="8" borderId="122" xfId="19" applyNumberFormat="1" applyFont="1" applyFill="1" applyBorder="1" applyAlignment="1">
      <alignment horizontal="right" vertical="center"/>
    </xf>
    <xf numFmtId="9" fontId="6" fillId="8" borderId="123" xfId="22" applyFont="1" applyFill="1" applyBorder="1" applyAlignment="1">
      <alignment horizontal="right"/>
    </xf>
    <xf numFmtId="165" fontId="6" fillId="8" borderId="123" xfId="19" applyNumberFormat="1" applyFont="1" applyFill="1" applyBorder="1" applyAlignment="1">
      <alignment horizontal="right" vertical="center"/>
    </xf>
    <xf numFmtId="9" fontId="6" fillId="8" borderId="124" xfId="22" applyFont="1" applyFill="1" applyBorder="1" applyAlignment="1">
      <alignment horizontal="right"/>
    </xf>
    <xf numFmtId="9" fontId="6" fillId="7" borderId="121" xfId="22" applyFont="1" applyFill="1" applyBorder="1" applyAlignment="1">
      <alignment horizontal="right"/>
    </xf>
    <xf numFmtId="165" fontId="6" fillId="7" borderId="122" xfId="19" applyNumberFormat="1" applyFont="1" applyFill="1" applyBorder="1" applyAlignment="1">
      <alignment horizontal="right" vertical="center"/>
    </xf>
    <xf numFmtId="9" fontId="6" fillId="7" borderId="123" xfId="22" applyFont="1" applyFill="1" applyBorder="1" applyAlignment="1">
      <alignment horizontal="right"/>
    </xf>
    <xf numFmtId="165" fontId="6" fillId="7" borderId="123" xfId="19" applyNumberFormat="1" applyFont="1" applyFill="1" applyBorder="1" applyAlignment="1">
      <alignment horizontal="right" vertical="center"/>
    </xf>
    <xf numFmtId="9" fontId="6" fillId="7" borderId="124" xfId="22" applyFont="1" applyFill="1" applyBorder="1" applyAlignment="1">
      <alignment horizontal="right"/>
    </xf>
    <xf numFmtId="9" fontId="6" fillId="8" borderId="125" xfId="22" applyFont="1" applyFill="1" applyBorder="1" applyAlignment="1">
      <alignment horizontal="right"/>
    </xf>
    <xf numFmtId="165" fontId="6" fillId="8" borderId="126" xfId="19" applyNumberFormat="1" applyFont="1" applyFill="1" applyBorder="1" applyAlignment="1">
      <alignment horizontal="right" vertical="center"/>
    </xf>
    <xf numFmtId="9" fontId="6" fillId="8" borderId="127" xfId="22" applyFont="1" applyFill="1" applyBorder="1" applyAlignment="1">
      <alignment horizontal="right"/>
    </xf>
    <xf numFmtId="165" fontId="6" fillId="8" borderId="127" xfId="19" applyNumberFormat="1" applyFont="1" applyFill="1" applyBorder="1" applyAlignment="1">
      <alignment horizontal="right" vertical="center"/>
    </xf>
    <xf numFmtId="9" fontId="6" fillId="8" borderId="128" xfId="22" applyFont="1" applyFill="1" applyBorder="1" applyAlignment="1">
      <alignment horizontal="right"/>
    </xf>
    <xf numFmtId="0" fontId="5" fillId="0" borderId="0" xfId="11" applyAlignment="1">
      <alignment vertical="center"/>
    </xf>
    <xf numFmtId="0" fontId="11" fillId="0" borderId="0" xfId="11" applyFont="1"/>
    <xf numFmtId="3" fontId="40" fillId="0" borderId="0" xfId="11" applyNumberFormat="1" applyFont="1"/>
    <xf numFmtId="0" fontId="42" fillId="0" borderId="0" xfId="11" applyFont="1" applyAlignment="1">
      <alignment vertical="center"/>
    </xf>
    <xf numFmtId="181" fontId="5" fillId="0" borderId="14" xfId="11" applyNumberFormat="1" applyBorder="1"/>
    <xf numFmtId="181" fontId="5" fillId="8" borderId="14" xfId="11" applyNumberFormat="1" applyFill="1" applyBorder="1"/>
    <xf numFmtId="169" fontId="4" fillId="0" borderId="14" xfId="11" applyNumberFormat="1" applyFont="1" applyBorder="1" applyAlignment="1">
      <alignment horizontal="right" indent="1"/>
    </xf>
    <xf numFmtId="169" fontId="4" fillId="8" borderId="14" xfId="11" applyNumberFormat="1" applyFont="1" applyFill="1" applyBorder="1" applyAlignment="1">
      <alignment horizontal="right" indent="1"/>
    </xf>
    <xf numFmtId="0" fontId="41" fillId="8" borderId="0" xfId="11" applyFont="1" applyFill="1" applyAlignment="1">
      <alignment horizontal="center"/>
    </xf>
    <xf numFmtId="3" fontId="41" fillId="8" borderId="0" xfId="11" applyNumberFormat="1" applyFont="1" applyFill="1"/>
    <xf numFmtId="179" fontId="41" fillId="8" borderId="0" xfId="11" applyNumberFormat="1" applyFont="1" applyFill="1" applyAlignment="1">
      <alignment horizontal="center"/>
    </xf>
    <xf numFmtId="3" fontId="40" fillId="8" borderId="0" xfId="11" applyNumberFormat="1" applyFont="1" applyFill="1"/>
    <xf numFmtId="0" fontId="48" fillId="8" borderId="0" xfId="11" applyFont="1" applyFill="1" applyAlignment="1">
      <alignment horizontal="left"/>
    </xf>
    <xf numFmtId="0" fontId="49" fillId="8" borderId="0" xfId="11" applyFont="1" applyFill="1" applyAlignment="1">
      <alignment horizontal="left"/>
    </xf>
    <xf numFmtId="3" fontId="49" fillId="8" borderId="0" xfId="11" applyNumberFormat="1" applyFont="1" applyFill="1" applyAlignment="1">
      <alignment horizontal="left"/>
    </xf>
    <xf numFmtId="0" fontId="40" fillId="8" borderId="0" xfId="11" applyFont="1" applyFill="1"/>
    <xf numFmtId="1" fontId="40" fillId="0" borderId="0" xfId="11" applyNumberFormat="1" applyFont="1"/>
    <xf numFmtId="165" fontId="41" fillId="8" borderId="0" xfId="24" applyNumberFormat="1" applyFont="1" applyFill="1" applyBorder="1" applyAlignment="1">
      <alignment horizontal="center"/>
    </xf>
    <xf numFmtId="179" fontId="40" fillId="0" borderId="0" xfId="11" applyNumberFormat="1" applyFont="1"/>
    <xf numFmtId="0" fontId="5" fillId="8" borderId="0" xfId="11" applyFill="1" applyAlignment="1">
      <alignment vertical="center"/>
    </xf>
    <xf numFmtId="0" fontId="14" fillId="3" borderId="103" xfId="0" applyFont="1" applyFill="1" applyBorder="1" applyAlignment="1">
      <alignment vertical="center"/>
    </xf>
    <xf numFmtId="0" fontId="14" fillId="3" borderId="139" xfId="0" applyFont="1" applyFill="1" applyBorder="1" applyAlignment="1">
      <alignment vertical="center"/>
    </xf>
    <xf numFmtId="9" fontId="6" fillId="3" borderId="141" xfId="22" applyFont="1" applyFill="1" applyBorder="1" applyAlignment="1">
      <alignment horizontal="center" vertical="center"/>
    </xf>
    <xf numFmtId="9" fontId="6" fillId="2" borderId="142" xfId="22" applyFont="1" applyFill="1" applyBorder="1" applyAlignment="1">
      <alignment horizontal="center" vertical="center"/>
    </xf>
    <xf numFmtId="169" fontId="5" fillId="5" borderId="67" xfId="11" applyNumberFormat="1" applyFill="1" applyBorder="1"/>
    <xf numFmtId="169" fontId="5" fillId="6" borderId="46" xfId="11" applyNumberFormat="1" applyFill="1" applyBorder="1"/>
    <xf numFmtId="169" fontId="5" fillId="5" borderId="46" xfId="11" applyNumberFormat="1" applyFill="1" applyBorder="1"/>
    <xf numFmtId="169" fontId="5" fillId="7" borderId="46" xfId="11" applyNumberFormat="1" applyFill="1" applyBorder="1"/>
    <xf numFmtId="9" fontId="6" fillId="3" borderId="144" xfId="22" applyFont="1" applyFill="1" applyBorder="1" applyAlignment="1">
      <alignment horizontal="center" vertical="center"/>
    </xf>
    <xf numFmtId="9" fontId="6" fillId="3" borderId="94" xfId="22" applyFont="1" applyFill="1" applyBorder="1" applyAlignment="1">
      <alignment horizontal="center" vertical="center"/>
    </xf>
    <xf numFmtId="9" fontId="6" fillId="3" borderId="131" xfId="22" applyFont="1" applyFill="1" applyBorder="1" applyAlignment="1">
      <alignment horizontal="center" vertical="center"/>
    </xf>
    <xf numFmtId="9" fontId="6" fillId="2" borderId="145" xfId="22" applyFont="1" applyFill="1" applyBorder="1" applyAlignment="1">
      <alignment horizontal="center" vertical="center"/>
    </xf>
    <xf numFmtId="9" fontId="6" fillId="2" borderId="95" xfId="22" applyFont="1" applyFill="1" applyBorder="1" applyAlignment="1">
      <alignment horizontal="center" vertical="center"/>
    </xf>
    <xf numFmtId="9" fontId="6" fillId="2" borderId="132" xfId="22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7" borderId="4" xfId="11" applyFill="1" applyBorder="1" applyAlignment="1">
      <alignment horizontal="center"/>
    </xf>
    <xf numFmtId="3" fontId="21" fillId="8" borderId="148" xfId="11" applyNumberFormat="1" applyFont="1" applyFill="1" applyBorder="1"/>
    <xf numFmtId="3" fontId="21" fillId="8" borderId="2" xfId="11" applyNumberFormat="1" applyFont="1" applyFill="1" applyBorder="1"/>
    <xf numFmtId="174" fontId="21" fillId="8" borderId="148" xfId="11" applyNumberFormat="1" applyFont="1" applyFill="1" applyBorder="1"/>
    <xf numFmtId="0" fontId="9" fillId="0" borderId="0" xfId="11" applyFont="1" applyAlignment="1">
      <alignment horizontal="left"/>
    </xf>
    <xf numFmtId="0" fontId="43" fillId="8" borderId="0" xfId="11" applyFont="1" applyFill="1" applyAlignment="1">
      <alignment vertical="center"/>
    </xf>
    <xf numFmtId="0" fontId="40" fillId="0" borderId="0" xfId="11" applyFont="1" applyAlignment="1">
      <alignment vertical="center"/>
    </xf>
    <xf numFmtId="0" fontId="42" fillId="2" borderId="0" xfId="11" applyFont="1" applyFill="1" applyAlignment="1">
      <alignment vertical="center"/>
    </xf>
    <xf numFmtId="168" fontId="5" fillId="2" borderId="46" xfId="11" applyNumberFormat="1" applyFill="1" applyBorder="1"/>
    <xf numFmtId="168" fontId="5" fillId="3" borderId="46" xfId="11" applyNumberFormat="1" applyFill="1" applyBorder="1"/>
    <xf numFmtId="169" fontId="40" fillId="0" borderId="0" xfId="11" applyNumberFormat="1" applyFont="1"/>
    <xf numFmtId="167" fontId="41" fillId="0" borderId="0" xfId="11" applyNumberFormat="1" applyFont="1"/>
    <xf numFmtId="0" fontId="41" fillId="0" borderId="0" xfId="11" applyFont="1"/>
    <xf numFmtId="168" fontId="5" fillId="7" borderId="46" xfId="11" applyNumberFormat="1" applyFill="1" applyBorder="1"/>
    <xf numFmtId="9" fontId="6" fillId="3" borderId="140" xfId="22" applyFont="1" applyFill="1" applyBorder="1" applyAlignment="1">
      <alignment horizontal="center" vertical="center"/>
    </xf>
    <xf numFmtId="9" fontId="6" fillId="3" borderId="143" xfId="22" applyFont="1" applyFill="1" applyBorder="1" applyAlignment="1">
      <alignment horizontal="center" vertical="center"/>
    </xf>
    <xf numFmtId="9" fontId="6" fillId="3" borderId="93" xfId="22" applyFont="1" applyFill="1" applyBorder="1" applyAlignment="1">
      <alignment horizontal="center" vertical="center"/>
    </xf>
    <xf numFmtId="9" fontId="6" fillId="3" borderId="130" xfId="22" applyFont="1" applyFill="1" applyBorder="1" applyAlignment="1">
      <alignment horizontal="center" vertical="center"/>
    </xf>
    <xf numFmtId="9" fontId="6" fillId="3" borderId="64" xfId="22" applyFont="1" applyFill="1" applyBorder="1" applyAlignment="1">
      <alignment horizontal="center" vertical="center"/>
    </xf>
    <xf numFmtId="0" fontId="14" fillId="0" borderId="139" xfId="0" applyFont="1" applyBorder="1" applyAlignment="1">
      <alignment vertical="center"/>
    </xf>
    <xf numFmtId="9" fontId="6" fillId="2" borderId="141" xfId="22" applyFont="1" applyFill="1" applyBorder="1" applyAlignment="1">
      <alignment horizontal="center" vertical="center"/>
    </xf>
    <xf numFmtId="9" fontId="6" fillId="2" borderId="144" xfId="22" applyFont="1" applyFill="1" applyBorder="1" applyAlignment="1">
      <alignment horizontal="center" vertical="center"/>
    </xf>
    <xf numFmtId="9" fontId="6" fillId="2" borderId="94" xfId="22" applyFont="1" applyFill="1" applyBorder="1" applyAlignment="1">
      <alignment horizontal="center" vertical="center"/>
    </xf>
    <xf numFmtId="9" fontId="6" fillId="2" borderId="131" xfId="22" applyFont="1" applyFill="1" applyBorder="1" applyAlignment="1">
      <alignment horizontal="center" vertical="center"/>
    </xf>
    <xf numFmtId="9" fontId="6" fillId="2" borderId="86" xfId="22" applyFont="1" applyFill="1" applyBorder="1" applyAlignment="1">
      <alignment horizontal="center" vertical="center"/>
    </xf>
    <xf numFmtId="0" fontId="14" fillId="0" borderId="66" xfId="0" applyFont="1" applyBorder="1" applyAlignment="1">
      <alignment vertical="center"/>
    </xf>
    <xf numFmtId="0" fontId="40" fillId="2" borderId="0" xfId="11" applyFont="1" applyFill="1"/>
    <xf numFmtId="169" fontId="41" fillId="0" borderId="0" xfId="11" applyNumberFormat="1" applyFont="1"/>
    <xf numFmtId="0" fontId="40" fillId="0" borderId="0" xfId="11" quotePrefix="1" applyFont="1" applyAlignment="1">
      <alignment horizontal="right"/>
    </xf>
    <xf numFmtId="0" fontId="2" fillId="0" borderId="0" xfId="11" applyFont="1"/>
    <xf numFmtId="0" fontId="21" fillId="0" borderId="10" xfId="11" applyFont="1" applyBorder="1" applyAlignment="1">
      <alignment horizontal="center"/>
    </xf>
    <xf numFmtId="0" fontId="21" fillId="0" borderId="12" xfId="11" applyFont="1" applyBorder="1"/>
    <xf numFmtId="4" fontId="21" fillId="0" borderId="11" xfId="11" applyNumberFormat="1" applyFont="1" applyBorder="1"/>
    <xf numFmtId="4" fontId="21" fillId="0" borderId="12" xfId="11" applyNumberFormat="1" applyFont="1" applyBorder="1"/>
    <xf numFmtId="4" fontId="25" fillId="0" borderId="68" xfId="11" applyNumberFormat="1" applyFont="1" applyBorder="1"/>
    <xf numFmtId="0" fontId="21" fillId="0" borderId="56" xfId="11" applyFont="1" applyBorder="1" applyAlignment="1">
      <alignment horizontal="center"/>
    </xf>
    <xf numFmtId="0" fontId="21" fillId="0" borderId="57" xfId="11" applyFont="1" applyBorder="1"/>
    <xf numFmtId="4" fontId="21" fillId="0" borderId="55" xfId="11" applyNumberFormat="1" applyFont="1" applyBorder="1"/>
    <xf numFmtId="4" fontId="21" fillId="0" borderId="57" xfId="11" applyNumberFormat="1" applyFont="1" applyBorder="1"/>
    <xf numFmtId="3" fontId="4" fillId="0" borderId="0" xfId="11" applyNumberFormat="1" applyFont="1"/>
    <xf numFmtId="0" fontId="21" fillId="0" borderId="13" xfId="11" applyFont="1" applyBorder="1" applyAlignment="1">
      <alignment horizontal="center"/>
    </xf>
    <xf numFmtId="0" fontId="21" fillId="0" borderId="15" xfId="11" applyFont="1" applyBorder="1"/>
    <xf numFmtId="4" fontId="23" fillId="0" borderId="14" xfId="11" applyNumberFormat="1" applyFont="1" applyBorder="1"/>
    <xf numFmtId="4" fontId="21" fillId="0" borderId="14" xfId="11" applyNumberFormat="1" applyFont="1" applyBorder="1"/>
    <xf numFmtId="4" fontId="21" fillId="0" borderId="15" xfId="11" applyNumberFormat="1" applyFont="1" applyBorder="1"/>
    <xf numFmtId="4" fontId="21" fillId="0" borderId="14" xfId="11" quotePrefix="1" applyNumberFormat="1" applyFont="1" applyBorder="1" applyAlignment="1">
      <alignment horizontal="right"/>
    </xf>
    <xf numFmtId="4" fontId="21" fillId="0" borderId="15" xfId="11" quotePrefix="1" applyNumberFormat="1" applyFont="1" applyBorder="1" applyAlignment="1">
      <alignment horizontal="right"/>
    </xf>
    <xf numFmtId="0" fontId="21" fillId="0" borderId="15" xfId="11" applyFont="1" applyBorder="1" applyAlignment="1">
      <alignment vertical="center" wrapText="1"/>
    </xf>
    <xf numFmtId="3" fontId="5" fillId="0" borderId="52" xfId="11" applyNumberFormat="1" applyBorder="1"/>
    <xf numFmtId="3" fontId="5" fillId="0" borderId="2" xfId="11" applyNumberFormat="1" applyBorder="1"/>
    <xf numFmtId="3" fontId="42" fillId="0" borderId="0" xfId="11" applyNumberFormat="1" applyFont="1"/>
    <xf numFmtId="0" fontId="46" fillId="0" borderId="13" xfId="11" applyFont="1" applyBorder="1" applyAlignment="1">
      <alignment horizontal="center"/>
    </xf>
    <xf numFmtId="0" fontId="46" fillId="0" borderId="15" xfId="11" applyFont="1" applyBorder="1"/>
    <xf numFmtId="4" fontId="46" fillId="0" borderId="14" xfId="11" applyNumberFormat="1" applyFont="1" applyBorder="1"/>
    <xf numFmtId="4" fontId="46" fillId="0" borderId="15" xfId="11" applyNumberFormat="1" applyFont="1" applyBorder="1"/>
    <xf numFmtId="4" fontId="21" fillId="0" borderId="17" xfId="11" applyNumberFormat="1" applyFont="1" applyBorder="1"/>
    <xf numFmtId="3" fontId="4" fillId="0" borderId="19" xfId="11" applyNumberFormat="1" applyFont="1" applyBorder="1"/>
    <xf numFmtId="4" fontId="25" fillId="0" borderId="19" xfId="11" applyNumberFormat="1" applyFont="1" applyBorder="1"/>
    <xf numFmtId="4" fontId="25" fillId="0" borderId="20" xfId="11" applyNumberFormat="1" applyFont="1" applyBorder="1"/>
    <xf numFmtId="4" fontId="25" fillId="0" borderId="18" xfId="11" applyNumberFormat="1" applyFont="1" applyBorder="1"/>
    <xf numFmtId="4" fontId="22" fillId="0" borderId="40" xfId="11" applyNumberFormat="1" applyFont="1" applyBorder="1"/>
    <xf numFmtId="0" fontId="25" fillId="0" borderId="0" xfId="11" applyFont="1" applyAlignment="1">
      <alignment horizontal="center"/>
    </xf>
    <xf numFmtId="4" fontId="25" fillId="0" borderId="0" xfId="11" applyNumberFormat="1" applyFont="1"/>
    <xf numFmtId="4" fontId="22" fillId="8" borderId="0" xfId="11" applyNumberFormat="1" applyFont="1" applyFill="1"/>
    <xf numFmtId="0" fontId="8" fillId="0" borderId="0" xfId="0" applyFont="1" applyAlignment="1">
      <alignment horizontal="left"/>
    </xf>
    <xf numFmtId="3" fontId="25" fillId="0" borderId="0" xfId="11" applyNumberFormat="1" applyFont="1"/>
    <xf numFmtId="3" fontId="22" fillId="0" borderId="0" xfId="11" applyNumberFormat="1" applyFont="1"/>
    <xf numFmtId="0" fontId="21" fillId="0" borderId="11" xfId="11" applyFont="1" applyBorder="1"/>
    <xf numFmtId="3" fontId="21" fillId="0" borderId="15" xfId="11" applyNumberFormat="1" applyFont="1" applyBorder="1"/>
    <xf numFmtId="3" fontId="25" fillId="0" borderId="63" xfId="11" applyNumberFormat="1" applyFont="1" applyBorder="1"/>
    <xf numFmtId="0" fontId="21" fillId="0" borderId="55" xfId="11" applyFont="1" applyBorder="1"/>
    <xf numFmtId="3" fontId="21" fillId="0" borderId="17" xfId="11" applyNumberFormat="1" applyFont="1" applyBorder="1"/>
    <xf numFmtId="3" fontId="21" fillId="0" borderId="25" xfId="11" applyNumberFormat="1" applyFont="1" applyBorder="1"/>
    <xf numFmtId="3" fontId="4" fillId="8" borderId="0" xfId="11" applyNumberFormat="1" applyFont="1" applyFill="1"/>
    <xf numFmtId="0" fontId="25" fillId="8" borderId="0" xfId="11" applyFont="1" applyFill="1" applyAlignment="1">
      <alignment horizontal="center"/>
    </xf>
    <xf numFmtId="3" fontId="25" fillId="8" borderId="0" xfId="11" applyNumberFormat="1" applyFont="1" applyFill="1"/>
    <xf numFmtId="0" fontId="25" fillId="8" borderId="0" xfId="11" applyFont="1" applyFill="1"/>
    <xf numFmtId="3" fontId="22" fillId="8" borderId="0" xfId="11" applyNumberFormat="1" applyFont="1" applyFill="1"/>
    <xf numFmtId="3" fontId="21" fillId="8" borderId="24" xfId="11" applyNumberFormat="1" applyFont="1" applyFill="1" applyBorder="1" applyAlignment="1">
      <alignment vertical="center"/>
    </xf>
    <xf numFmtId="0" fontId="5" fillId="8" borderId="25" xfId="11" applyFill="1" applyBorder="1" applyAlignment="1">
      <alignment vertical="center"/>
    </xf>
    <xf numFmtId="3" fontId="21" fillId="0" borderId="15" xfId="11" applyNumberFormat="1" applyFont="1" applyBorder="1" applyAlignment="1">
      <alignment vertical="center"/>
    </xf>
    <xf numFmtId="3" fontId="5" fillId="8" borderId="0" xfId="11" applyNumberFormat="1" applyFill="1" applyAlignment="1">
      <alignment vertical="center"/>
    </xf>
    <xf numFmtId="3" fontId="25" fillId="0" borderId="19" xfId="11" applyNumberFormat="1" applyFont="1" applyBorder="1"/>
    <xf numFmtId="3" fontId="25" fillId="0" borderId="20" xfId="11" applyNumberFormat="1" applyFont="1" applyBorder="1"/>
    <xf numFmtId="3" fontId="22" fillId="0" borderId="40" xfId="11" applyNumberFormat="1" applyFont="1" applyBorder="1"/>
    <xf numFmtId="0" fontId="21" fillId="0" borderId="0" xfId="11" applyFont="1"/>
    <xf numFmtId="0" fontId="25" fillId="0" borderId="0" xfId="11" applyFont="1"/>
    <xf numFmtId="3" fontId="22" fillId="0" borderId="19" xfId="11" applyNumberFormat="1" applyFont="1" applyBorder="1"/>
    <xf numFmtId="3" fontId="22" fillId="0" borderId="20" xfId="11" applyNumberFormat="1" applyFont="1" applyBorder="1"/>
    <xf numFmtId="3" fontId="22" fillId="0" borderId="22" xfId="11" applyNumberFormat="1" applyFont="1" applyBorder="1"/>
    <xf numFmtId="0" fontId="7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7" fillId="8" borderId="0" xfId="11" applyFont="1" applyFill="1"/>
    <xf numFmtId="0" fontId="21" fillId="0" borderId="0" xfId="11" applyFont="1" applyAlignment="1">
      <alignment horizontal="left"/>
    </xf>
    <xf numFmtId="0" fontId="21" fillId="8" borderId="2" xfId="11" applyFont="1" applyFill="1" applyBorder="1"/>
    <xf numFmtId="3" fontId="21" fillId="8" borderId="52" xfId="11" applyNumberFormat="1" applyFont="1" applyFill="1" applyBorder="1"/>
    <xf numFmtId="3" fontId="21" fillId="8" borderId="1" xfId="11" applyNumberFormat="1" applyFont="1" applyFill="1" applyBorder="1"/>
    <xf numFmtId="3" fontId="4" fillId="0" borderId="20" xfId="11" applyNumberFormat="1" applyFont="1" applyBorder="1"/>
    <xf numFmtId="3" fontId="4" fillId="0" borderId="42" xfId="11" applyNumberFormat="1" applyFont="1" applyBorder="1"/>
    <xf numFmtId="3" fontId="4" fillId="0" borderId="40" xfId="11" applyNumberFormat="1" applyFont="1" applyBorder="1"/>
    <xf numFmtId="0" fontId="21" fillId="0" borderId="0" xfId="11" applyFont="1" applyAlignment="1">
      <alignment horizontal="center"/>
    </xf>
    <xf numFmtId="0" fontId="29" fillId="0" borderId="0" xfId="11" applyFont="1"/>
    <xf numFmtId="3" fontId="4" fillId="0" borderId="0" xfId="11" applyNumberFormat="1" applyFont="1" applyAlignment="1">
      <alignment vertical="center"/>
    </xf>
    <xf numFmtId="3" fontId="38" fillId="0" borderId="0" xfId="11" applyNumberFormat="1" applyFont="1" applyAlignment="1">
      <alignment vertical="center"/>
    </xf>
    <xf numFmtId="0" fontId="39" fillId="0" borderId="0" xfId="11" applyFont="1" applyAlignment="1">
      <alignment vertical="center"/>
    </xf>
    <xf numFmtId="3" fontId="38" fillId="0" borderId="0" xfId="11" applyNumberFormat="1" applyFont="1"/>
    <xf numFmtId="0" fontId="30" fillId="0" borderId="0" xfId="11" applyFont="1"/>
    <xf numFmtId="181" fontId="4" fillId="0" borderId="14" xfId="11" applyNumberFormat="1" applyFont="1" applyBorder="1" applyAlignment="1">
      <alignment horizontal="center"/>
    </xf>
    <xf numFmtId="183" fontId="0" fillId="0" borderId="0" xfId="30" applyNumberFormat="1" applyFont="1"/>
    <xf numFmtId="3" fontId="25" fillId="8" borderId="42" xfId="11" applyNumberFormat="1" applyFont="1" applyFill="1" applyBorder="1"/>
    <xf numFmtId="3" fontId="53" fillId="0" borderId="0" xfId="11" applyNumberFormat="1" applyFont="1"/>
    <xf numFmtId="0" fontId="53" fillId="0" borderId="0" xfId="11" applyFont="1"/>
    <xf numFmtId="0" fontId="54" fillId="0" borderId="0" xfId="11" applyFont="1"/>
    <xf numFmtId="43" fontId="54" fillId="0" borderId="0" xfId="30" applyFont="1"/>
    <xf numFmtId="3" fontId="25" fillId="8" borderId="28" xfId="11" applyNumberFormat="1" applyFont="1" applyFill="1" applyBorder="1"/>
    <xf numFmtId="3" fontId="25" fillId="8" borderId="148" xfId="11" applyNumberFormat="1" applyFont="1" applyFill="1" applyBorder="1"/>
    <xf numFmtId="3" fontId="25" fillId="8" borderId="32" xfId="11" applyNumberFormat="1" applyFont="1" applyFill="1" applyBorder="1"/>
    <xf numFmtId="0" fontId="2" fillId="0" borderId="4" xfId="11" applyFont="1" applyBorder="1" applyAlignment="1">
      <alignment horizontal="center"/>
    </xf>
    <xf numFmtId="169" fontId="5" fillId="0" borderId="47" xfId="11" applyNumberFormat="1" applyBorder="1" applyAlignment="1">
      <alignment horizontal="center"/>
    </xf>
    <xf numFmtId="169" fontId="5" fillId="0" borderId="48" xfId="11" applyNumberFormat="1" applyBorder="1" applyAlignment="1">
      <alignment horizontal="center"/>
    </xf>
    <xf numFmtId="169" fontId="5" fillId="0" borderId="46" xfId="11" applyNumberFormat="1" applyBorder="1"/>
    <xf numFmtId="169" fontId="5" fillId="0" borderId="49" xfId="11" applyNumberFormat="1" applyBorder="1"/>
    <xf numFmtId="168" fontId="5" fillId="0" borderId="46" xfId="11" applyNumberFormat="1" applyBorder="1"/>
    <xf numFmtId="4" fontId="21" fillId="0" borderId="84" xfId="11" applyNumberFormat="1" applyFont="1" applyBorder="1"/>
    <xf numFmtId="4" fontId="21" fillId="0" borderId="163" xfId="11" applyNumberFormat="1" applyFont="1" applyBorder="1"/>
    <xf numFmtId="4" fontId="21" fillId="0" borderId="0" xfId="11" applyNumberFormat="1" applyFont="1"/>
    <xf numFmtId="4" fontId="21" fillId="0" borderId="24" xfId="11" applyNumberFormat="1" applyFont="1" applyBorder="1"/>
    <xf numFmtId="3" fontId="21" fillId="0" borderId="11" xfId="11" applyNumberFormat="1" applyFont="1" applyBorder="1"/>
    <xf numFmtId="3" fontId="21" fillId="0" borderId="14" xfId="11" applyNumberFormat="1" applyFont="1" applyBorder="1"/>
    <xf numFmtId="3" fontId="21" fillId="0" borderId="21" xfId="11" applyNumberFormat="1" applyFont="1" applyBorder="1"/>
    <xf numFmtId="3" fontId="21" fillId="0" borderId="24" xfId="11" applyNumberFormat="1" applyFont="1" applyBorder="1"/>
    <xf numFmtId="3" fontId="21" fillId="0" borderId="163" xfId="11" applyNumberFormat="1" applyFont="1" applyBorder="1"/>
    <xf numFmtId="3" fontId="21" fillId="0" borderId="91" xfId="11" applyNumberFormat="1" applyFont="1" applyBorder="1"/>
    <xf numFmtId="3" fontId="21" fillId="0" borderId="41" xfId="11" applyNumberFormat="1" applyFont="1" applyBorder="1"/>
    <xf numFmtId="3" fontId="22" fillId="8" borderId="40" xfId="11" applyNumberFormat="1" applyFont="1" applyFill="1" applyBorder="1"/>
    <xf numFmtId="3" fontId="22" fillId="8" borderId="63" xfId="11" applyNumberFormat="1" applyFont="1" applyFill="1" applyBorder="1"/>
    <xf numFmtId="3" fontId="21" fillId="0" borderId="1" xfId="11" applyNumberFormat="1" applyFont="1" applyBorder="1"/>
    <xf numFmtId="3" fontId="21" fillId="0" borderId="0" xfId="11" applyNumberFormat="1" applyFont="1"/>
    <xf numFmtId="0" fontId="21" fillId="8" borderId="55" xfId="11" applyFont="1" applyFill="1" applyBorder="1"/>
    <xf numFmtId="0" fontId="21" fillId="8" borderId="12" xfId="11" applyFont="1" applyFill="1" applyBorder="1"/>
    <xf numFmtId="3" fontId="21" fillId="8" borderId="76" xfId="11" applyNumberFormat="1" applyFont="1" applyFill="1" applyBorder="1"/>
    <xf numFmtId="3" fontId="21" fillId="8" borderId="84" xfId="11" applyNumberFormat="1" applyFont="1" applyFill="1" applyBorder="1"/>
    <xf numFmtId="165" fontId="6" fillId="2" borderId="131" xfId="22" applyNumberFormat="1" applyFont="1" applyFill="1" applyBorder="1" applyAlignment="1">
      <alignment horizontal="center" vertical="center"/>
    </xf>
    <xf numFmtId="0" fontId="7" fillId="0" borderId="0" xfId="11" applyFont="1"/>
    <xf numFmtId="4" fontId="25" fillId="0" borderId="63" xfId="11" applyNumberFormat="1" applyFont="1" applyBorder="1"/>
    <xf numFmtId="0" fontId="1" fillId="0" borderId="4" xfId="11" applyFont="1" applyBorder="1" applyAlignment="1">
      <alignment horizontal="center"/>
    </xf>
    <xf numFmtId="0" fontId="2" fillId="7" borderId="4" xfId="11" applyFont="1" applyFill="1" applyBorder="1" applyAlignment="1">
      <alignment horizontal="center"/>
    </xf>
    <xf numFmtId="3" fontId="21" fillId="0" borderId="91" xfId="11" applyNumberFormat="1" applyFont="1" applyBorder="1" applyAlignment="1">
      <alignment vertical="center"/>
    </xf>
    <xf numFmtId="4" fontId="21" fillId="0" borderId="36" xfId="11" applyNumberFormat="1" applyFont="1" applyBorder="1"/>
    <xf numFmtId="3" fontId="21" fillId="0" borderId="55" xfId="11" applyNumberFormat="1" applyFont="1" applyBorder="1"/>
    <xf numFmtId="3" fontId="21" fillId="0" borderId="2" xfId="11" applyNumberFormat="1" applyFont="1" applyBorder="1"/>
    <xf numFmtId="0" fontId="21" fillId="8" borderId="5" xfId="11" applyFont="1" applyFill="1" applyBorder="1" applyAlignment="1">
      <alignment horizontal="left" vertical="center" wrapText="1"/>
    </xf>
    <xf numFmtId="3" fontId="21" fillId="8" borderId="36" xfId="11" applyNumberFormat="1" applyFont="1" applyFill="1" applyBorder="1" applyAlignment="1">
      <alignment vertical="center"/>
    </xf>
    <xf numFmtId="3" fontId="21" fillId="8" borderId="38" xfId="11" applyNumberFormat="1" applyFont="1" applyFill="1" applyBorder="1" applyAlignment="1">
      <alignment vertical="center"/>
    </xf>
    <xf numFmtId="0" fontId="5" fillId="8" borderId="38" xfId="11" applyFill="1" applyBorder="1" applyAlignment="1">
      <alignment vertical="center"/>
    </xf>
    <xf numFmtId="3" fontId="21" fillId="0" borderId="1" xfId="11" applyNumberFormat="1" applyFont="1" applyBorder="1" applyAlignment="1">
      <alignment vertical="center"/>
    </xf>
    <xf numFmtId="3" fontId="21" fillId="0" borderId="36" xfId="11" applyNumberFormat="1" applyFont="1" applyBorder="1" applyAlignment="1">
      <alignment vertical="center"/>
    </xf>
    <xf numFmtId="3" fontId="21" fillId="0" borderId="0" xfId="11" applyNumberFormat="1" applyFont="1" applyAlignment="1">
      <alignment vertical="center"/>
    </xf>
    <xf numFmtId="3" fontId="4" fillId="0" borderId="22" xfId="11" applyNumberFormat="1" applyFont="1" applyBorder="1"/>
    <xf numFmtId="0" fontId="45" fillId="13" borderId="48" xfId="11" applyFont="1" applyFill="1" applyBorder="1" applyAlignment="1">
      <alignment horizontal="center" vertical="center"/>
    </xf>
    <xf numFmtId="0" fontId="45" fillId="13" borderId="2" xfId="11" applyFont="1" applyFill="1" applyBorder="1" applyAlignment="1">
      <alignment horizontal="center" vertical="center"/>
    </xf>
    <xf numFmtId="0" fontId="45" fillId="13" borderId="46" xfId="11" applyFont="1" applyFill="1" applyBorder="1" applyAlignment="1">
      <alignment horizontal="center" vertical="center"/>
    </xf>
    <xf numFmtId="0" fontId="45" fillId="13" borderId="45" xfId="11" applyFont="1" applyFill="1" applyBorder="1" applyAlignment="1">
      <alignment horizontal="center" vertical="center"/>
    </xf>
    <xf numFmtId="0" fontId="45" fillId="13" borderId="21" xfId="11" applyFont="1" applyFill="1" applyBorder="1" applyAlignment="1">
      <alignment horizontal="center" vertical="center"/>
    </xf>
    <xf numFmtId="0" fontId="45" fillId="13" borderId="67" xfId="11" applyFont="1" applyFill="1" applyBorder="1" applyAlignment="1">
      <alignment horizontal="center" vertical="center"/>
    </xf>
    <xf numFmtId="0" fontId="52" fillId="13" borderId="26" xfId="11" applyFont="1" applyFill="1" applyBorder="1" applyAlignment="1">
      <alignment horizontal="center"/>
    </xf>
    <xf numFmtId="0" fontId="52" fillId="13" borderId="22" xfId="11" applyFont="1" applyFill="1" applyBorder="1"/>
    <xf numFmtId="0" fontId="50" fillId="13" borderId="19" xfId="11" applyFont="1" applyFill="1" applyBorder="1" applyAlignment="1">
      <alignment horizontal="center"/>
    </xf>
    <xf numFmtId="0" fontId="50" fillId="13" borderId="18" xfId="11" applyFont="1" applyFill="1" applyBorder="1" applyAlignment="1">
      <alignment horizontal="center"/>
    </xf>
    <xf numFmtId="0" fontId="50" fillId="13" borderId="42" xfId="11" applyFont="1" applyFill="1" applyBorder="1" applyAlignment="1">
      <alignment horizontal="center"/>
    </xf>
    <xf numFmtId="0" fontId="50" fillId="13" borderId="20" xfId="11" applyFont="1" applyFill="1" applyBorder="1" applyAlignment="1">
      <alignment horizontal="center"/>
    </xf>
    <xf numFmtId="0" fontId="45" fillId="13" borderId="40" xfId="11" applyFont="1" applyFill="1" applyBorder="1" applyAlignment="1">
      <alignment horizontal="center"/>
    </xf>
    <xf numFmtId="0" fontId="52" fillId="13" borderId="62" xfId="11" applyFont="1" applyFill="1" applyBorder="1"/>
    <xf numFmtId="0" fontId="52" fillId="13" borderId="61" xfId="11" applyFont="1" applyFill="1" applyBorder="1" applyAlignment="1">
      <alignment horizontal="center"/>
    </xf>
    <xf numFmtId="0" fontId="52" fillId="13" borderId="19" xfId="11" applyFont="1" applyFill="1" applyBorder="1" applyAlignment="1">
      <alignment horizontal="center"/>
    </xf>
    <xf numFmtId="0" fontId="52" fillId="13" borderId="18" xfId="11" applyFont="1" applyFill="1" applyBorder="1" applyAlignment="1">
      <alignment horizontal="center"/>
    </xf>
    <xf numFmtId="0" fontId="52" fillId="13" borderId="42" xfId="11" applyFont="1" applyFill="1" applyBorder="1" applyAlignment="1">
      <alignment horizontal="center"/>
    </xf>
    <xf numFmtId="0" fontId="52" fillId="13" borderId="58" xfId="11" applyFont="1" applyFill="1" applyBorder="1" applyAlignment="1">
      <alignment horizontal="center"/>
    </xf>
    <xf numFmtId="0" fontId="55" fillId="13" borderId="40" xfId="11" applyFont="1" applyFill="1" applyBorder="1" applyAlignment="1">
      <alignment horizontal="center"/>
    </xf>
    <xf numFmtId="3" fontId="55" fillId="13" borderId="36" xfId="11" applyNumberFormat="1" applyFont="1" applyFill="1" applyBorder="1"/>
    <xf numFmtId="3" fontId="55" fillId="13" borderId="38" xfId="11" applyNumberFormat="1" applyFont="1" applyFill="1" applyBorder="1"/>
    <xf numFmtId="3" fontId="56" fillId="13" borderId="6" xfId="11" applyNumberFormat="1" applyFont="1" applyFill="1" applyBorder="1"/>
    <xf numFmtId="3" fontId="55" fillId="13" borderId="19" xfId="11" applyNumberFormat="1" applyFont="1" applyFill="1" applyBorder="1"/>
    <xf numFmtId="3" fontId="56" fillId="13" borderId="40" xfId="11" applyNumberFormat="1" applyFont="1" applyFill="1" applyBorder="1"/>
    <xf numFmtId="0" fontId="57" fillId="13" borderId="26" xfId="11" applyFont="1" applyFill="1" applyBorder="1" applyAlignment="1">
      <alignment horizontal="center"/>
    </xf>
    <xf numFmtId="0" fontId="55" fillId="13" borderId="58" xfId="11" applyFont="1" applyFill="1" applyBorder="1"/>
    <xf numFmtId="3" fontId="56" fillId="13" borderId="19" xfId="11" applyNumberFormat="1" applyFont="1" applyFill="1" applyBorder="1" applyAlignment="1">
      <alignment vertical="center"/>
    </xf>
    <xf numFmtId="3" fontId="56" fillId="13" borderId="22" xfId="11" applyNumberFormat="1" applyFont="1" applyFill="1" applyBorder="1" applyAlignment="1">
      <alignment vertical="center"/>
    </xf>
    <xf numFmtId="0" fontId="45" fillId="13" borderId="21" xfId="11" applyFont="1" applyFill="1" applyBorder="1" applyAlignment="1">
      <alignment horizontal="center"/>
    </xf>
    <xf numFmtId="0" fontId="45" fillId="13" borderId="14" xfId="11" applyFont="1" applyFill="1" applyBorder="1" applyAlignment="1">
      <alignment horizontal="center"/>
    </xf>
    <xf numFmtId="0" fontId="45" fillId="13" borderId="14" xfId="11" applyFont="1" applyFill="1" applyBorder="1"/>
    <xf numFmtId="0" fontId="41" fillId="2" borderId="0" xfId="11" applyFont="1" applyFill="1" applyAlignment="1">
      <alignment horizontal="center" vertical="center"/>
    </xf>
    <xf numFmtId="0" fontId="40" fillId="2" borderId="0" xfId="11" applyFont="1" applyFill="1" applyAlignment="1">
      <alignment horizontal="center" vertical="center"/>
    </xf>
    <xf numFmtId="0" fontId="45" fillId="13" borderId="60" xfId="11" applyFont="1" applyFill="1" applyBorder="1" applyAlignment="1">
      <alignment horizontal="center" vertical="center"/>
    </xf>
    <xf numFmtId="0" fontId="45" fillId="13" borderId="83" xfId="11" applyFont="1" applyFill="1" applyBorder="1" applyAlignment="1">
      <alignment horizontal="center" vertical="center"/>
    </xf>
    <xf numFmtId="0" fontId="45" fillId="13" borderId="161" xfId="11" applyFont="1" applyFill="1" applyBorder="1" applyAlignment="1">
      <alignment horizontal="center" vertical="center" wrapText="1"/>
    </xf>
    <xf numFmtId="0" fontId="45" fillId="13" borderId="162" xfId="11" applyFont="1" applyFill="1" applyBorder="1" applyAlignment="1">
      <alignment horizontal="center" vertical="center" wrapText="1"/>
    </xf>
    <xf numFmtId="0" fontId="45" fillId="13" borderId="160" xfId="11" applyFont="1" applyFill="1" applyBorder="1" applyAlignment="1">
      <alignment horizontal="center" vertical="center"/>
    </xf>
    <xf numFmtId="0" fontId="47" fillId="13" borderId="11" xfId="11" applyFont="1" applyFill="1" applyBorder="1" applyAlignment="1">
      <alignment horizontal="center" vertical="center"/>
    </xf>
    <xf numFmtId="0" fontId="47" fillId="13" borderId="77" xfId="11" applyFont="1" applyFill="1" applyBorder="1" applyAlignment="1">
      <alignment horizontal="center" vertical="center"/>
    </xf>
    <xf numFmtId="0" fontId="45" fillId="13" borderId="149" xfId="11" applyFont="1" applyFill="1" applyBorder="1" applyAlignment="1">
      <alignment horizontal="center" vertical="center"/>
    </xf>
    <xf numFmtId="0" fontId="47" fillId="13" borderId="84" xfId="11" applyFont="1" applyFill="1" applyBorder="1" applyAlignment="1">
      <alignment horizontal="center" vertical="center"/>
    </xf>
    <xf numFmtId="0" fontId="47" fillId="13" borderId="133" xfId="11" applyFont="1" applyFill="1" applyBorder="1" applyAlignment="1">
      <alignment horizontal="center" vertical="center"/>
    </xf>
    <xf numFmtId="0" fontId="45" fillId="13" borderId="10" xfId="11" applyFont="1" applyFill="1" applyBorder="1" applyAlignment="1">
      <alignment horizontal="center" vertical="center"/>
    </xf>
    <xf numFmtId="0" fontId="45" fillId="13" borderId="62" xfId="11" applyFont="1" applyFill="1" applyBorder="1" applyAlignment="1">
      <alignment horizontal="center" vertical="center" wrapText="1"/>
    </xf>
    <xf numFmtId="0" fontId="45" fillId="13" borderId="82" xfId="11" applyFont="1" applyFill="1" applyBorder="1" applyAlignment="1">
      <alignment horizontal="center" vertical="center" wrapText="1"/>
    </xf>
    <xf numFmtId="0" fontId="44" fillId="0" borderId="0" xfId="11" applyFont="1" applyAlignment="1">
      <alignment horizontal="left"/>
    </xf>
    <xf numFmtId="0" fontId="25" fillId="0" borderId="26" xfId="11" applyFont="1" applyBorder="1" applyAlignment="1">
      <alignment horizontal="center"/>
    </xf>
    <xf numFmtId="0" fontId="25" fillId="0" borderId="22" xfId="11" applyFont="1" applyBorder="1" applyAlignment="1">
      <alignment horizontal="center"/>
    </xf>
    <xf numFmtId="0" fontId="25" fillId="8" borderId="153" xfId="11" applyFont="1" applyFill="1" applyBorder="1" applyAlignment="1">
      <alignment horizontal="center"/>
    </xf>
    <xf numFmtId="0" fontId="25" fillId="8" borderId="58" xfId="11" applyFont="1" applyFill="1" applyBorder="1" applyAlignment="1">
      <alignment horizontal="center"/>
    </xf>
    <xf numFmtId="0" fontId="25" fillId="0" borderId="153" xfId="11" applyFont="1" applyBorder="1" applyAlignment="1">
      <alignment horizontal="center"/>
    </xf>
    <xf numFmtId="0" fontId="25" fillId="0" borderId="58" xfId="11" applyFont="1" applyBorder="1" applyAlignment="1">
      <alignment horizontal="center"/>
    </xf>
    <xf numFmtId="0" fontId="56" fillId="13" borderId="26" xfId="11" applyFont="1" applyFill="1" applyBorder="1" applyAlignment="1">
      <alignment horizontal="center" vertical="center"/>
    </xf>
    <xf numFmtId="0" fontId="56" fillId="13" borderId="19" xfId="11" applyFont="1" applyFill="1" applyBorder="1" applyAlignment="1">
      <alignment horizontal="center" vertical="center"/>
    </xf>
    <xf numFmtId="0" fontId="55" fillId="13" borderId="35" xfId="11" applyFont="1" applyFill="1" applyBorder="1" applyAlignment="1">
      <alignment horizontal="center"/>
    </xf>
    <xf numFmtId="0" fontId="55" fillId="13" borderId="36" xfId="11" applyFont="1" applyFill="1" applyBorder="1" applyAlignment="1">
      <alignment horizontal="center"/>
    </xf>
    <xf numFmtId="0" fontId="55" fillId="13" borderId="26" xfId="11" applyFont="1" applyFill="1" applyBorder="1" applyAlignment="1">
      <alignment horizontal="center"/>
    </xf>
    <xf numFmtId="0" fontId="55" fillId="13" borderId="19" xfId="11" applyFont="1" applyFill="1" applyBorder="1" applyAlignment="1">
      <alignment horizontal="center"/>
    </xf>
    <xf numFmtId="0" fontId="9" fillId="0" borderId="0" xfId="11" applyFont="1" applyAlignment="1">
      <alignment horizontal="left"/>
    </xf>
    <xf numFmtId="0" fontId="45" fillId="13" borderId="21" xfId="11" applyFont="1" applyFill="1" applyBorder="1" applyAlignment="1">
      <alignment horizontal="center" vertical="center" wrapText="1"/>
    </xf>
    <xf numFmtId="0" fontId="45" fillId="13" borderId="55" xfId="11" applyFont="1" applyFill="1" applyBorder="1" applyAlignment="1">
      <alignment horizontal="center" vertical="center" wrapText="1"/>
    </xf>
    <xf numFmtId="0" fontId="2" fillId="0" borderId="0" xfId="11" applyFont="1" applyAlignment="1">
      <alignment horizontal="left"/>
    </xf>
    <xf numFmtId="0" fontId="59" fillId="0" borderId="0" xfId="0" applyFont="1" applyAlignment="1">
      <alignment horizontal="left"/>
    </xf>
    <xf numFmtId="0" fontId="60" fillId="0" borderId="0" xfId="0" applyFont="1"/>
    <xf numFmtId="0" fontId="61" fillId="0" borderId="0" xfId="0" applyFont="1"/>
    <xf numFmtId="168" fontId="62" fillId="13" borderId="74" xfId="0" applyNumberFormat="1" applyFont="1" applyFill="1" applyBorder="1" applyAlignment="1">
      <alignment horizontal="center" vertical="center"/>
    </xf>
    <xf numFmtId="168" fontId="62" fillId="13" borderId="61" xfId="0" applyNumberFormat="1" applyFont="1" applyFill="1" applyBorder="1" applyAlignment="1">
      <alignment horizontal="center" vertical="center"/>
    </xf>
    <xf numFmtId="168" fontId="62" fillId="13" borderId="12" xfId="0" applyNumberFormat="1" applyFont="1" applyFill="1" applyBorder="1" applyAlignment="1">
      <alignment horizontal="center" vertical="center"/>
    </xf>
    <xf numFmtId="168" fontId="62" fillId="13" borderId="84" xfId="0" applyNumberFormat="1" applyFont="1" applyFill="1" applyBorder="1" applyAlignment="1">
      <alignment horizontal="center" vertical="center"/>
    </xf>
    <xf numFmtId="168" fontId="62" fillId="13" borderId="76" xfId="0" applyNumberFormat="1" applyFont="1" applyFill="1" applyBorder="1" applyAlignment="1">
      <alignment horizontal="center" vertical="center"/>
    </xf>
    <xf numFmtId="168" fontId="61" fillId="0" borderId="0" xfId="0" applyNumberFormat="1" applyFont="1" applyAlignment="1">
      <alignment horizontal="centerContinuous"/>
    </xf>
    <xf numFmtId="168" fontId="61" fillId="10" borderId="0" xfId="0" applyNumberFormat="1" applyFont="1" applyFill="1" applyAlignment="1">
      <alignment horizontal="centerContinuous"/>
    </xf>
    <xf numFmtId="0" fontId="61" fillId="8" borderId="0" xfId="0" applyFont="1" applyFill="1"/>
    <xf numFmtId="168" fontId="62" fillId="13" borderId="6" xfId="0" applyNumberFormat="1" applyFont="1" applyFill="1" applyBorder="1" applyAlignment="1">
      <alignment horizontal="center" vertical="center"/>
    </xf>
    <xf numFmtId="168" fontId="62" fillId="13" borderId="35" xfId="0" applyNumberFormat="1" applyFont="1" applyFill="1" applyBorder="1" applyAlignment="1">
      <alignment horizontal="center" vertical="center"/>
    </xf>
    <xf numFmtId="168" fontId="63" fillId="13" borderId="75" xfId="0" applyNumberFormat="1" applyFont="1" applyFill="1" applyBorder="1"/>
    <xf numFmtId="168" fontId="63" fillId="13" borderId="24" xfId="0" applyNumberFormat="1" applyFont="1" applyFill="1" applyBorder="1" applyAlignment="1">
      <alignment horizontal="center"/>
    </xf>
    <xf numFmtId="168" fontId="64" fillId="13" borderId="75" xfId="0" applyNumberFormat="1" applyFont="1" applyFill="1" applyBorder="1" applyAlignment="1">
      <alignment horizontal="center"/>
    </xf>
    <xf numFmtId="168" fontId="64" fillId="13" borderId="24" xfId="0" applyNumberFormat="1" applyFont="1" applyFill="1" applyBorder="1" applyAlignment="1">
      <alignment horizontal="center"/>
    </xf>
    <xf numFmtId="168" fontId="63" fillId="13" borderId="25" xfId="0" applyNumberFormat="1" applyFont="1" applyFill="1" applyBorder="1" applyAlignment="1">
      <alignment horizontal="center"/>
    </xf>
    <xf numFmtId="168" fontId="65" fillId="0" borderId="0" xfId="0" applyNumberFormat="1" applyFont="1" applyAlignment="1">
      <alignment horizontal="center"/>
    </xf>
    <xf numFmtId="168" fontId="65" fillId="10" borderId="0" xfId="0" applyNumberFormat="1" applyFont="1" applyFill="1" applyAlignment="1">
      <alignment horizontal="center"/>
    </xf>
    <xf numFmtId="1" fontId="61" fillId="8" borderId="0" xfId="0" applyNumberFormat="1" applyFont="1" applyFill="1"/>
    <xf numFmtId="0" fontId="61" fillId="8" borderId="0" xfId="10" applyFont="1" applyFill="1"/>
    <xf numFmtId="167" fontId="61" fillId="8" borderId="0" xfId="0" applyNumberFormat="1" applyFont="1" applyFill="1"/>
    <xf numFmtId="167" fontId="61" fillId="0" borderId="0" xfId="0" applyNumberFormat="1" applyFont="1"/>
    <xf numFmtId="3" fontId="60" fillId="2" borderId="3" xfId="0" applyNumberFormat="1" applyFont="1" applyFill="1" applyBorder="1" applyAlignment="1">
      <alignment horizontal="center"/>
    </xf>
    <xf numFmtId="169" fontId="66" fillId="2" borderId="52" xfId="0" applyNumberFormat="1" applyFont="1" applyFill="1" applyBorder="1"/>
    <xf numFmtId="169" fontId="60" fillId="2" borderId="52" xfId="0" applyNumberFormat="1" applyFont="1" applyFill="1" applyBorder="1"/>
    <xf numFmtId="169" fontId="60" fillId="2" borderId="1" xfId="0" applyNumberFormat="1" applyFont="1" applyFill="1" applyBorder="1"/>
    <xf numFmtId="168" fontId="60" fillId="2" borderId="2" xfId="0" quotePrefix="1" applyNumberFormat="1" applyFont="1" applyFill="1" applyBorder="1" applyAlignment="1">
      <alignment horizontal="center"/>
    </xf>
    <xf numFmtId="169" fontId="60" fillId="2" borderId="0" xfId="0" applyNumberFormat="1" applyFont="1" applyFill="1"/>
    <xf numFmtId="169" fontId="60" fillId="2" borderId="2" xfId="0" applyNumberFormat="1" applyFont="1" applyFill="1" applyBorder="1"/>
    <xf numFmtId="168" fontId="60" fillId="2" borderId="1" xfId="0" applyNumberFormat="1" applyFont="1" applyFill="1" applyBorder="1"/>
    <xf numFmtId="169" fontId="61" fillId="0" borderId="0" xfId="0" applyNumberFormat="1" applyFont="1"/>
    <xf numFmtId="169" fontId="61" fillId="2" borderId="0" xfId="0" applyNumberFormat="1" applyFont="1" applyFill="1"/>
    <xf numFmtId="0" fontId="60" fillId="3" borderId="3" xfId="0" applyFont="1" applyFill="1" applyBorder="1" applyAlignment="1">
      <alignment horizontal="center"/>
    </xf>
    <xf numFmtId="167" fontId="66" fillId="3" borderId="52" xfId="0" applyNumberFormat="1" applyFont="1" applyFill="1" applyBorder="1"/>
    <xf numFmtId="167" fontId="60" fillId="3" borderId="52" xfId="0" applyNumberFormat="1" applyFont="1" applyFill="1" applyBorder="1"/>
    <xf numFmtId="167" fontId="60" fillId="3" borderId="1" xfId="0" applyNumberFormat="1" applyFont="1" applyFill="1" applyBorder="1"/>
    <xf numFmtId="167" fontId="60" fillId="3" borderId="2" xfId="0" quotePrefix="1" applyNumberFormat="1" applyFont="1" applyFill="1" applyBorder="1" applyAlignment="1">
      <alignment horizontal="center"/>
    </xf>
    <xf numFmtId="167" fontId="60" fillId="3" borderId="2" xfId="0" applyNumberFormat="1" applyFont="1" applyFill="1" applyBorder="1"/>
    <xf numFmtId="169" fontId="61" fillId="3" borderId="0" xfId="0" applyNumberFormat="1" applyFont="1" applyFill="1"/>
    <xf numFmtId="0" fontId="60" fillId="2" borderId="3" xfId="0" applyFont="1" applyFill="1" applyBorder="1" applyAlignment="1">
      <alignment horizontal="center"/>
    </xf>
    <xf numFmtId="167" fontId="66" fillId="2" borderId="52" xfId="0" applyNumberFormat="1" applyFont="1" applyFill="1" applyBorder="1"/>
    <xf numFmtId="167" fontId="60" fillId="2" borderId="52" xfId="0" applyNumberFormat="1" applyFont="1" applyFill="1" applyBorder="1"/>
    <xf numFmtId="167" fontId="60" fillId="2" borderId="2" xfId="0" applyNumberFormat="1" applyFont="1" applyFill="1" applyBorder="1"/>
    <xf numFmtId="167" fontId="60" fillId="2" borderId="2" xfId="0" applyNumberFormat="1" applyFont="1" applyFill="1" applyBorder="1" applyAlignment="1">
      <alignment horizontal="right"/>
    </xf>
    <xf numFmtId="167" fontId="60" fillId="2" borderId="1" xfId="0" applyNumberFormat="1" applyFont="1" applyFill="1" applyBorder="1"/>
    <xf numFmtId="167" fontId="60" fillId="3" borderId="2" xfId="0" applyNumberFormat="1" applyFont="1" applyFill="1" applyBorder="1" applyAlignment="1">
      <alignment horizontal="right"/>
    </xf>
    <xf numFmtId="0" fontId="60" fillId="0" borderId="3" xfId="0" applyFont="1" applyBorder="1" applyAlignment="1">
      <alignment horizontal="center"/>
    </xf>
    <xf numFmtId="167" fontId="66" fillId="0" borderId="52" xfId="0" applyNumberFormat="1" applyFont="1" applyBorder="1"/>
    <xf numFmtId="167" fontId="60" fillId="0" borderId="52" xfId="0" applyNumberFormat="1" applyFont="1" applyBorder="1"/>
    <xf numFmtId="167" fontId="60" fillId="0" borderId="1" xfId="0" applyNumberFormat="1" applyFont="1" applyBorder="1"/>
    <xf numFmtId="167" fontId="60" fillId="0" borderId="2" xfId="0" applyNumberFormat="1" applyFont="1" applyBorder="1"/>
    <xf numFmtId="0" fontId="60" fillId="7" borderId="3" xfId="0" applyFont="1" applyFill="1" applyBorder="1" applyAlignment="1">
      <alignment horizontal="center"/>
    </xf>
    <xf numFmtId="167" fontId="66" fillId="7" borderId="52" xfId="0" applyNumberFormat="1" applyFont="1" applyFill="1" applyBorder="1"/>
    <xf numFmtId="167" fontId="60" fillId="7" borderId="52" xfId="0" applyNumberFormat="1" applyFont="1" applyFill="1" applyBorder="1"/>
    <xf numFmtId="167" fontId="60" fillId="7" borderId="1" xfId="0" applyNumberFormat="1" applyFont="1" applyFill="1" applyBorder="1"/>
    <xf numFmtId="167" fontId="60" fillId="7" borderId="2" xfId="0" applyNumberFormat="1" applyFont="1" applyFill="1" applyBorder="1"/>
    <xf numFmtId="169" fontId="61" fillId="7" borderId="0" xfId="0" applyNumberFormat="1" applyFont="1" applyFill="1"/>
    <xf numFmtId="0" fontId="60" fillId="8" borderId="3" xfId="0" applyFont="1" applyFill="1" applyBorder="1" applyAlignment="1">
      <alignment horizontal="center"/>
    </xf>
    <xf numFmtId="167" fontId="66" fillId="8" borderId="52" xfId="0" applyNumberFormat="1" applyFont="1" applyFill="1" applyBorder="1"/>
    <xf numFmtId="167" fontId="60" fillId="8" borderId="52" xfId="0" applyNumberFormat="1" applyFont="1" applyFill="1" applyBorder="1"/>
    <xf numFmtId="167" fontId="60" fillId="8" borderId="1" xfId="0" applyNumberFormat="1" applyFont="1" applyFill="1" applyBorder="1"/>
    <xf numFmtId="167" fontId="60" fillId="8" borderId="2" xfId="0" applyNumberFormat="1" applyFont="1" applyFill="1" applyBorder="1"/>
    <xf numFmtId="169" fontId="61" fillId="8" borderId="0" xfId="0" applyNumberFormat="1" applyFont="1" applyFill="1"/>
    <xf numFmtId="0" fontId="66" fillId="7" borderId="3" xfId="0" applyFont="1" applyFill="1" applyBorder="1" applyAlignment="1">
      <alignment horizontal="center"/>
    </xf>
    <xf numFmtId="175" fontId="60" fillId="0" borderId="6" xfId="0" applyNumberFormat="1" applyFont="1" applyBorder="1" applyAlignment="1">
      <alignment horizontal="center"/>
    </xf>
    <xf numFmtId="169" fontId="66" fillId="0" borderId="37" xfId="0" applyNumberFormat="1" applyFont="1" applyBorder="1"/>
    <xf numFmtId="169" fontId="60" fillId="0" borderId="37" xfId="0" applyNumberFormat="1" applyFont="1" applyBorder="1"/>
    <xf numFmtId="169" fontId="60" fillId="0" borderId="38" xfId="0" applyNumberFormat="1" applyFont="1" applyBorder="1"/>
    <xf numFmtId="169" fontId="60" fillId="0" borderId="36" xfId="0" applyNumberFormat="1" applyFont="1" applyBorder="1"/>
    <xf numFmtId="168" fontId="60" fillId="0" borderId="36" xfId="0" applyNumberFormat="1" applyFont="1" applyBorder="1"/>
    <xf numFmtId="0" fontId="67" fillId="3" borderId="9" xfId="0" applyFont="1" applyFill="1" applyBorder="1"/>
    <xf numFmtId="165" fontId="68" fillId="3" borderId="64" xfId="25" applyNumberFormat="1" applyFont="1" applyFill="1" applyBorder="1" applyAlignment="1">
      <alignment horizontal="right"/>
    </xf>
    <xf numFmtId="165" fontId="68" fillId="3" borderId="93" xfId="25" applyNumberFormat="1" applyFont="1" applyFill="1" applyBorder="1" applyAlignment="1">
      <alignment horizontal="right"/>
    </xf>
    <xf numFmtId="9" fontId="65" fillId="0" borderId="0" xfId="25" applyFont="1" applyFill="1" applyBorder="1" applyAlignment="1">
      <alignment horizontal="center"/>
    </xf>
    <xf numFmtId="9" fontId="65" fillId="3" borderId="0" xfId="25" applyFont="1" applyFill="1" applyBorder="1" applyAlignment="1">
      <alignment horizontal="center"/>
    </xf>
    <xf numFmtId="0" fontId="67" fillId="0" borderId="53" xfId="0" applyFont="1" applyBorder="1"/>
    <xf numFmtId="165" fontId="68" fillId="0" borderId="65" xfId="25" applyNumberFormat="1" applyFont="1" applyFill="1" applyBorder="1" applyAlignment="1">
      <alignment horizontal="right"/>
    </xf>
    <xf numFmtId="165" fontId="68" fillId="0" borderId="146" xfId="25" applyNumberFormat="1" applyFont="1" applyFill="1" applyBorder="1" applyAlignment="1">
      <alignment horizontal="right"/>
    </xf>
    <xf numFmtId="0" fontId="67" fillId="3" borderId="53" xfId="0" applyFont="1" applyFill="1" applyBorder="1"/>
    <xf numFmtId="9" fontId="68" fillId="3" borderId="65" xfId="25" applyFont="1" applyFill="1" applyBorder="1" applyAlignment="1">
      <alignment horizontal="right"/>
    </xf>
    <xf numFmtId="9" fontId="68" fillId="3" borderId="146" xfId="25" applyFont="1" applyFill="1" applyBorder="1" applyAlignment="1">
      <alignment horizontal="right"/>
    </xf>
    <xf numFmtId="0" fontId="67" fillId="0" borderId="54" xfId="0" applyFont="1" applyBorder="1"/>
    <xf numFmtId="9" fontId="68" fillId="0" borderId="87" xfId="25" applyFont="1" applyFill="1" applyBorder="1" applyAlignment="1">
      <alignment horizontal="right"/>
    </xf>
    <xf numFmtId="9" fontId="68" fillId="0" borderId="95" xfId="25" applyFont="1" applyFill="1" applyBorder="1" applyAlignment="1">
      <alignment horizontal="right"/>
    </xf>
    <xf numFmtId="165" fontId="68" fillId="0" borderId="95" xfId="25" applyNumberFormat="1" applyFont="1" applyFill="1" applyBorder="1" applyAlignment="1">
      <alignment horizontal="right"/>
    </xf>
    <xf numFmtId="0" fontId="69" fillId="0" borderId="0" xfId="0" applyFont="1"/>
    <xf numFmtId="0" fontId="70" fillId="0" borderId="0" xfId="0" applyFont="1"/>
    <xf numFmtId="0" fontId="61" fillId="0" borderId="0" xfId="0" applyFont="1" applyAlignment="1">
      <alignment horizontal="right"/>
    </xf>
    <xf numFmtId="0" fontId="60" fillId="0" borderId="0" xfId="11" applyFont="1"/>
    <xf numFmtId="0" fontId="61" fillId="0" borderId="0" xfId="11" applyFont="1"/>
    <xf numFmtId="0" fontId="71" fillId="0" borderId="0" xfId="11" applyFont="1" applyAlignment="1">
      <alignment horizontal="centerContinuous"/>
    </xf>
    <xf numFmtId="0" fontId="60" fillId="0" borderId="0" xfId="11" applyFont="1" applyAlignment="1">
      <alignment horizontal="centerContinuous"/>
    </xf>
    <xf numFmtId="168" fontId="62" fillId="13" borderId="76" xfId="11" applyNumberFormat="1" applyFont="1" applyFill="1" applyBorder="1" applyAlignment="1">
      <alignment horizontal="centerContinuous" vertical="center"/>
    </xf>
    <xf numFmtId="168" fontId="62" fillId="13" borderId="11" xfId="11" applyNumberFormat="1" applyFont="1" applyFill="1" applyBorder="1" applyAlignment="1">
      <alignment horizontal="centerContinuous" vertical="center"/>
    </xf>
    <xf numFmtId="168" fontId="72" fillId="13" borderId="11" xfId="11" applyNumberFormat="1" applyFont="1" applyFill="1" applyBorder="1" applyAlignment="1">
      <alignment horizontal="centerContinuous" vertical="center"/>
    </xf>
    <xf numFmtId="168" fontId="72" fillId="13" borderId="12" xfId="11" applyNumberFormat="1" applyFont="1" applyFill="1" applyBorder="1" applyAlignment="1">
      <alignment horizontal="centerContinuous" vertical="center"/>
    </xf>
    <xf numFmtId="168" fontId="72" fillId="13" borderId="77" xfId="11" applyNumberFormat="1" applyFont="1" applyFill="1" applyBorder="1" applyAlignment="1">
      <alignment horizontal="centerContinuous" vertical="center"/>
    </xf>
    <xf numFmtId="168" fontId="63" fillId="13" borderId="75" xfId="11" applyNumberFormat="1" applyFont="1" applyFill="1" applyBorder="1" applyAlignment="1">
      <alignment vertical="center"/>
    </xf>
    <xf numFmtId="168" fontId="63" fillId="13" borderId="24" xfId="11" applyNumberFormat="1" applyFont="1" applyFill="1" applyBorder="1" applyAlignment="1">
      <alignment horizontal="center" vertical="center"/>
    </xf>
    <xf numFmtId="168" fontId="64" fillId="13" borderId="75" xfId="11" applyNumberFormat="1" applyFont="1" applyFill="1" applyBorder="1" applyAlignment="1">
      <alignment horizontal="center" vertical="center"/>
    </xf>
    <xf numFmtId="168" fontId="63" fillId="13" borderId="25" xfId="11" applyNumberFormat="1" applyFont="1" applyFill="1" applyBorder="1" applyAlignment="1">
      <alignment horizontal="center" vertical="center"/>
    </xf>
    <xf numFmtId="168" fontId="63" fillId="13" borderId="78" xfId="11" applyNumberFormat="1" applyFont="1" applyFill="1" applyBorder="1" applyAlignment="1">
      <alignment horizontal="center" vertical="center"/>
    </xf>
    <xf numFmtId="167" fontId="61" fillId="0" borderId="0" xfId="11" applyNumberFormat="1" applyFont="1"/>
    <xf numFmtId="3" fontId="60" fillId="2" borderId="3" xfId="11" applyNumberFormat="1" applyFont="1" applyFill="1" applyBorder="1" applyAlignment="1">
      <alignment horizontal="center"/>
    </xf>
    <xf numFmtId="169" fontId="66" fillId="2" borderId="52" xfId="11" applyNumberFormat="1" applyFont="1" applyFill="1" applyBorder="1"/>
    <xf numFmtId="169" fontId="60" fillId="2" borderId="52" xfId="11" applyNumberFormat="1" applyFont="1" applyFill="1" applyBorder="1"/>
    <xf numFmtId="169" fontId="60" fillId="2" borderId="1" xfId="11" applyNumberFormat="1" applyFont="1" applyFill="1" applyBorder="1"/>
    <xf numFmtId="168" fontId="60" fillId="2" borderId="2" xfId="11" quotePrefix="1" applyNumberFormat="1" applyFont="1" applyFill="1" applyBorder="1" applyAlignment="1">
      <alignment horizontal="center"/>
    </xf>
    <xf numFmtId="169" fontId="60" fillId="2" borderId="0" xfId="11" applyNumberFormat="1" applyFont="1" applyFill="1"/>
    <xf numFmtId="168" fontId="60" fillId="2" borderId="1" xfId="11" applyNumberFormat="1" applyFont="1" applyFill="1" applyBorder="1"/>
    <xf numFmtId="169" fontId="60" fillId="2" borderId="46" xfId="11" applyNumberFormat="1" applyFont="1" applyFill="1" applyBorder="1"/>
    <xf numFmtId="0" fontId="60" fillId="3" borderId="3" xfId="11" applyFont="1" applyFill="1" applyBorder="1" applyAlignment="1">
      <alignment horizontal="center"/>
    </xf>
    <xf numFmtId="4" fontId="66" fillId="3" borderId="52" xfId="11" applyNumberFormat="1" applyFont="1" applyFill="1" applyBorder="1"/>
    <xf numFmtId="167" fontId="60" fillId="3" borderId="46" xfId="0" applyNumberFormat="1" applyFont="1" applyFill="1" applyBorder="1"/>
    <xf numFmtId="0" fontId="60" fillId="2" borderId="3" xfId="11" applyFont="1" applyFill="1" applyBorder="1" applyAlignment="1">
      <alignment horizontal="center"/>
    </xf>
    <xf numFmtId="4" fontId="66" fillId="2" borderId="52" xfId="11" applyNumberFormat="1" applyFont="1" applyFill="1" applyBorder="1"/>
    <xf numFmtId="167" fontId="60" fillId="2" borderId="46" xfId="0" applyNumberFormat="1" applyFont="1" applyFill="1" applyBorder="1"/>
    <xf numFmtId="0" fontId="61" fillId="0" borderId="0" xfId="11" applyFont="1" applyAlignment="1">
      <alignment horizontal="right"/>
    </xf>
    <xf numFmtId="176" fontId="61" fillId="0" borderId="0" xfId="11" applyNumberFormat="1" applyFont="1"/>
    <xf numFmtId="0" fontId="60" fillId="0" borderId="3" xfId="11" applyFont="1" applyBorder="1" applyAlignment="1">
      <alignment horizontal="center"/>
    </xf>
    <xf numFmtId="4" fontId="66" fillId="0" borderId="52" xfId="11" applyNumberFormat="1" applyFont="1" applyBorder="1"/>
    <xf numFmtId="0" fontId="60" fillId="7" borderId="3" xfId="11" applyFont="1" applyFill="1" applyBorder="1" applyAlignment="1">
      <alignment horizontal="center"/>
    </xf>
    <xf numFmtId="4" fontId="66" fillId="7" borderId="52" xfId="11" applyNumberFormat="1" applyFont="1" applyFill="1" applyBorder="1"/>
    <xf numFmtId="0" fontId="60" fillId="8" borderId="3" xfId="11" applyFont="1" applyFill="1" applyBorder="1" applyAlignment="1">
      <alignment horizontal="center"/>
    </xf>
    <xf numFmtId="4" fontId="66" fillId="8" borderId="52" xfId="11" applyNumberFormat="1" applyFont="1" applyFill="1" applyBorder="1"/>
    <xf numFmtId="167" fontId="60" fillId="7" borderId="46" xfId="0" applyNumberFormat="1" applyFont="1" applyFill="1" applyBorder="1"/>
    <xf numFmtId="0" fontId="66" fillId="7" borderId="3" xfId="11" applyFont="1" applyFill="1" applyBorder="1" applyAlignment="1">
      <alignment horizontal="center"/>
    </xf>
    <xf numFmtId="175" fontId="60" fillId="0" borderId="6" xfId="11" applyNumberFormat="1" applyFont="1" applyBorder="1" applyAlignment="1">
      <alignment horizontal="center"/>
    </xf>
    <xf numFmtId="176" fontId="66" fillId="0" borderId="37" xfId="11" applyNumberFormat="1" applyFont="1" applyBorder="1"/>
    <xf numFmtId="176" fontId="60" fillId="0" borderId="37" xfId="11" applyNumberFormat="1" applyFont="1" applyBorder="1"/>
    <xf numFmtId="176" fontId="60" fillId="0" borderId="38" xfId="11" applyNumberFormat="1" applyFont="1" applyBorder="1"/>
    <xf numFmtId="176" fontId="60" fillId="0" borderId="36" xfId="11" applyNumberFormat="1" applyFont="1" applyBorder="1"/>
    <xf numFmtId="176" fontId="60" fillId="0" borderId="51" xfId="11" applyNumberFormat="1" applyFont="1" applyBorder="1"/>
    <xf numFmtId="165" fontId="68" fillId="3" borderId="130" xfId="25" applyNumberFormat="1" applyFont="1" applyFill="1" applyBorder="1" applyAlignment="1">
      <alignment horizontal="right"/>
    </xf>
    <xf numFmtId="165" fontId="68" fillId="0" borderId="147" xfId="25" applyNumberFormat="1" applyFont="1" applyFill="1" applyBorder="1" applyAlignment="1">
      <alignment horizontal="right"/>
    </xf>
    <xf numFmtId="9" fontId="68" fillId="3" borderId="147" xfId="25" applyFont="1" applyFill="1" applyBorder="1" applyAlignment="1">
      <alignment horizontal="right"/>
    </xf>
    <xf numFmtId="9" fontId="68" fillId="0" borderId="132" xfId="25" applyFont="1" applyFill="1" applyBorder="1" applyAlignment="1">
      <alignment horizontal="right"/>
    </xf>
    <xf numFmtId="0" fontId="73" fillId="0" borderId="0" xfId="11" applyFont="1"/>
    <xf numFmtId="0" fontId="59" fillId="8" borderId="0" xfId="0" applyFont="1" applyFill="1"/>
    <xf numFmtId="0" fontId="60" fillId="8" borderId="0" xfId="0" applyFont="1" applyFill="1"/>
    <xf numFmtId="0" fontId="60" fillId="8" borderId="0" xfId="0" applyFont="1" applyFill="1" applyAlignment="1">
      <alignment vertical="center"/>
    </xf>
    <xf numFmtId="0" fontId="62" fillId="13" borderId="61" xfId="0" applyFont="1" applyFill="1" applyBorder="1" applyAlignment="1">
      <alignment vertical="center"/>
    </xf>
    <xf numFmtId="0" fontId="62" fillId="13" borderId="12" xfId="0" applyFont="1" applyFill="1" applyBorder="1" applyAlignment="1">
      <alignment horizontal="center" vertical="center"/>
    </xf>
    <xf numFmtId="0" fontId="62" fillId="13" borderId="84" xfId="0" applyFont="1" applyFill="1" applyBorder="1" applyAlignment="1">
      <alignment horizontal="center" vertical="center"/>
    </xf>
    <xf numFmtId="0" fontId="62" fillId="13" borderId="133" xfId="0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62" fillId="13" borderId="49" xfId="0" applyFont="1" applyFill="1" applyBorder="1" applyAlignment="1">
      <alignment horizontal="center" vertical="center"/>
    </xf>
    <xf numFmtId="0" fontId="62" fillId="13" borderId="15" xfId="0" applyFont="1" applyFill="1" applyBorder="1" applyAlignment="1">
      <alignment horizontal="center" vertical="center"/>
    </xf>
    <xf numFmtId="0" fontId="62" fillId="13" borderId="91" xfId="0" applyFont="1" applyFill="1" applyBorder="1" applyAlignment="1">
      <alignment horizontal="center" vertical="center"/>
    </xf>
    <xf numFmtId="0" fontId="62" fillId="13" borderId="80" xfId="0" applyFont="1" applyFill="1" applyBorder="1" applyAlignment="1">
      <alignment horizontal="center" vertical="center"/>
    </xf>
    <xf numFmtId="0" fontId="62" fillId="13" borderId="92" xfId="0" applyFont="1" applyFill="1" applyBorder="1" applyAlignment="1">
      <alignment horizontal="center" vertical="center"/>
    </xf>
    <xf numFmtId="0" fontId="62" fillId="13" borderId="56" xfId="0" applyFont="1" applyFill="1" applyBorder="1" applyAlignment="1">
      <alignment vertical="center"/>
    </xf>
    <xf numFmtId="0" fontId="62" fillId="13" borderId="55" xfId="0" applyFont="1" applyFill="1" applyBorder="1" applyAlignment="1">
      <alignment horizontal="center" vertical="center"/>
    </xf>
    <xf numFmtId="0" fontId="62" fillId="13" borderId="57" xfId="0" applyFont="1" applyFill="1" applyBorder="1" applyAlignment="1">
      <alignment horizontal="center" vertical="center"/>
    </xf>
    <xf numFmtId="0" fontId="62" fillId="13" borderId="81" xfId="0" applyFont="1" applyFill="1" applyBorder="1" applyAlignment="1">
      <alignment horizontal="center" vertical="center"/>
    </xf>
    <xf numFmtId="0" fontId="62" fillId="13" borderId="82" xfId="0" applyFont="1" applyFill="1" applyBorder="1" applyAlignment="1">
      <alignment horizontal="center" vertical="center"/>
    </xf>
    <xf numFmtId="0" fontId="60" fillId="8" borderId="49" xfId="0" applyFont="1" applyFill="1" applyBorder="1" applyAlignment="1">
      <alignment horizontal="center"/>
    </xf>
    <xf numFmtId="4" fontId="60" fillId="8" borderId="2" xfId="0" applyNumberFormat="1" applyFont="1" applyFill="1" applyBorder="1"/>
    <xf numFmtId="4" fontId="60" fillId="8" borderId="1" xfId="0" applyNumberFormat="1" applyFont="1" applyFill="1" applyBorder="1"/>
    <xf numFmtId="4" fontId="60" fillId="8" borderId="52" xfId="0" applyNumberFormat="1" applyFont="1" applyFill="1" applyBorder="1"/>
    <xf numFmtId="4" fontId="60" fillId="8" borderId="46" xfId="0" applyNumberFormat="1" applyFont="1" applyFill="1" applyBorder="1"/>
    <xf numFmtId="0" fontId="66" fillId="8" borderId="35" xfId="0" applyFont="1" applyFill="1" applyBorder="1" applyAlignment="1">
      <alignment horizontal="center"/>
    </xf>
    <xf numFmtId="4" fontId="60" fillId="8" borderId="36" xfId="0" applyNumberFormat="1" applyFont="1" applyFill="1" applyBorder="1"/>
    <xf numFmtId="4" fontId="60" fillId="8" borderId="36" xfId="0" quotePrefix="1" applyNumberFormat="1" applyFont="1" applyFill="1" applyBorder="1" applyAlignment="1">
      <alignment horizontal="right"/>
    </xf>
    <xf numFmtId="4" fontId="60" fillId="8" borderId="37" xfId="0" applyNumberFormat="1" applyFont="1" applyFill="1" applyBorder="1"/>
    <xf numFmtId="4" fontId="60" fillId="8" borderId="51" xfId="0" applyNumberFormat="1" applyFont="1" applyFill="1" applyBorder="1"/>
    <xf numFmtId="43" fontId="60" fillId="0" borderId="0" xfId="30" applyFont="1"/>
    <xf numFmtId="0" fontId="66" fillId="8" borderId="0" xfId="0" applyFont="1" applyFill="1" applyAlignment="1">
      <alignment horizontal="center"/>
    </xf>
    <xf numFmtId="4" fontId="60" fillId="8" borderId="0" xfId="0" applyNumberFormat="1" applyFont="1" applyFill="1"/>
    <xf numFmtId="169" fontId="60" fillId="8" borderId="0" xfId="0" applyNumberFormat="1" applyFont="1" applyFill="1" applyAlignment="1">
      <alignment vertical="center"/>
    </xf>
    <xf numFmtId="168" fontId="60" fillId="8" borderId="0" xfId="0" applyNumberFormat="1" applyFont="1" applyFill="1" applyAlignment="1">
      <alignment vertical="center"/>
    </xf>
    <xf numFmtId="0" fontId="62" fillId="13" borderId="83" xfId="0" applyFont="1" applyFill="1" applyBorder="1" applyAlignment="1">
      <alignment vertical="center"/>
    </xf>
    <xf numFmtId="0" fontId="62" fillId="13" borderId="14" xfId="0" applyFont="1" applyFill="1" applyBorder="1" applyAlignment="1">
      <alignment horizontal="center" vertical="center"/>
    </xf>
    <xf numFmtId="0" fontId="62" fillId="13" borderId="16" xfId="0" applyFont="1" applyFill="1" applyBorder="1" applyAlignment="1">
      <alignment horizontal="center" vertical="center"/>
    </xf>
    <xf numFmtId="0" fontId="60" fillId="8" borderId="8" xfId="0" applyFont="1" applyFill="1" applyBorder="1" applyAlignment="1">
      <alignment horizontal="center"/>
    </xf>
    <xf numFmtId="4" fontId="60" fillId="8" borderId="21" xfId="0" applyNumberFormat="1" applyFont="1" applyFill="1" applyBorder="1"/>
    <xf numFmtId="4" fontId="60" fillId="8" borderId="79" xfId="0" applyNumberFormat="1" applyFont="1" applyFill="1" applyBorder="1"/>
    <xf numFmtId="0" fontId="60" fillId="8" borderId="4" xfId="0" applyFont="1" applyFill="1" applyBorder="1" applyAlignment="1">
      <alignment horizontal="center"/>
    </xf>
    <xf numFmtId="4" fontId="60" fillId="8" borderId="2" xfId="0" applyNumberFormat="1" applyFont="1" applyFill="1" applyBorder="1" applyAlignment="1">
      <alignment horizontal="right"/>
    </xf>
    <xf numFmtId="0" fontId="66" fillId="8" borderId="50" xfId="0" applyFont="1" applyFill="1" applyBorder="1" applyAlignment="1">
      <alignment horizontal="center"/>
    </xf>
    <xf numFmtId="0" fontId="59" fillId="8" borderId="0" xfId="0" applyFont="1" applyFill="1" applyAlignment="1">
      <alignment horizontal="left"/>
    </xf>
    <xf numFmtId="0" fontId="60" fillId="8" borderId="0" xfId="11" applyFont="1" applyFill="1"/>
    <xf numFmtId="0" fontId="74" fillId="8" borderId="0" xfId="11" applyFont="1" applyFill="1" applyAlignment="1">
      <alignment horizontal="left"/>
    </xf>
    <xf numFmtId="0" fontId="62" fillId="13" borderId="12" xfId="11" applyFont="1" applyFill="1" applyBorder="1" applyAlignment="1">
      <alignment horizontal="centerContinuous"/>
    </xf>
    <xf numFmtId="0" fontId="62" fillId="13" borderId="84" xfId="11" applyFont="1" applyFill="1" applyBorder="1" applyAlignment="1">
      <alignment horizontal="centerContinuous"/>
    </xf>
    <xf numFmtId="0" fontId="62" fillId="13" borderId="76" xfId="11" applyFont="1" applyFill="1" applyBorder="1" applyAlignment="1">
      <alignment horizontal="centerContinuous"/>
    </xf>
    <xf numFmtId="0" fontId="72" fillId="13" borderId="84" xfId="11" applyFont="1" applyFill="1" applyBorder="1" applyAlignment="1">
      <alignment horizontal="centerContinuous"/>
    </xf>
    <xf numFmtId="0" fontId="72" fillId="13" borderId="76" xfId="11" applyFont="1" applyFill="1" applyBorder="1" applyAlignment="1">
      <alignment horizontal="centerContinuous"/>
    </xf>
    <xf numFmtId="0" fontId="72" fillId="13" borderId="11" xfId="11" applyFont="1" applyFill="1" applyBorder="1" applyAlignment="1">
      <alignment horizontal="centerContinuous"/>
    </xf>
    <xf numFmtId="0" fontId="63" fillId="13" borderId="38" xfId="11" applyFont="1" applyFill="1" applyBorder="1" applyAlignment="1">
      <alignment horizontal="center"/>
    </xf>
    <xf numFmtId="0" fontId="63" fillId="13" borderId="24" xfId="11" applyFont="1" applyFill="1" applyBorder="1" applyAlignment="1">
      <alignment horizontal="center"/>
    </xf>
    <xf numFmtId="0" fontId="63" fillId="13" borderId="75" xfId="11" applyFont="1" applyFill="1" applyBorder="1" applyAlignment="1">
      <alignment horizontal="center"/>
    </xf>
    <xf numFmtId="0" fontId="63" fillId="13" borderId="25" xfId="11" applyFont="1" applyFill="1" applyBorder="1" applyAlignment="1">
      <alignment horizontal="center"/>
    </xf>
    <xf numFmtId="0" fontId="75" fillId="0" borderId="0" xfId="11" applyFont="1" applyAlignment="1">
      <alignment horizontal="center"/>
    </xf>
    <xf numFmtId="0" fontId="66" fillId="0" borderId="0" xfId="11" applyFont="1" applyAlignment="1">
      <alignment horizontal="center"/>
    </xf>
    <xf numFmtId="175" fontId="60" fillId="2" borderId="3" xfId="11" applyNumberFormat="1" applyFont="1" applyFill="1" applyBorder="1" applyAlignment="1" applyProtection="1">
      <alignment horizontal="center"/>
      <protection locked="0"/>
    </xf>
    <xf numFmtId="169" fontId="66" fillId="2" borderId="0" xfId="11" applyNumberFormat="1" applyFont="1" applyFill="1" applyProtection="1">
      <protection locked="0"/>
    </xf>
    <xf numFmtId="169" fontId="60" fillId="2" borderId="1" xfId="11" applyNumberFormat="1" applyFont="1" applyFill="1" applyBorder="1" applyProtection="1">
      <protection locked="0"/>
    </xf>
    <xf numFmtId="169" fontId="60" fillId="2" borderId="2" xfId="11" applyNumberFormat="1" applyFont="1" applyFill="1" applyBorder="1" applyProtection="1">
      <protection locked="0"/>
    </xf>
    <xf numFmtId="169" fontId="60" fillId="2" borderId="52" xfId="11" applyNumberFormat="1" applyFont="1" applyFill="1" applyBorder="1" applyProtection="1">
      <protection locked="0"/>
    </xf>
    <xf numFmtId="168" fontId="60" fillId="2" borderId="52" xfId="11" quotePrefix="1" applyNumberFormat="1" applyFont="1" applyFill="1" applyBorder="1" applyAlignment="1" applyProtection="1">
      <alignment horizontal="center"/>
      <protection locked="0"/>
    </xf>
    <xf numFmtId="169" fontId="60" fillId="2" borderId="0" xfId="11" applyNumberFormat="1" applyFont="1" applyFill="1" applyProtection="1">
      <protection locked="0"/>
    </xf>
    <xf numFmtId="169" fontId="60" fillId="2" borderId="2" xfId="11" applyNumberFormat="1" applyFont="1" applyFill="1" applyBorder="1"/>
    <xf numFmtId="0" fontId="60" fillId="7" borderId="3" xfId="11" applyFont="1" applyFill="1" applyBorder="1" applyAlignment="1" applyProtection="1">
      <alignment horizontal="center"/>
      <protection locked="0"/>
    </xf>
    <xf numFmtId="4" fontId="66" fillId="7" borderId="4" xfId="11" applyNumberFormat="1" applyFont="1" applyFill="1" applyBorder="1" applyProtection="1">
      <protection locked="0"/>
    </xf>
    <xf numFmtId="4" fontId="60" fillId="7" borderId="1" xfId="11" applyNumberFormat="1" applyFont="1" applyFill="1" applyBorder="1" applyProtection="1">
      <protection locked="0"/>
    </xf>
    <xf numFmtId="4" fontId="60" fillId="7" borderId="2" xfId="11" applyNumberFormat="1" applyFont="1" applyFill="1" applyBorder="1" applyProtection="1">
      <protection locked="0"/>
    </xf>
    <xf numFmtId="4" fontId="60" fillId="7" borderId="52" xfId="11" applyNumberFormat="1" applyFont="1" applyFill="1" applyBorder="1" applyProtection="1">
      <protection locked="0"/>
    </xf>
    <xf numFmtId="4" fontId="60" fillId="7" borderId="52" xfId="11" applyNumberFormat="1" applyFont="1" applyFill="1" applyBorder="1" applyAlignment="1" applyProtection="1">
      <alignment horizontal="right"/>
      <protection locked="0"/>
    </xf>
    <xf numFmtId="4" fontId="60" fillId="7" borderId="0" xfId="11" applyNumberFormat="1" applyFont="1" applyFill="1" applyProtection="1">
      <protection locked="0"/>
    </xf>
    <xf numFmtId="4" fontId="60" fillId="7" borderId="1" xfId="11" applyNumberFormat="1" applyFont="1" applyFill="1" applyBorder="1"/>
    <xf numFmtId="4" fontId="60" fillId="7" borderId="2" xfId="11" applyNumberFormat="1" applyFont="1" applyFill="1" applyBorder="1" applyAlignment="1">
      <alignment horizontal="right"/>
    </xf>
    <xf numFmtId="4" fontId="60" fillId="7" borderId="2" xfId="11" applyNumberFormat="1" applyFont="1" applyFill="1" applyBorder="1"/>
    <xf numFmtId="0" fontId="61" fillId="4" borderId="0" xfId="11" applyFont="1" applyFill="1"/>
    <xf numFmtId="0" fontId="61" fillId="0" borderId="0" xfId="11" applyFont="1" applyAlignment="1">
      <alignment horizontal="center"/>
    </xf>
    <xf numFmtId="168" fontId="60" fillId="0" borderId="0" xfId="11" applyNumberFormat="1" applyFont="1" applyAlignment="1">
      <alignment horizontal="center"/>
    </xf>
    <xf numFmtId="165" fontId="68" fillId="0" borderId="0" xfId="21" applyNumberFormat="1" applyFont="1" applyFill="1" applyBorder="1" applyAlignment="1">
      <alignment horizontal="center"/>
    </xf>
    <xf numFmtId="0" fontId="60" fillId="2" borderId="3" xfId="11" applyFont="1" applyFill="1" applyBorder="1" applyAlignment="1" applyProtection="1">
      <alignment horizontal="center"/>
      <protection locked="0"/>
    </xf>
    <xf numFmtId="4" fontId="66" fillId="2" borderId="4" xfId="11" applyNumberFormat="1" applyFont="1" applyFill="1" applyBorder="1" applyProtection="1">
      <protection locked="0"/>
    </xf>
    <xf numFmtId="4" fontId="60" fillId="2" borderId="1" xfId="11" applyNumberFormat="1" applyFont="1" applyFill="1" applyBorder="1" applyProtection="1">
      <protection locked="0"/>
    </xf>
    <xf numFmtId="4" fontId="60" fillId="2" borderId="2" xfId="11" applyNumberFormat="1" applyFont="1" applyFill="1" applyBorder="1" applyProtection="1">
      <protection locked="0"/>
    </xf>
    <xf numFmtId="4" fontId="60" fillId="2" borderId="52" xfId="11" applyNumberFormat="1" applyFont="1" applyFill="1" applyBorder="1" applyProtection="1">
      <protection locked="0"/>
    </xf>
    <xf numFmtId="4" fontId="60" fillId="2" borderId="1" xfId="11" applyNumberFormat="1" applyFont="1" applyFill="1" applyBorder="1"/>
    <xf numFmtId="4" fontId="60" fillId="2" borderId="2" xfId="11" quotePrefix="1" applyNumberFormat="1" applyFont="1" applyFill="1" applyBorder="1" applyAlignment="1">
      <alignment horizontal="right"/>
    </xf>
    <xf numFmtId="4" fontId="60" fillId="2" borderId="2" xfId="11" applyNumberFormat="1" applyFont="1" applyFill="1" applyBorder="1"/>
    <xf numFmtId="168" fontId="61" fillId="0" borderId="0" xfId="11" applyNumberFormat="1" applyFont="1"/>
    <xf numFmtId="4" fontId="66" fillId="7" borderId="0" xfId="11" applyNumberFormat="1" applyFont="1" applyFill="1" applyProtection="1">
      <protection locked="0"/>
    </xf>
    <xf numFmtId="4" fontId="66" fillId="2" borderId="0" xfId="11" applyNumberFormat="1" applyFont="1" applyFill="1" applyProtection="1">
      <protection locked="0"/>
    </xf>
    <xf numFmtId="4" fontId="60" fillId="2" borderId="0" xfId="11" applyNumberFormat="1" applyFont="1" applyFill="1" applyProtection="1">
      <protection locked="0"/>
    </xf>
    <xf numFmtId="4" fontId="66" fillId="0" borderId="0" xfId="11" applyNumberFormat="1" applyFont="1" applyProtection="1">
      <protection locked="0"/>
    </xf>
    <xf numFmtId="4" fontId="60" fillId="0" borderId="1" xfId="11" applyNumberFormat="1" applyFont="1" applyBorder="1" applyProtection="1">
      <protection locked="0"/>
    </xf>
    <xf numFmtId="4" fontId="60" fillId="0" borderId="2" xfId="11" applyNumberFormat="1" applyFont="1" applyBorder="1" applyProtection="1">
      <protection locked="0"/>
    </xf>
    <xf numFmtId="4" fontId="60" fillId="0" borderId="52" xfId="11" applyNumberFormat="1" applyFont="1" applyBorder="1" applyProtection="1">
      <protection locked="0"/>
    </xf>
    <xf numFmtId="4" fontId="60" fillId="0" borderId="2" xfId="11" applyNumberFormat="1" applyFont="1" applyBorder="1"/>
    <xf numFmtId="4" fontId="60" fillId="0" borderId="1" xfId="11" applyNumberFormat="1" applyFont="1" applyBorder="1"/>
    <xf numFmtId="4" fontId="66" fillId="8" borderId="0" xfId="11" applyNumberFormat="1" applyFont="1" applyFill="1" applyProtection="1">
      <protection locked="0"/>
    </xf>
    <xf numFmtId="4" fontId="60" fillId="8" borderId="1" xfId="11" applyNumberFormat="1" applyFont="1" applyFill="1" applyBorder="1" applyProtection="1">
      <protection locked="0"/>
    </xf>
    <xf numFmtId="4" fontId="60" fillId="8" borderId="2" xfId="11" applyNumberFormat="1" applyFont="1" applyFill="1" applyBorder="1" applyProtection="1">
      <protection locked="0"/>
    </xf>
    <xf numFmtId="4" fontId="60" fillId="8" borderId="52" xfId="11" applyNumberFormat="1" applyFont="1" applyFill="1" applyBorder="1" applyProtection="1">
      <protection locked="0"/>
    </xf>
    <xf numFmtId="4" fontId="60" fillId="8" borderId="2" xfId="11" applyNumberFormat="1" applyFont="1" applyFill="1" applyBorder="1"/>
    <xf numFmtId="4" fontId="60" fillId="8" borderId="1" xfId="11" applyNumberFormat="1" applyFont="1" applyFill="1" applyBorder="1"/>
    <xf numFmtId="175" fontId="60" fillId="0" borderId="3" xfId="11" applyNumberFormat="1" applyFont="1" applyBorder="1" applyAlignment="1">
      <alignment horizontal="center"/>
    </xf>
    <xf numFmtId="169" fontId="66" fillId="0" borderId="0" xfId="11" applyNumberFormat="1" applyFont="1" applyProtection="1">
      <protection locked="0"/>
    </xf>
    <xf numFmtId="169" fontId="60" fillId="0" borderId="1" xfId="11" applyNumberFormat="1" applyFont="1" applyBorder="1" applyProtection="1">
      <protection locked="0"/>
    </xf>
    <xf numFmtId="168" fontId="60" fillId="0" borderId="2" xfId="11" applyNumberFormat="1" applyFont="1" applyBorder="1" applyProtection="1">
      <protection locked="0"/>
    </xf>
    <xf numFmtId="169" fontId="60" fillId="0" borderId="52" xfId="11" applyNumberFormat="1" applyFont="1" applyBorder="1" applyProtection="1">
      <protection locked="0"/>
    </xf>
    <xf numFmtId="169" fontId="60" fillId="0" borderId="2" xfId="11" applyNumberFormat="1" applyFont="1" applyBorder="1"/>
    <xf numFmtId="169" fontId="60" fillId="0" borderId="1" xfId="11" applyNumberFormat="1" applyFont="1" applyBorder="1"/>
    <xf numFmtId="168" fontId="60" fillId="0" borderId="2" xfId="11" applyNumberFormat="1" applyFont="1" applyBorder="1"/>
    <xf numFmtId="169" fontId="60" fillId="0" borderId="38" xfId="11" applyNumberFormat="1" applyFont="1" applyBorder="1"/>
    <xf numFmtId="169" fontId="60" fillId="0" borderId="36" xfId="11" applyNumberFormat="1" applyFont="1" applyBorder="1"/>
    <xf numFmtId="0" fontId="60" fillId="4" borderId="0" xfId="11" applyFont="1" applyFill="1"/>
    <xf numFmtId="9" fontId="68" fillId="3" borderId="64" xfId="25" applyFont="1" applyFill="1" applyBorder="1" applyAlignment="1">
      <alignment horizontal="right"/>
    </xf>
    <xf numFmtId="9" fontId="68" fillId="3" borderId="93" xfId="25" applyFont="1" applyFill="1" applyBorder="1" applyAlignment="1">
      <alignment horizontal="right"/>
    </xf>
    <xf numFmtId="9" fontId="68" fillId="0" borderId="86" xfId="25" applyFont="1" applyFill="1" applyBorder="1" applyAlignment="1">
      <alignment horizontal="right"/>
    </xf>
    <xf numFmtId="9" fontId="68" fillId="0" borderId="94" xfId="25" applyFont="1" applyFill="1" applyBorder="1" applyAlignment="1">
      <alignment horizontal="right"/>
    </xf>
    <xf numFmtId="9" fontId="68" fillId="3" borderId="86" xfId="25" applyFont="1" applyFill="1" applyBorder="1" applyAlignment="1">
      <alignment horizontal="right"/>
    </xf>
    <xf numFmtId="9" fontId="68" fillId="3" borderId="94" xfId="25" applyFont="1" applyFill="1" applyBorder="1" applyAlignment="1">
      <alignment horizontal="right"/>
    </xf>
    <xf numFmtId="0" fontId="67" fillId="2" borderId="0" xfId="11" applyFont="1" applyFill="1"/>
    <xf numFmtId="9" fontId="68" fillId="2" borderId="0" xfId="21" applyFont="1" applyFill="1" applyBorder="1" applyAlignment="1">
      <alignment horizontal="center"/>
    </xf>
    <xf numFmtId="9" fontId="60" fillId="2" borderId="0" xfId="11" applyNumberFormat="1" applyFont="1" applyFill="1"/>
    <xf numFmtId="0" fontId="73" fillId="8" borderId="0" xfId="11" applyFont="1" applyFill="1"/>
    <xf numFmtId="165" fontId="60" fillId="8" borderId="0" xfId="21" applyNumberFormat="1" applyFont="1" applyFill="1"/>
    <xf numFmtId="0" fontId="69" fillId="8" borderId="0" xfId="11" applyFont="1" applyFill="1"/>
    <xf numFmtId="0" fontId="70" fillId="8" borderId="0" xfId="11" applyFont="1" applyFill="1"/>
    <xf numFmtId="0" fontId="66" fillId="0" borderId="0" xfId="11" applyFont="1" applyAlignment="1">
      <alignment horizontal="center"/>
    </xf>
    <xf numFmtId="0" fontId="76" fillId="0" borderId="0" xfId="0" applyFont="1"/>
    <xf numFmtId="0" fontId="66" fillId="0" borderId="0" xfId="11" applyFont="1"/>
    <xf numFmtId="0" fontId="61" fillId="0" borderId="0" xfId="11" applyFont="1" applyFill="1"/>
    <xf numFmtId="0" fontId="62" fillId="14" borderId="60" xfId="11" applyFont="1" applyFill="1" applyBorder="1" applyAlignment="1">
      <alignment horizontal="center"/>
    </xf>
    <xf numFmtId="0" fontId="62" fillId="14" borderId="149" xfId="11" applyFont="1" applyFill="1" applyBorder="1" applyAlignment="1">
      <alignment horizontal="center"/>
    </xf>
    <xf numFmtId="0" fontId="62" fillId="14" borderId="84" xfId="11" applyFont="1" applyFill="1" applyBorder="1" applyAlignment="1">
      <alignment horizontal="center"/>
    </xf>
    <xf numFmtId="0" fontId="62" fillId="14" borderId="133" xfId="11" applyFont="1" applyFill="1" applyBorder="1" applyAlignment="1">
      <alignment horizontal="center"/>
    </xf>
    <xf numFmtId="0" fontId="62" fillId="14" borderId="4" xfId="11" applyFont="1" applyFill="1" applyBorder="1" applyAlignment="1">
      <alignment horizontal="center"/>
    </xf>
    <xf numFmtId="0" fontId="62" fillId="14" borderId="85" xfId="11" applyFont="1" applyFill="1" applyBorder="1" applyAlignment="1">
      <alignment horizontal="center"/>
    </xf>
    <xf numFmtId="0" fontId="62" fillId="14" borderId="91" xfId="11" applyFont="1" applyFill="1" applyBorder="1" applyAlignment="1">
      <alignment horizontal="center"/>
    </xf>
    <xf numFmtId="0" fontId="62" fillId="14" borderId="92" xfId="11" applyFont="1" applyFill="1" applyBorder="1" applyAlignment="1">
      <alignment horizontal="center"/>
    </xf>
    <xf numFmtId="0" fontId="75" fillId="0" borderId="0" xfId="11" applyFont="1" applyFill="1" applyAlignment="1">
      <alignment horizontal="left"/>
    </xf>
    <xf numFmtId="0" fontId="75" fillId="0" borderId="0" xfId="11" applyFont="1" applyFill="1" applyAlignment="1">
      <alignment horizontal="center"/>
    </xf>
    <xf numFmtId="0" fontId="72" fillId="14" borderId="83" xfId="11" applyFont="1" applyFill="1" applyBorder="1" applyAlignment="1">
      <alignment horizontal="center"/>
    </xf>
    <xf numFmtId="169" fontId="62" fillId="14" borderId="85" xfId="11" applyNumberFormat="1" applyFont="1" applyFill="1" applyBorder="1" applyAlignment="1">
      <alignment horizontal="center"/>
    </xf>
    <xf numFmtId="3" fontId="62" fillId="14" borderId="14" xfId="11" applyNumberFormat="1" applyFont="1" applyFill="1" applyBorder="1" applyAlignment="1">
      <alignment horizontal="center"/>
    </xf>
    <xf numFmtId="3" fontId="62" fillId="14" borderId="16" xfId="11" applyNumberFormat="1" applyFont="1" applyFill="1" applyBorder="1" applyAlignment="1">
      <alignment horizontal="center"/>
    </xf>
    <xf numFmtId="169" fontId="75" fillId="0" borderId="0" xfId="11" applyNumberFormat="1" applyFont="1" applyFill="1" applyAlignment="1">
      <alignment horizontal="center"/>
    </xf>
    <xf numFmtId="3" fontId="75" fillId="0" borderId="0" xfId="11" applyNumberFormat="1" applyFont="1" applyFill="1" applyAlignment="1">
      <alignment horizontal="center"/>
    </xf>
    <xf numFmtId="0" fontId="60" fillId="2" borderId="7" xfId="11" applyFont="1" applyFill="1" applyBorder="1" applyAlignment="1">
      <alignment horizontal="center"/>
    </xf>
    <xf numFmtId="3" fontId="66" fillId="2" borderId="8" xfId="11" applyNumberFormat="1" applyFont="1" applyFill="1" applyBorder="1" applyAlignment="1">
      <alignment horizontal="center"/>
    </xf>
    <xf numFmtId="4" fontId="60" fillId="8" borderId="21" xfId="11" applyNumberFormat="1" applyFont="1" applyFill="1" applyBorder="1" applyAlignment="1">
      <alignment horizontal="center"/>
    </xf>
    <xf numFmtId="4" fontId="60" fillId="2" borderId="67" xfId="11" applyNumberFormat="1" applyFont="1" applyFill="1" applyBorder="1" applyAlignment="1">
      <alignment horizontal="center"/>
    </xf>
    <xf numFmtId="3" fontId="66" fillId="3" borderId="4" xfId="11" applyNumberFormat="1" applyFont="1" applyFill="1" applyBorder="1" applyAlignment="1">
      <alignment horizontal="right"/>
    </xf>
    <xf numFmtId="4" fontId="60" fillId="3" borderId="46" xfId="11" applyNumberFormat="1" applyFont="1" applyFill="1" applyBorder="1" applyAlignment="1">
      <alignment horizontal="right"/>
    </xf>
    <xf numFmtId="168" fontId="60" fillId="0" borderId="0" xfId="11" applyNumberFormat="1" applyFont="1"/>
    <xf numFmtId="3" fontId="61" fillId="0" borderId="0" xfId="11" applyNumberFormat="1" applyFont="1" applyFill="1" applyAlignment="1">
      <alignment horizontal="center"/>
    </xf>
    <xf numFmtId="3" fontId="66" fillId="2" borderId="4" xfId="11" applyNumberFormat="1" applyFont="1" applyFill="1" applyBorder="1" applyAlignment="1">
      <alignment horizontal="right"/>
    </xf>
    <xf numFmtId="4" fontId="60" fillId="2" borderId="2" xfId="11" applyNumberFormat="1" applyFont="1" applyFill="1" applyBorder="1" applyAlignment="1">
      <alignment horizontal="right"/>
    </xf>
    <xf numFmtId="4" fontId="60" fillId="2" borderId="46" xfId="11" applyNumberFormat="1" applyFont="1" applyFill="1" applyBorder="1" applyAlignment="1">
      <alignment horizontal="right"/>
    </xf>
    <xf numFmtId="0" fontId="61" fillId="0" borderId="0" xfId="11" applyFont="1" applyFill="1" applyAlignment="1">
      <alignment horizontal="right"/>
    </xf>
    <xf numFmtId="4" fontId="60" fillId="3" borderId="2" xfId="11" applyNumberFormat="1" applyFont="1" applyFill="1" applyBorder="1" applyAlignment="1">
      <alignment horizontal="right"/>
    </xf>
    <xf numFmtId="3" fontId="66" fillId="8" borderId="4" xfId="11" applyNumberFormat="1" applyFont="1" applyFill="1" applyBorder="1" applyAlignment="1">
      <alignment horizontal="right"/>
    </xf>
    <xf numFmtId="4" fontId="60" fillId="8" borderId="2" xfId="11" applyNumberFormat="1" applyFont="1" applyFill="1" applyBorder="1" applyAlignment="1">
      <alignment horizontal="right"/>
    </xf>
    <xf numFmtId="4" fontId="60" fillId="8" borderId="46" xfId="11" applyNumberFormat="1" applyFont="1" applyFill="1" applyBorder="1" applyAlignment="1">
      <alignment horizontal="right"/>
    </xf>
    <xf numFmtId="0" fontId="60" fillId="0" borderId="6" xfId="11" applyFont="1" applyBorder="1" applyAlignment="1">
      <alignment horizontal="center"/>
    </xf>
    <xf numFmtId="3" fontId="66" fillId="0" borderId="50" xfId="11" applyNumberFormat="1" applyFont="1" applyBorder="1" applyAlignment="1">
      <alignment horizontal="center"/>
    </xf>
    <xf numFmtId="3" fontId="60" fillId="0" borderId="36" xfId="11" applyNumberFormat="1" applyFont="1" applyBorder="1" applyAlignment="1">
      <alignment horizontal="center"/>
    </xf>
    <xf numFmtId="3" fontId="60" fillId="0" borderId="51" xfId="11" applyNumberFormat="1" applyFont="1" applyBorder="1" applyAlignment="1">
      <alignment horizontal="center"/>
    </xf>
    <xf numFmtId="3" fontId="60" fillId="0" borderId="0" xfId="11" applyNumberFormat="1" applyFont="1"/>
    <xf numFmtId="9" fontId="68" fillId="3" borderId="130" xfId="25" applyFont="1" applyFill="1" applyBorder="1" applyAlignment="1">
      <alignment horizontal="right"/>
    </xf>
    <xf numFmtId="9" fontId="68" fillId="0" borderId="65" xfId="25" applyFont="1" applyFill="1" applyBorder="1" applyAlignment="1">
      <alignment horizontal="right"/>
    </xf>
    <xf numFmtId="9" fontId="68" fillId="0" borderId="146" xfId="25" applyFont="1" applyFill="1" applyBorder="1" applyAlignment="1">
      <alignment horizontal="right"/>
    </xf>
    <xf numFmtId="9" fontId="68" fillId="0" borderId="147" xfId="25" applyFont="1" applyFill="1" applyBorder="1" applyAlignment="1">
      <alignment horizontal="right"/>
    </xf>
    <xf numFmtId="9" fontId="68" fillId="0" borderId="66" xfId="25" applyFont="1" applyFill="1" applyBorder="1" applyAlignment="1">
      <alignment horizontal="right"/>
    </xf>
    <xf numFmtId="0" fontId="68" fillId="0" borderId="0" xfId="11" applyFont="1"/>
    <xf numFmtId="9" fontId="66" fillId="0" borderId="0" xfId="21" applyFont="1" applyFill="1" applyBorder="1" applyAlignment="1">
      <alignment horizontal="center"/>
    </xf>
    <xf numFmtId="0" fontId="77" fillId="0" borderId="0" xfId="11" applyFont="1"/>
    <xf numFmtId="0" fontId="78" fillId="0" borderId="0" xfId="11" applyFont="1"/>
    <xf numFmtId="0" fontId="60" fillId="0" borderId="0" xfId="11" applyFont="1" applyAlignment="1">
      <alignment horizontal="right"/>
    </xf>
    <xf numFmtId="0" fontId="59" fillId="0" borderId="0" xfId="0" applyFont="1" applyAlignment="1">
      <alignment horizontal="left"/>
    </xf>
    <xf numFmtId="0" fontId="60" fillId="0" borderId="0" xfId="12" applyFont="1"/>
    <xf numFmtId="0" fontId="61" fillId="0" borderId="0" xfId="12" applyFont="1"/>
    <xf numFmtId="0" fontId="71" fillId="0" borderId="0" xfId="12" applyFont="1" applyAlignment="1">
      <alignment horizontal="centerContinuous"/>
    </xf>
    <xf numFmtId="0" fontId="60" fillId="0" borderId="0" xfId="12" applyFont="1" applyAlignment="1">
      <alignment horizontal="centerContinuous"/>
    </xf>
    <xf numFmtId="0" fontId="60" fillId="2" borderId="7" xfId="12" applyFont="1" applyFill="1" applyBorder="1" applyAlignment="1">
      <alignment horizontal="center"/>
    </xf>
    <xf numFmtId="169" fontId="66" fillId="2" borderId="8" xfId="12" applyNumberFormat="1" applyFont="1" applyFill="1" applyBorder="1"/>
    <xf numFmtId="169" fontId="60" fillId="2" borderId="96" xfId="12" applyNumberFormat="1" applyFont="1" applyFill="1" applyBorder="1"/>
    <xf numFmtId="169" fontId="60" fillId="2" borderId="97" xfId="12" applyNumberFormat="1" applyFont="1" applyFill="1" applyBorder="1"/>
    <xf numFmtId="169" fontId="60" fillId="2" borderId="8" xfId="12" applyNumberFormat="1" applyFont="1" applyFill="1" applyBorder="1"/>
    <xf numFmtId="169" fontId="60" fillId="2" borderId="105" xfId="12" applyNumberFormat="1" applyFont="1" applyFill="1" applyBorder="1"/>
    <xf numFmtId="169" fontId="60" fillId="2" borderId="41" xfId="12" applyNumberFormat="1" applyFont="1" applyFill="1" applyBorder="1"/>
    <xf numFmtId="0" fontId="60" fillId="3" borderId="3" xfId="12" applyFont="1" applyFill="1" applyBorder="1" applyAlignment="1">
      <alignment horizontal="center"/>
    </xf>
    <xf numFmtId="169" fontId="66" fillId="3" borderId="4" xfId="12" applyNumberFormat="1" applyFont="1" applyFill="1" applyBorder="1" applyAlignment="1">
      <alignment horizontal="right" indent="1"/>
    </xf>
    <xf numFmtId="169" fontId="60" fillId="3" borderId="98" xfId="12" applyNumberFormat="1" applyFont="1" applyFill="1" applyBorder="1" applyAlignment="1">
      <alignment horizontal="right" indent="1"/>
    </xf>
    <xf numFmtId="169" fontId="60" fillId="3" borderId="99" xfId="12" applyNumberFormat="1" applyFont="1" applyFill="1" applyBorder="1" applyAlignment="1">
      <alignment horizontal="right" indent="1"/>
    </xf>
    <xf numFmtId="169" fontId="60" fillId="3" borderId="4" xfId="12" applyNumberFormat="1" applyFont="1" applyFill="1" applyBorder="1" applyAlignment="1">
      <alignment horizontal="right" indent="1"/>
    </xf>
    <xf numFmtId="169" fontId="60" fillId="3" borderId="106" xfId="12" applyNumberFormat="1" applyFont="1" applyFill="1" applyBorder="1" applyAlignment="1">
      <alignment horizontal="right" indent="1"/>
    </xf>
    <xf numFmtId="169" fontId="60" fillId="3" borderId="0" xfId="12" applyNumberFormat="1" applyFont="1" applyFill="1" applyAlignment="1">
      <alignment horizontal="right" indent="1"/>
    </xf>
    <xf numFmtId="168" fontId="60" fillId="0" borderId="0" xfId="12" applyNumberFormat="1" applyFont="1"/>
    <xf numFmtId="0" fontId="60" fillId="2" borderId="3" xfId="12" applyFont="1" applyFill="1" applyBorder="1" applyAlignment="1">
      <alignment horizontal="center"/>
    </xf>
    <xf numFmtId="169" fontId="66" fillId="2" borderId="4" xfId="12" applyNumberFormat="1" applyFont="1" applyFill="1" applyBorder="1" applyAlignment="1">
      <alignment horizontal="right" indent="1"/>
    </xf>
    <xf numFmtId="169" fontId="60" fillId="2" borderId="98" xfId="12" applyNumberFormat="1" applyFont="1" applyFill="1" applyBorder="1" applyAlignment="1">
      <alignment horizontal="right" indent="1"/>
    </xf>
    <xf numFmtId="169" fontId="60" fillId="2" borderId="99" xfId="12" applyNumberFormat="1" applyFont="1" applyFill="1" applyBorder="1" applyAlignment="1">
      <alignment horizontal="right" indent="1"/>
    </xf>
    <xf numFmtId="169" fontId="60" fillId="2" borderId="4" xfId="12" applyNumberFormat="1" applyFont="1" applyFill="1" applyBorder="1" applyAlignment="1">
      <alignment horizontal="right" indent="1"/>
    </xf>
    <xf numFmtId="169" fontId="60" fillId="2" borderId="106" xfId="12" applyNumberFormat="1" applyFont="1" applyFill="1" applyBorder="1" applyAlignment="1">
      <alignment horizontal="right" indent="1"/>
    </xf>
    <xf numFmtId="169" fontId="60" fillId="2" borderId="0" xfId="12" applyNumberFormat="1" applyFont="1" applyFill="1" applyAlignment="1">
      <alignment horizontal="right" indent="1"/>
    </xf>
    <xf numFmtId="167" fontId="61" fillId="0" borderId="0" xfId="12" applyNumberFormat="1" applyFont="1"/>
    <xf numFmtId="168" fontId="60" fillId="2" borderId="98" xfId="12" applyNumberFormat="1" applyFont="1" applyFill="1" applyBorder="1" applyAlignment="1">
      <alignment horizontal="right" indent="1"/>
    </xf>
    <xf numFmtId="168" fontId="60" fillId="3" borderId="98" xfId="12" applyNumberFormat="1" applyFont="1" applyFill="1" applyBorder="1" applyAlignment="1">
      <alignment horizontal="right" indent="1"/>
    </xf>
    <xf numFmtId="0" fontId="61" fillId="0" borderId="0" xfId="12" applyFont="1" applyAlignment="1">
      <alignment horizontal="right"/>
    </xf>
    <xf numFmtId="0" fontId="60" fillId="8" borderId="3" xfId="12" applyFont="1" applyFill="1" applyBorder="1" applyAlignment="1">
      <alignment horizontal="center"/>
    </xf>
    <xf numFmtId="169" fontId="66" fillId="8" borderId="4" xfId="12" applyNumberFormat="1" applyFont="1" applyFill="1" applyBorder="1" applyAlignment="1">
      <alignment horizontal="right" indent="1"/>
    </xf>
    <xf numFmtId="169" fontId="60" fillId="8" borderId="98" xfId="12" applyNumberFormat="1" applyFont="1" applyFill="1" applyBorder="1" applyAlignment="1">
      <alignment horizontal="right" indent="1"/>
    </xf>
    <xf numFmtId="169" fontId="60" fillId="8" borderId="99" xfId="12" applyNumberFormat="1" applyFont="1" applyFill="1" applyBorder="1" applyAlignment="1">
      <alignment horizontal="right" indent="1"/>
    </xf>
    <xf numFmtId="169" fontId="60" fillId="8" borderId="0" xfId="12" applyNumberFormat="1" applyFont="1" applyFill="1" applyAlignment="1">
      <alignment horizontal="right" indent="1"/>
    </xf>
    <xf numFmtId="169" fontId="60" fillId="8" borderId="106" xfId="12" applyNumberFormat="1" applyFont="1" applyFill="1" applyBorder="1" applyAlignment="1">
      <alignment horizontal="right" indent="1"/>
    </xf>
    <xf numFmtId="168" fontId="60" fillId="8" borderId="98" xfId="12" applyNumberFormat="1" applyFont="1" applyFill="1" applyBorder="1" applyAlignment="1">
      <alignment horizontal="right" indent="1"/>
    </xf>
    <xf numFmtId="0" fontId="60" fillId="7" borderId="3" xfId="12" applyFont="1" applyFill="1" applyBorder="1" applyAlignment="1">
      <alignment horizontal="center"/>
    </xf>
    <xf numFmtId="169" fontId="66" fillId="7" borderId="4" xfId="12" applyNumberFormat="1" applyFont="1" applyFill="1" applyBorder="1" applyAlignment="1">
      <alignment horizontal="right" indent="1"/>
    </xf>
    <xf numFmtId="169" fontId="60" fillId="7" borderId="98" xfId="12" applyNumberFormat="1" applyFont="1" applyFill="1" applyBorder="1" applyAlignment="1">
      <alignment horizontal="right" indent="1"/>
    </xf>
    <xf numFmtId="169" fontId="60" fillId="7" borderId="99" xfId="12" applyNumberFormat="1" applyFont="1" applyFill="1" applyBorder="1" applyAlignment="1">
      <alignment horizontal="right" indent="1"/>
    </xf>
    <xf numFmtId="169" fontId="60" fillId="7" borderId="0" xfId="12" applyNumberFormat="1" applyFont="1" applyFill="1" applyAlignment="1">
      <alignment horizontal="right" indent="1"/>
    </xf>
    <xf numFmtId="169" fontId="60" fillId="7" borderId="106" xfId="12" applyNumberFormat="1" applyFont="1" applyFill="1" applyBorder="1" applyAlignment="1">
      <alignment horizontal="right" indent="1"/>
    </xf>
    <xf numFmtId="168" fontId="60" fillId="7" borderId="98" xfId="12" applyNumberFormat="1" applyFont="1" applyFill="1" applyBorder="1" applyAlignment="1">
      <alignment horizontal="right" indent="1"/>
    </xf>
    <xf numFmtId="168" fontId="60" fillId="2" borderId="112" xfId="12" applyNumberFormat="1" applyFont="1" applyFill="1" applyBorder="1" applyAlignment="1">
      <alignment horizontal="right" indent="1"/>
    </xf>
    <xf numFmtId="9" fontId="68" fillId="3" borderId="64" xfId="22" applyFont="1" applyFill="1" applyBorder="1" applyAlignment="1">
      <alignment horizontal="right" vertical="center" indent="2"/>
    </xf>
    <xf numFmtId="9" fontId="68" fillId="3" borderId="100" xfId="22" applyFont="1" applyFill="1" applyBorder="1" applyAlignment="1">
      <alignment horizontal="right" vertical="center" indent="2"/>
    </xf>
    <xf numFmtId="9" fontId="68" fillId="3" borderId="103" xfId="22" applyFont="1" applyFill="1" applyBorder="1" applyAlignment="1">
      <alignment horizontal="right" vertical="center" indent="2"/>
    </xf>
    <xf numFmtId="9" fontId="68" fillId="3" borderId="107" xfId="22" applyFont="1" applyFill="1" applyBorder="1" applyAlignment="1">
      <alignment horizontal="right" vertical="center" indent="2"/>
    </xf>
    <xf numFmtId="9" fontId="68" fillId="7" borderId="93" xfId="22" applyFont="1" applyFill="1" applyBorder="1" applyAlignment="1">
      <alignment horizontal="right" indent="1"/>
    </xf>
    <xf numFmtId="9" fontId="68" fillId="3" borderId="100" xfId="22" applyFont="1" applyFill="1" applyBorder="1" applyAlignment="1">
      <alignment horizontal="right" indent="1"/>
    </xf>
    <xf numFmtId="9" fontId="68" fillId="3" borderId="88" xfId="22" applyFont="1" applyFill="1" applyBorder="1" applyAlignment="1">
      <alignment horizontal="right" indent="1"/>
    </xf>
    <xf numFmtId="169" fontId="60" fillId="0" borderId="0" xfId="12" applyNumberFormat="1" applyFont="1"/>
    <xf numFmtId="9" fontId="68" fillId="2" borderId="86" xfId="22" applyFont="1" applyFill="1" applyBorder="1" applyAlignment="1">
      <alignment horizontal="right" vertical="center" indent="2"/>
    </xf>
    <xf numFmtId="9" fontId="68" fillId="2" borderId="101" xfId="22" applyFont="1" applyFill="1" applyBorder="1" applyAlignment="1">
      <alignment horizontal="right" vertical="center" indent="2"/>
    </xf>
    <xf numFmtId="9" fontId="68" fillId="2" borderId="89" xfId="22" applyFont="1" applyFill="1" applyBorder="1" applyAlignment="1">
      <alignment horizontal="right" vertical="center" indent="2"/>
    </xf>
    <xf numFmtId="9" fontId="68" fillId="2" borderId="104" xfId="22" applyFont="1" applyFill="1" applyBorder="1" applyAlignment="1">
      <alignment horizontal="right" vertical="center" indent="2"/>
    </xf>
    <xf numFmtId="9" fontId="68" fillId="2" borderId="108" xfId="22" applyFont="1" applyFill="1" applyBorder="1" applyAlignment="1">
      <alignment horizontal="right" vertical="center" indent="2"/>
    </xf>
    <xf numFmtId="9" fontId="68" fillId="8" borderId="94" xfId="22" applyFont="1" applyFill="1" applyBorder="1" applyAlignment="1">
      <alignment horizontal="right" indent="1"/>
    </xf>
    <xf numFmtId="9" fontId="68" fillId="2" borderId="101" xfId="22" applyFont="1" applyFill="1" applyBorder="1" applyAlignment="1">
      <alignment horizontal="right" indent="1"/>
    </xf>
    <xf numFmtId="9" fontId="68" fillId="2" borderId="89" xfId="22" applyFont="1" applyFill="1" applyBorder="1" applyAlignment="1">
      <alignment horizontal="right" indent="1"/>
    </xf>
    <xf numFmtId="9" fontId="68" fillId="3" borderId="86" xfId="22" applyFont="1" applyFill="1" applyBorder="1" applyAlignment="1">
      <alignment horizontal="right" vertical="center" indent="2"/>
    </xf>
    <xf numFmtId="9" fontId="68" fillId="3" borderId="101" xfId="22" applyFont="1" applyFill="1" applyBorder="1" applyAlignment="1">
      <alignment horizontal="right" vertical="center" indent="2"/>
    </xf>
    <xf numFmtId="9" fontId="68" fillId="3" borderId="89" xfId="22" applyFont="1" applyFill="1" applyBorder="1" applyAlignment="1">
      <alignment horizontal="right" vertical="center" indent="2"/>
    </xf>
    <xf numFmtId="9" fontId="68" fillId="3" borderId="104" xfId="22" applyFont="1" applyFill="1" applyBorder="1" applyAlignment="1">
      <alignment horizontal="right" vertical="center" indent="2"/>
    </xf>
    <xf numFmtId="9" fontId="68" fillId="3" borderId="108" xfId="22" applyFont="1" applyFill="1" applyBorder="1" applyAlignment="1">
      <alignment horizontal="right" vertical="center" indent="2"/>
    </xf>
    <xf numFmtId="9" fontId="68" fillId="3" borderId="94" xfId="22" applyFont="1" applyFill="1" applyBorder="1" applyAlignment="1">
      <alignment horizontal="right" indent="1"/>
    </xf>
    <xf numFmtId="9" fontId="68" fillId="3" borderId="101" xfId="22" applyFont="1" applyFill="1" applyBorder="1" applyAlignment="1">
      <alignment horizontal="right" indent="1"/>
    </xf>
    <xf numFmtId="9" fontId="68" fillId="3" borderId="89" xfId="22" applyFont="1" applyFill="1" applyBorder="1" applyAlignment="1">
      <alignment horizontal="right" indent="1"/>
    </xf>
    <xf numFmtId="9" fontId="68" fillId="2" borderId="87" xfId="22" applyFont="1" applyFill="1" applyBorder="1" applyAlignment="1">
      <alignment horizontal="right" vertical="center" indent="2"/>
    </xf>
    <xf numFmtId="9" fontId="68" fillId="2" borderId="102" xfId="22" applyFont="1" applyFill="1" applyBorder="1" applyAlignment="1">
      <alignment horizontal="right" vertical="center" indent="2"/>
    </xf>
    <xf numFmtId="9" fontId="68" fillId="2" borderId="90" xfId="22" applyFont="1" applyFill="1" applyBorder="1" applyAlignment="1">
      <alignment horizontal="right" vertical="center" indent="2"/>
    </xf>
    <xf numFmtId="9" fontId="68" fillId="2" borderId="66" xfId="22" applyFont="1" applyFill="1" applyBorder="1" applyAlignment="1">
      <alignment horizontal="right" vertical="center" indent="2"/>
    </xf>
    <xf numFmtId="9" fontId="68" fillId="2" borderId="109" xfId="22" applyFont="1" applyFill="1" applyBorder="1" applyAlignment="1">
      <alignment horizontal="right" vertical="center" indent="2"/>
    </xf>
    <xf numFmtId="9" fontId="68" fillId="2" borderId="95" xfId="22" applyFont="1" applyFill="1" applyBorder="1" applyAlignment="1">
      <alignment horizontal="right" indent="1"/>
    </xf>
    <xf numFmtId="9" fontId="68" fillId="2" borderId="102" xfId="22" applyFont="1" applyFill="1" applyBorder="1" applyAlignment="1">
      <alignment horizontal="right" indent="1"/>
    </xf>
    <xf numFmtId="9" fontId="68" fillId="2" borderId="90" xfId="22" applyFont="1" applyFill="1" applyBorder="1" applyAlignment="1">
      <alignment horizontal="right" indent="1"/>
    </xf>
    <xf numFmtId="0" fontId="69" fillId="0" borderId="0" xfId="12" applyFont="1"/>
    <xf numFmtId="165" fontId="60" fillId="0" borderId="0" xfId="22" applyNumberFormat="1" applyFont="1"/>
    <xf numFmtId="0" fontId="70" fillId="0" borderId="0" xfId="12" applyFont="1"/>
    <xf numFmtId="166" fontId="60" fillId="0" borderId="0" xfId="22" applyNumberFormat="1" applyFont="1"/>
    <xf numFmtId="0" fontId="77" fillId="0" borderId="0" xfId="12" applyFont="1"/>
    <xf numFmtId="0" fontId="62" fillId="14" borderId="7" xfId="12" applyFont="1" applyFill="1" applyBorder="1" applyAlignment="1">
      <alignment horizontal="center" vertical="center"/>
    </xf>
    <xf numFmtId="0" fontId="62" fillId="14" borderId="8" xfId="12" applyFont="1" applyFill="1" applyBorder="1" applyAlignment="1">
      <alignment horizontal="center"/>
    </xf>
    <xf numFmtId="0" fontId="62" fillId="14" borderId="41" xfId="12" applyFont="1" applyFill="1" applyBorder="1" applyAlignment="1">
      <alignment horizontal="center"/>
    </xf>
    <xf numFmtId="0" fontId="62" fillId="14" borderId="150" xfId="12" applyFont="1" applyFill="1" applyBorder="1" applyAlignment="1">
      <alignment horizontal="center"/>
    </xf>
    <xf numFmtId="0" fontId="62" fillId="14" borderId="17" xfId="12" applyFont="1" applyFill="1" applyBorder="1" applyAlignment="1">
      <alignment horizontal="center"/>
    </xf>
    <xf numFmtId="0" fontId="62" fillId="14" borderId="73" xfId="12" applyFont="1" applyFill="1" applyBorder="1" applyAlignment="1">
      <alignment horizontal="center" vertical="center"/>
    </xf>
    <xf numFmtId="0" fontId="62" fillId="14" borderId="8" xfId="12" applyFont="1" applyFill="1" applyBorder="1" applyAlignment="1">
      <alignment horizontal="center"/>
    </xf>
    <xf numFmtId="0" fontId="63" fillId="14" borderId="96" xfId="12" applyFont="1" applyFill="1" applyBorder="1" applyAlignment="1">
      <alignment horizontal="center"/>
    </xf>
    <xf numFmtId="0" fontId="63" fillId="14" borderId="97" xfId="12" applyFont="1" applyFill="1" applyBorder="1" applyAlignment="1">
      <alignment horizontal="center"/>
    </xf>
    <xf numFmtId="0" fontId="63" fillId="14" borderId="8" xfId="12" applyFont="1" applyFill="1" applyBorder="1" applyAlignment="1">
      <alignment horizontal="center"/>
    </xf>
    <xf numFmtId="0" fontId="63" fillId="14" borderId="105" xfId="12" applyFont="1" applyFill="1" applyBorder="1" applyAlignment="1">
      <alignment horizontal="center"/>
    </xf>
    <xf numFmtId="0" fontId="63" fillId="14" borderId="41" xfId="12" applyFont="1" applyFill="1" applyBorder="1" applyAlignment="1">
      <alignment horizontal="center"/>
    </xf>
    <xf numFmtId="0" fontId="66" fillId="3" borderId="3" xfId="11" applyFont="1" applyFill="1" applyBorder="1" applyAlignment="1">
      <alignment horizontal="center"/>
    </xf>
    <xf numFmtId="0" fontId="66" fillId="7" borderId="3" xfId="12" applyFont="1" applyFill="1" applyBorder="1" applyAlignment="1">
      <alignment horizontal="center"/>
    </xf>
    <xf numFmtId="0" fontId="59" fillId="0" borderId="0" xfId="0" applyFont="1"/>
    <xf numFmtId="0" fontId="62" fillId="14" borderId="74" xfId="0" applyFont="1" applyFill="1" applyBorder="1" applyAlignment="1">
      <alignment horizontal="center" vertical="center"/>
    </xf>
    <xf numFmtId="0" fontId="62" fillId="14" borderId="60" xfId="0" applyFont="1" applyFill="1" applyBorder="1" applyAlignment="1">
      <alignment horizontal="center"/>
    </xf>
    <xf numFmtId="0" fontId="62" fillId="14" borderId="70" xfId="0" applyFont="1" applyFill="1" applyBorder="1" applyAlignment="1">
      <alignment horizontal="center"/>
    </xf>
    <xf numFmtId="0" fontId="62" fillId="14" borderId="151" xfId="0" applyFont="1" applyFill="1" applyBorder="1" applyAlignment="1">
      <alignment horizontal="center"/>
    </xf>
    <xf numFmtId="0" fontId="62" fillId="14" borderId="71" xfId="0" applyFont="1" applyFill="1" applyBorder="1" applyAlignment="1">
      <alignment horizontal="center"/>
    </xf>
    <xf numFmtId="0" fontId="62" fillId="14" borderId="73" xfId="0" applyFont="1" applyFill="1" applyBorder="1" applyAlignment="1">
      <alignment horizontal="center" vertical="center"/>
    </xf>
    <xf numFmtId="0" fontId="62" fillId="14" borderId="85" xfId="0" applyFont="1" applyFill="1" applyBorder="1" applyAlignment="1">
      <alignment horizontal="center"/>
    </xf>
    <xf numFmtId="0" fontId="63" fillId="14" borderId="110" xfId="0" applyFont="1" applyFill="1" applyBorder="1" applyAlignment="1">
      <alignment horizontal="center"/>
    </xf>
    <xf numFmtId="0" fontId="63" fillId="14" borderId="111" xfId="0" applyFont="1" applyFill="1" applyBorder="1" applyAlignment="1">
      <alignment horizontal="center"/>
    </xf>
    <xf numFmtId="0" fontId="63" fillId="14" borderId="85" xfId="0" applyFont="1" applyFill="1" applyBorder="1" applyAlignment="1">
      <alignment horizontal="center"/>
    </xf>
    <xf numFmtId="0" fontId="63" fillId="14" borderId="114" xfId="0" applyFont="1" applyFill="1" applyBorder="1" applyAlignment="1">
      <alignment horizontal="center"/>
    </xf>
    <xf numFmtId="0" fontId="63" fillId="14" borderId="15" xfId="0" applyFont="1" applyFill="1" applyBorder="1" applyAlignment="1">
      <alignment horizontal="center"/>
    </xf>
    <xf numFmtId="0" fontId="72" fillId="0" borderId="3" xfId="0" applyFont="1" applyBorder="1" applyAlignment="1">
      <alignment horizontal="center"/>
    </xf>
    <xf numFmtId="169" fontId="62" fillId="0" borderId="4" xfId="0" applyNumberFormat="1" applyFont="1" applyBorder="1"/>
    <xf numFmtId="169" fontId="72" fillId="0" borderId="98" xfId="0" applyNumberFormat="1" applyFont="1" applyBorder="1"/>
    <xf numFmtId="169" fontId="72" fillId="0" borderId="99" xfId="0" applyNumberFormat="1" applyFont="1" applyBorder="1"/>
    <xf numFmtId="169" fontId="72" fillId="0" borderId="4" xfId="0" applyNumberFormat="1" applyFont="1" applyBorder="1"/>
    <xf numFmtId="169" fontId="72" fillId="0" borderId="106" xfId="0" applyNumberFormat="1" applyFont="1" applyBorder="1"/>
    <xf numFmtId="169" fontId="72" fillId="0" borderId="1" xfId="0" applyNumberFormat="1" applyFont="1" applyBorder="1"/>
    <xf numFmtId="169" fontId="66" fillId="3" borderId="4" xfId="12" applyNumberFormat="1" applyFont="1" applyFill="1" applyBorder="1"/>
    <xf numFmtId="169" fontId="60" fillId="3" borderId="98" xfId="12" applyNumberFormat="1" applyFont="1" applyFill="1" applyBorder="1"/>
    <xf numFmtId="169" fontId="60" fillId="3" borderId="99" xfId="12" applyNumberFormat="1" applyFont="1" applyFill="1" applyBorder="1"/>
    <xf numFmtId="169" fontId="60" fillId="3" borderId="4" xfId="12" applyNumberFormat="1" applyFont="1" applyFill="1" applyBorder="1"/>
    <xf numFmtId="169" fontId="60" fillId="3" borderId="106" xfId="12" applyNumberFormat="1" applyFont="1" applyFill="1" applyBorder="1"/>
    <xf numFmtId="169" fontId="60" fillId="3" borderId="1" xfId="12" applyNumberFormat="1" applyFont="1" applyFill="1" applyBorder="1"/>
    <xf numFmtId="168" fontId="60" fillId="0" borderId="0" xfId="0" applyNumberFormat="1" applyFont="1"/>
    <xf numFmtId="169" fontId="66" fillId="0" borderId="4" xfId="0" applyNumberFormat="1" applyFont="1" applyBorder="1"/>
    <xf numFmtId="169" fontId="60" fillId="0" borderId="98" xfId="0" applyNumberFormat="1" applyFont="1" applyBorder="1"/>
    <xf numFmtId="169" fontId="60" fillId="0" borderId="99" xfId="0" applyNumberFormat="1" applyFont="1" applyBorder="1"/>
    <xf numFmtId="169" fontId="60" fillId="0" borderId="4" xfId="0" applyNumberFormat="1" applyFont="1" applyBorder="1"/>
    <xf numFmtId="169" fontId="60" fillId="0" borderId="106" xfId="0" applyNumberFormat="1" applyFont="1" applyBorder="1"/>
    <xf numFmtId="169" fontId="60" fillId="0" borderId="1" xfId="0" applyNumberFormat="1" applyFont="1" applyBorder="1"/>
    <xf numFmtId="168" fontId="60" fillId="0" borderId="98" xfId="0" applyNumberFormat="1" applyFont="1" applyBorder="1"/>
    <xf numFmtId="169" fontId="60" fillId="0" borderId="2" xfId="0" applyNumberFormat="1" applyFont="1" applyBorder="1"/>
    <xf numFmtId="169" fontId="66" fillId="0" borderId="0" xfId="0" applyNumberFormat="1" applyFont="1"/>
    <xf numFmtId="169" fontId="60" fillId="8" borderId="98" xfId="0" applyNumberFormat="1" applyFont="1" applyFill="1" applyBorder="1"/>
    <xf numFmtId="169" fontId="60" fillId="8" borderId="106" xfId="0" applyNumberFormat="1" applyFont="1" applyFill="1" applyBorder="1"/>
    <xf numFmtId="169" fontId="60" fillId="8" borderId="99" xfId="0" applyNumberFormat="1" applyFont="1" applyFill="1" applyBorder="1"/>
    <xf numFmtId="0" fontId="66" fillId="0" borderId="6" xfId="0" applyFont="1" applyBorder="1" applyAlignment="1">
      <alignment horizontal="center"/>
    </xf>
    <xf numFmtId="169" fontId="66" fillId="0" borderId="5" xfId="0" applyNumberFormat="1" applyFont="1" applyBorder="1"/>
    <xf numFmtId="169" fontId="60" fillId="0" borderId="112" xfId="0" applyNumberFormat="1" applyFont="1" applyBorder="1"/>
    <xf numFmtId="169" fontId="60" fillId="0" borderId="113" xfId="0" applyNumberFormat="1" applyFont="1" applyBorder="1"/>
    <xf numFmtId="169" fontId="60" fillId="0" borderId="5" xfId="0" applyNumberFormat="1" applyFont="1" applyBorder="1"/>
    <xf numFmtId="169" fontId="60" fillId="0" borderId="115" xfId="0" applyNumberFormat="1" applyFont="1" applyBorder="1"/>
    <xf numFmtId="168" fontId="60" fillId="0" borderId="112" xfId="0" applyNumberFormat="1" applyFont="1" applyBorder="1"/>
    <xf numFmtId="0" fontId="67" fillId="3" borderId="9" xfId="0" applyFont="1" applyFill="1" applyBorder="1" applyAlignment="1">
      <alignment vertical="center"/>
    </xf>
    <xf numFmtId="9" fontId="68" fillId="3" borderId="64" xfId="22" applyFont="1" applyFill="1" applyBorder="1" applyAlignment="1">
      <alignment horizontal="right" vertical="center" indent="1"/>
    </xf>
    <xf numFmtId="9" fontId="68" fillId="3" borderId="100" xfId="22" applyFont="1" applyFill="1" applyBorder="1" applyAlignment="1">
      <alignment horizontal="right" vertical="center" indent="1"/>
    </xf>
    <xf numFmtId="9" fontId="68" fillId="3" borderId="88" xfId="22" applyFont="1" applyFill="1" applyBorder="1" applyAlignment="1">
      <alignment horizontal="right" vertical="center" indent="1"/>
    </xf>
    <xf numFmtId="9" fontId="68" fillId="3" borderId="103" xfId="22" applyFont="1" applyFill="1" applyBorder="1" applyAlignment="1">
      <alignment horizontal="right" vertical="center" indent="1"/>
    </xf>
    <xf numFmtId="9" fontId="68" fillId="3" borderId="107" xfId="22" applyFont="1" applyFill="1" applyBorder="1" applyAlignment="1">
      <alignment horizontal="right" vertical="center" indent="1"/>
    </xf>
    <xf numFmtId="9" fontId="68" fillId="3" borderId="93" xfId="22" applyFont="1" applyFill="1" applyBorder="1" applyAlignment="1">
      <alignment horizontal="right"/>
    </xf>
    <xf numFmtId="9" fontId="68" fillId="3" borderId="100" xfId="22" applyFont="1" applyFill="1" applyBorder="1" applyAlignment="1">
      <alignment horizontal="right"/>
    </xf>
    <xf numFmtId="9" fontId="68" fillId="3" borderId="88" xfId="22" applyFont="1" applyFill="1" applyBorder="1" applyAlignment="1">
      <alignment horizontal="right"/>
    </xf>
    <xf numFmtId="0" fontId="67" fillId="0" borderId="53" xfId="0" applyFont="1" applyBorder="1" applyAlignment="1">
      <alignment vertical="center"/>
    </xf>
    <xf numFmtId="9" fontId="68" fillId="2" borderId="86" xfId="22" applyFont="1" applyFill="1" applyBorder="1" applyAlignment="1">
      <alignment horizontal="right" vertical="center" indent="1"/>
    </xf>
    <xf numFmtId="9" fontId="68" fillId="2" borderId="101" xfId="22" applyFont="1" applyFill="1" applyBorder="1" applyAlignment="1">
      <alignment horizontal="right" vertical="center" indent="1"/>
    </xf>
    <xf numFmtId="9" fontId="68" fillId="2" borderId="89" xfId="22" applyFont="1" applyFill="1" applyBorder="1" applyAlignment="1">
      <alignment horizontal="right" vertical="center" indent="1"/>
    </xf>
    <xf numFmtId="9" fontId="68" fillId="2" borderId="104" xfId="22" applyFont="1" applyFill="1" applyBorder="1" applyAlignment="1">
      <alignment horizontal="right" vertical="center" indent="1"/>
    </xf>
    <xf numFmtId="9" fontId="68" fillId="2" borderId="108" xfId="22" applyFont="1" applyFill="1" applyBorder="1" applyAlignment="1">
      <alignment horizontal="right" vertical="center" indent="1"/>
    </xf>
    <xf numFmtId="9" fontId="68" fillId="2" borderId="94" xfId="22" applyFont="1" applyFill="1" applyBorder="1" applyAlignment="1">
      <alignment horizontal="right"/>
    </xf>
    <xf numFmtId="9" fontId="68" fillId="2" borderId="101" xfId="22" applyFont="1" applyFill="1" applyBorder="1" applyAlignment="1">
      <alignment horizontal="right"/>
    </xf>
    <xf numFmtId="9" fontId="68" fillId="2" borderId="89" xfId="22" applyFont="1" applyFill="1" applyBorder="1" applyAlignment="1">
      <alignment horizontal="right"/>
    </xf>
    <xf numFmtId="0" fontId="67" fillId="3" borderId="53" xfId="0" applyFont="1" applyFill="1" applyBorder="1" applyAlignment="1">
      <alignment vertical="center"/>
    </xf>
    <xf numFmtId="9" fontId="68" fillId="3" borderId="86" xfId="22" applyFont="1" applyFill="1" applyBorder="1" applyAlignment="1">
      <alignment horizontal="right" vertical="center" indent="1"/>
    </xf>
    <xf numFmtId="9" fontId="68" fillId="3" borderId="101" xfId="22" applyFont="1" applyFill="1" applyBorder="1" applyAlignment="1">
      <alignment horizontal="right" vertical="center" indent="1"/>
    </xf>
    <xf numFmtId="9" fontId="68" fillId="3" borderId="89" xfId="22" applyFont="1" applyFill="1" applyBorder="1" applyAlignment="1">
      <alignment horizontal="right" vertical="center" indent="1"/>
    </xf>
    <xf numFmtId="9" fontId="68" fillId="3" borderId="104" xfId="22" applyFont="1" applyFill="1" applyBorder="1" applyAlignment="1">
      <alignment horizontal="right" vertical="center" indent="1"/>
    </xf>
    <xf numFmtId="9" fontId="68" fillId="3" borderId="108" xfId="22" applyFont="1" applyFill="1" applyBorder="1" applyAlignment="1">
      <alignment horizontal="right" vertical="center" indent="1"/>
    </xf>
    <xf numFmtId="9" fontId="68" fillId="3" borderId="94" xfId="22" applyFont="1" applyFill="1" applyBorder="1" applyAlignment="1">
      <alignment horizontal="right"/>
    </xf>
    <xf numFmtId="9" fontId="68" fillId="3" borderId="101" xfId="22" applyFont="1" applyFill="1" applyBorder="1" applyAlignment="1">
      <alignment horizontal="right"/>
    </xf>
    <xf numFmtId="9" fontId="68" fillId="3" borderId="89" xfId="22" applyFont="1" applyFill="1" applyBorder="1" applyAlignment="1">
      <alignment horizontal="right"/>
    </xf>
    <xf numFmtId="0" fontId="67" fillId="0" borderId="54" xfId="0" applyFont="1" applyBorder="1" applyAlignment="1">
      <alignment vertical="center"/>
    </xf>
    <xf numFmtId="9" fontId="68" fillId="2" borderId="87" xfId="22" applyFont="1" applyFill="1" applyBorder="1" applyAlignment="1">
      <alignment horizontal="right" vertical="center" indent="1"/>
    </xf>
    <xf numFmtId="9" fontId="68" fillId="2" borderId="102" xfId="22" applyFont="1" applyFill="1" applyBorder="1" applyAlignment="1">
      <alignment horizontal="right" vertical="center" indent="1"/>
    </xf>
    <xf numFmtId="9" fontId="68" fillId="2" borderId="90" xfId="22" applyFont="1" applyFill="1" applyBorder="1" applyAlignment="1">
      <alignment horizontal="right" vertical="center" indent="1"/>
    </xf>
    <xf numFmtId="9" fontId="68" fillId="2" borderId="66" xfId="22" applyFont="1" applyFill="1" applyBorder="1" applyAlignment="1">
      <alignment horizontal="right" vertical="center" indent="1"/>
    </xf>
    <xf numFmtId="9" fontId="68" fillId="2" borderId="109" xfId="22" applyFont="1" applyFill="1" applyBorder="1" applyAlignment="1">
      <alignment horizontal="right" vertical="center" indent="1"/>
    </xf>
    <xf numFmtId="9" fontId="68" fillId="2" borderId="95" xfId="22" applyFont="1" applyFill="1" applyBorder="1" applyAlignment="1">
      <alignment horizontal="right"/>
    </xf>
    <xf numFmtId="9" fontId="68" fillId="2" borderId="102" xfId="22" applyFont="1" applyFill="1" applyBorder="1" applyAlignment="1">
      <alignment horizontal="right"/>
    </xf>
    <xf numFmtId="9" fontId="68" fillId="2" borderId="90" xfId="22" applyFont="1" applyFill="1" applyBorder="1" applyAlignment="1">
      <alignment horizontal="right"/>
    </xf>
    <xf numFmtId="0" fontId="75" fillId="0" borderId="0" xfId="0" applyFont="1" applyAlignment="1">
      <alignment horizontal="center"/>
    </xf>
    <xf numFmtId="0" fontId="73" fillId="8" borderId="0" xfId="0" applyFont="1" applyFill="1"/>
    <xf numFmtId="166" fontId="60" fillId="8" borderId="0" xfId="28" applyNumberFormat="1" applyFont="1" applyFill="1"/>
    <xf numFmtId="0" fontId="61" fillId="0" borderId="0" xfId="0" applyFont="1" applyAlignment="1">
      <alignment horizontal="center"/>
    </xf>
    <xf numFmtId="167" fontId="61" fillId="0" borderId="0" xfId="0" applyNumberFormat="1" applyFont="1" applyAlignment="1">
      <alignment horizontal="center"/>
    </xf>
    <xf numFmtId="0" fontId="70" fillId="8" borderId="0" xfId="0" applyFont="1" applyFill="1"/>
    <xf numFmtId="0" fontId="75" fillId="0" borderId="0" xfId="0" applyFont="1"/>
    <xf numFmtId="0" fontId="71" fillId="0" borderId="0" xfId="0" applyFont="1" applyAlignment="1">
      <alignment horizontal="centerContinuous"/>
    </xf>
    <xf numFmtId="0" fontId="60" fillId="0" borderId="0" xfId="0" applyFont="1" applyAlignment="1">
      <alignment horizontal="centerContinuous"/>
    </xf>
    <xf numFmtId="0" fontId="62" fillId="14" borderId="60" xfId="0" applyFont="1" applyFill="1" applyBorder="1" applyAlignment="1">
      <alignment horizontal="center" vertical="center"/>
    </xf>
    <xf numFmtId="0" fontId="62" fillId="14" borderId="70" xfId="0" applyFont="1" applyFill="1" applyBorder="1" applyAlignment="1">
      <alignment horizontal="center" vertical="center"/>
    </xf>
    <xf numFmtId="0" fontId="62" fillId="14" borderId="152" xfId="0" applyFont="1" applyFill="1" applyBorder="1" applyAlignment="1">
      <alignment horizontal="center" vertical="center"/>
    </xf>
    <xf numFmtId="0" fontId="62" fillId="14" borderId="71" xfId="0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2" fillId="14" borderId="85" xfId="0" applyFont="1" applyFill="1" applyBorder="1" applyAlignment="1">
      <alignment horizontal="center" vertical="center"/>
    </xf>
    <xf numFmtId="0" fontId="62" fillId="14" borderId="14" xfId="0" applyFont="1" applyFill="1" applyBorder="1" applyAlignment="1">
      <alignment horizontal="center" vertical="center"/>
    </xf>
    <xf numFmtId="0" fontId="62" fillId="14" borderId="91" xfId="0" applyFont="1" applyFill="1" applyBorder="1" applyAlignment="1">
      <alignment horizontal="center" vertical="center"/>
    </xf>
    <xf numFmtId="0" fontId="62" fillId="14" borderId="13" xfId="0" applyFont="1" applyFill="1" applyBorder="1" applyAlignment="1">
      <alignment horizontal="center" vertical="center"/>
    </xf>
    <xf numFmtId="0" fontId="62" fillId="14" borderId="80" xfId="0" applyFont="1" applyFill="1" applyBorder="1" applyAlignment="1">
      <alignment horizontal="center" vertical="center"/>
    </xf>
    <xf numFmtId="0" fontId="62" fillId="14" borderId="92" xfId="0" applyFont="1" applyFill="1" applyBorder="1" applyAlignment="1">
      <alignment horizontal="center" vertical="center"/>
    </xf>
    <xf numFmtId="169" fontId="60" fillId="3" borderId="1" xfId="12" applyNumberFormat="1" applyFont="1" applyFill="1" applyBorder="1" applyAlignment="1">
      <alignment horizontal="right" indent="1"/>
    </xf>
    <xf numFmtId="169" fontId="60" fillId="0" borderId="0" xfId="0" applyNumberFormat="1" applyFont="1"/>
    <xf numFmtId="169" fontId="66" fillId="0" borderId="4" xfId="0" applyNumberFormat="1" applyFont="1" applyBorder="1" applyAlignment="1">
      <alignment horizontal="right" indent="1"/>
    </xf>
    <xf numFmtId="169" fontId="60" fillId="0" borderId="98" xfId="0" applyNumberFormat="1" applyFont="1" applyBorder="1" applyAlignment="1">
      <alignment horizontal="right" indent="1"/>
    </xf>
    <xf numFmtId="169" fontId="60" fillId="0" borderId="99" xfId="0" applyNumberFormat="1" applyFont="1" applyBorder="1" applyAlignment="1">
      <alignment horizontal="right" indent="1"/>
    </xf>
    <xf numFmtId="169" fontId="60" fillId="0" borderId="4" xfId="0" applyNumberFormat="1" applyFont="1" applyBorder="1" applyAlignment="1">
      <alignment horizontal="right" indent="1"/>
    </xf>
    <xf numFmtId="169" fontId="60" fillId="0" borderId="106" xfId="0" applyNumberFormat="1" applyFont="1" applyBorder="1" applyAlignment="1">
      <alignment horizontal="right" indent="1"/>
    </xf>
    <xf numFmtId="169" fontId="60" fillId="0" borderId="1" xfId="0" applyNumberFormat="1" applyFont="1" applyBorder="1" applyAlignment="1">
      <alignment horizontal="right" indent="1"/>
    </xf>
    <xf numFmtId="168" fontId="60" fillId="0" borderId="98" xfId="0" applyNumberFormat="1" applyFont="1" applyBorder="1" applyAlignment="1">
      <alignment horizontal="right" indent="1"/>
    </xf>
    <xf numFmtId="169" fontId="60" fillId="0" borderId="2" xfId="0" applyNumberFormat="1" applyFont="1" applyBorder="1" applyAlignment="1">
      <alignment horizontal="right" indent="1"/>
    </xf>
    <xf numFmtId="169" fontId="66" fillId="0" borderId="0" xfId="0" applyNumberFormat="1" applyFont="1" applyAlignment="1">
      <alignment horizontal="right" indent="1"/>
    </xf>
    <xf numFmtId="169" fontId="60" fillId="8" borderId="98" xfId="0" applyNumberFormat="1" applyFont="1" applyFill="1" applyBorder="1" applyAlignment="1">
      <alignment horizontal="right" indent="1"/>
    </xf>
    <xf numFmtId="169" fontId="60" fillId="8" borderId="106" xfId="0" applyNumberFormat="1" applyFont="1" applyFill="1" applyBorder="1" applyAlignment="1">
      <alignment horizontal="right" indent="1"/>
    </xf>
    <xf numFmtId="169" fontId="60" fillId="8" borderId="99" xfId="0" applyNumberFormat="1" applyFont="1" applyFill="1" applyBorder="1" applyAlignment="1">
      <alignment horizontal="right" indent="1"/>
    </xf>
    <xf numFmtId="169" fontId="66" fillId="8" borderId="0" xfId="0" applyNumberFormat="1" applyFont="1" applyFill="1" applyAlignment="1">
      <alignment horizontal="right" indent="1"/>
    </xf>
    <xf numFmtId="169" fontId="60" fillId="8" borderId="4" xfId="0" applyNumberFormat="1" applyFont="1" applyFill="1" applyBorder="1" applyAlignment="1">
      <alignment horizontal="right" indent="1"/>
    </xf>
    <xf numFmtId="169" fontId="60" fillId="8" borderId="2" xfId="0" applyNumberFormat="1" applyFont="1" applyFill="1" applyBorder="1" applyAlignment="1">
      <alignment horizontal="right" indent="1"/>
    </xf>
    <xf numFmtId="168" fontId="60" fillId="8" borderId="98" xfId="0" applyNumberFormat="1" applyFont="1" applyFill="1" applyBorder="1" applyAlignment="1">
      <alignment horizontal="right" indent="1"/>
    </xf>
    <xf numFmtId="169" fontId="66" fillId="0" borderId="5" xfId="0" applyNumberFormat="1" applyFont="1" applyBorder="1" applyAlignment="1">
      <alignment horizontal="right" indent="1"/>
    </xf>
    <xf numFmtId="169" fontId="60" fillId="0" borderId="112" xfId="0" applyNumberFormat="1" applyFont="1" applyBorder="1" applyAlignment="1">
      <alignment horizontal="right" indent="1"/>
    </xf>
    <xf numFmtId="169" fontId="60" fillId="0" borderId="113" xfId="0" applyNumberFormat="1" applyFont="1" applyBorder="1" applyAlignment="1">
      <alignment horizontal="right" indent="1"/>
    </xf>
    <xf numFmtId="169" fontId="60" fillId="0" borderId="5" xfId="0" applyNumberFormat="1" applyFont="1" applyBorder="1" applyAlignment="1">
      <alignment horizontal="right" indent="1"/>
    </xf>
    <xf numFmtId="169" fontId="60" fillId="0" borderId="115" xfId="0" applyNumberFormat="1" applyFont="1" applyBorder="1" applyAlignment="1">
      <alignment horizontal="right" indent="1"/>
    </xf>
    <xf numFmtId="169" fontId="60" fillId="0" borderId="37" xfId="0" applyNumberFormat="1" applyFont="1" applyBorder="1" applyAlignment="1">
      <alignment horizontal="right" indent="1"/>
    </xf>
    <xf numFmtId="168" fontId="60" fillId="0" borderId="112" xfId="0" applyNumberFormat="1" applyFont="1" applyBorder="1" applyAlignment="1">
      <alignment horizontal="right" indent="1"/>
    </xf>
    <xf numFmtId="9" fontId="68" fillId="3" borderId="88" xfId="22" applyFont="1" applyFill="1" applyBorder="1" applyAlignment="1">
      <alignment horizontal="right" vertical="center" indent="2"/>
    </xf>
    <xf numFmtId="166" fontId="60" fillId="0" borderId="0" xfId="23" applyNumberFormat="1" applyFont="1"/>
    <xf numFmtId="0" fontId="61" fillId="0" borderId="0" xfId="0" quotePrefix="1" applyFont="1" applyAlignment="1">
      <alignment horizontal="right"/>
    </xf>
    <xf numFmtId="0" fontId="4" fillId="7" borderId="49" xfId="0" applyFont="1" applyFill="1" applyBorder="1" applyAlignment="1">
      <alignment horizontal="center" vertical="center"/>
    </xf>
    <xf numFmtId="0" fontId="60" fillId="8" borderId="0" xfId="0" applyFont="1" applyFill="1" applyAlignment="1">
      <alignment horizontal="centerContinuous"/>
    </xf>
    <xf numFmtId="3" fontId="60" fillId="0" borderId="0" xfId="0" applyNumberFormat="1" applyFont="1"/>
    <xf numFmtId="3" fontId="79" fillId="0" borderId="0" xfId="0" applyNumberFormat="1" applyFont="1"/>
    <xf numFmtId="0" fontId="71" fillId="8" borderId="0" xfId="0" applyFont="1" applyFill="1" applyAlignment="1">
      <alignment horizontal="left"/>
    </xf>
    <xf numFmtId="168" fontId="79" fillId="0" borderId="0" xfId="0" applyNumberFormat="1" applyFont="1"/>
    <xf numFmtId="2" fontId="60" fillId="0" borderId="0" xfId="0" applyNumberFormat="1" applyFont="1"/>
    <xf numFmtId="0" fontId="62" fillId="14" borderId="68" xfId="0" applyFont="1" applyFill="1" applyBorder="1" applyAlignment="1">
      <alignment horizontal="center" vertical="center"/>
    </xf>
    <xf numFmtId="0" fontId="80" fillId="14" borderId="76" xfId="0" applyFont="1" applyFill="1" applyBorder="1" applyAlignment="1">
      <alignment horizontal="center" vertical="center"/>
    </xf>
    <xf numFmtId="0" fontId="80" fillId="14" borderId="11" xfId="0" applyFont="1" applyFill="1" applyBorder="1" applyAlignment="1">
      <alignment horizontal="center" vertical="center"/>
    </xf>
    <xf numFmtId="0" fontId="80" fillId="14" borderId="77" xfId="0" applyFont="1" applyFill="1" applyBorder="1" applyAlignment="1">
      <alignment horizontal="center" vertical="center"/>
    </xf>
    <xf numFmtId="168" fontId="60" fillId="0" borderId="0" xfId="0" applyNumberFormat="1" applyFont="1" applyAlignment="1">
      <alignment vertical="center"/>
    </xf>
    <xf numFmtId="168" fontId="79" fillId="0" borderId="0" xfId="0" applyNumberFormat="1" applyFont="1" applyAlignment="1">
      <alignment vertical="center"/>
    </xf>
    <xf numFmtId="2" fontId="60" fillId="0" borderId="0" xfId="0" applyNumberFormat="1" applyFont="1" applyAlignment="1">
      <alignment vertical="center"/>
    </xf>
    <xf numFmtId="169" fontId="60" fillId="0" borderId="0" xfId="0" applyNumberFormat="1" applyFont="1" applyAlignment="1">
      <alignment vertical="center"/>
    </xf>
    <xf numFmtId="0" fontId="62" fillId="14" borderId="63" xfId="0" applyFont="1" applyFill="1" applyBorder="1" applyAlignment="1">
      <alignment horizontal="center" vertical="center"/>
    </xf>
    <xf numFmtId="0" fontId="62" fillId="14" borderId="14" xfId="0" applyFont="1" applyFill="1" applyBorder="1" applyAlignment="1">
      <alignment horizontal="center" vertical="center" wrapText="1"/>
    </xf>
    <xf numFmtId="0" fontId="62" fillId="14" borderId="92" xfId="0" applyFont="1" applyFill="1" applyBorder="1" applyAlignment="1">
      <alignment horizontal="center" vertical="center" wrapText="1"/>
    </xf>
    <xf numFmtId="0" fontId="60" fillId="8" borderId="0" xfId="0" applyFont="1" applyFill="1" applyAlignment="1">
      <alignment horizontal="right" vertical="center"/>
    </xf>
    <xf numFmtId="0" fontId="62" fillId="8" borderId="3" xfId="0" applyFont="1" applyFill="1" applyBorder="1" applyAlignment="1">
      <alignment horizontal="center" vertical="center"/>
    </xf>
    <xf numFmtId="0" fontId="62" fillId="8" borderId="4" xfId="0" applyFont="1" applyFill="1" applyBorder="1" applyAlignment="1">
      <alignment horizontal="center" vertical="center"/>
    </xf>
    <xf numFmtId="0" fontId="62" fillId="8" borderId="1" xfId="0" applyFont="1" applyFill="1" applyBorder="1" applyAlignment="1">
      <alignment horizontal="center" vertical="center"/>
    </xf>
    <xf numFmtId="0" fontId="62" fillId="8" borderId="2" xfId="0" applyFont="1" applyFill="1" applyBorder="1" applyAlignment="1">
      <alignment horizontal="center" vertical="center" wrapText="1"/>
    </xf>
    <xf numFmtId="0" fontId="72" fillId="8" borderId="129" xfId="0" applyFont="1" applyFill="1" applyBorder="1"/>
    <xf numFmtId="0" fontId="60" fillId="8" borderId="0" xfId="0" applyFont="1" applyFill="1" applyAlignment="1">
      <alignment horizontal="right"/>
    </xf>
    <xf numFmtId="0" fontId="60" fillId="7" borderId="3" xfId="0" applyFont="1" applyFill="1" applyBorder="1" applyAlignment="1">
      <alignment horizontal="center" vertical="center"/>
    </xf>
    <xf numFmtId="4" fontId="60" fillId="7" borderId="4" xfId="0" applyNumberFormat="1" applyFont="1" applyFill="1" applyBorder="1" applyAlignment="1">
      <alignment horizontal="right" vertical="center" indent="1"/>
    </xf>
    <xf numFmtId="4" fontId="60" fillId="7" borderId="1" xfId="0" applyNumberFormat="1" applyFont="1" applyFill="1" applyBorder="1" applyAlignment="1">
      <alignment horizontal="right" vertical="center" indent="1"/>
    </xf>
    <xf numFmtId="4" fontId="60" fillId="7" borderId="2" xfId="0" applyNumberFormat="1" applyFont="1" applyFill="1" applyBorder="1" applyAlignment="1">
      <alignment horizontal="right" vertical="center" indent="1"/>
    </xf>
    <xf numFmtId="4" fontId="60" fillId="7" borderId="129" xfId="0" applyNumberFormat="1" applyFont="1" applyFill="1" applyBorder="1" applyAlignment="1">
      <alignment horizontal="right" vertical="center" indent="1"/>
    </xf>
    <xf numFmtId="165" fontId="60" fillId="0" borderId="0" xfId="28" applyNumberFormat="1" applyFont="1" applyAlignment="1">
      <alignment horizontal="center"/>
    </xf>
    <xf numFmtId="0" fontId="61" fillId="0" borderId="0" xfId="0" applyFont="1" applyAlignment="1">
      <alignment horizontal="center" vertical="center"/>
    </xf>
    <xf numFmtId="169" fontId="61" fillId="0" borderId="0" xfId="0" applyNumberFormat="1" applyFont="1" applyAlignment="1">
      <alignment vertical="center"/>
    </xf>
    <xf numFmtId="0" fontId="60" fillId="8" borderId="3" xfId="0" applyFont="1" applyFill="1" applyBorder="1" applyAlignment="1">
      <alignment horizontal="center" vertical="center"/>
    </xf>
    <xf numFmtId="4" fontId="60" fillId="8" borderId="4" xfId="0" applyNumberFormat="1" applyFont="1" applyFill="1" applyBorder="1" applyAlignment="1">
      <alignment horizontal="right" vertical="center" indent="1"/>
    </xf>
    <xf numFmtId="4" fontId="60" fillId="8" borderId="1" xfId="0" applyNumberFormat="1" applyFont="1" applyFill="1" applyBorder="1" applyAlignment="1">
      <alignment horizontal="right" vertical="center" indent="1"/>
    </xf>
    <xf numFmtId="4" fontId="60" fillId="8" borderId="2" xfId="0" applyNumberFormat="1" applyFont="1" applyFill="1" applyBorder="1" applyAlignment="1">
      <alignment horizontal="right" vertical="center" indent="1"/>
    </xf>
    <xf numFmtId="4" fontId="60" fillId="8" borderId="129" xfId="0" applyNumberFormat="1" applyFont="1" applyFill="1" applyBorder="1" applyAlignment="1">
      <alignment horizontal="right" vertical="center" indent="1"/>
    </xf>
    <xf numFmtId="165" fontId="60" fillId="0" borderId="0" xfId="28" applyNumberFormat="1" applyFont="1"/>
    <xf numFmtId="0" fontId="66" fillId="7" borderId="3" xfId="0" applyFont="1" applyFill="1" applyBorder="1" applyAlignment="1">
      <alignment horizontal="center" vertical="center"/>
    </xf>
    <xf numFmtId="0" fontId="79" fillId="0" borderId="0" xfId="0" applyFont="1"/>
    <xf numFmtId="0" fontId="67" fillId="7" borderId="9" xfId="0" applyFont="1" applyFill="1" applyBorder="1"/>
    <xf numFmtId="9" fontId="68" fillId="7" borderId="64" xfId="22" applyFont="1" applyFill="1" applyBorder="1" applyAlignment="1">
      <alignment horizontal="right" indent="1"/>
    </xf>
    <xf numFmtId="9" fontId="68" fillId="7" borderId="130" xfId="22" applyFont="1" applyFill="1" applyBorder="1" applyAlignment="1">
      <alignment horizontal="right" indent="1"/>
    </xf>
    <xf numFmtId="0" fontId="67" fillId="8" borderId="53" xfId="0" applyFont="1" applyFill="1" applyBorder="1"/>
    <xf numFmtId="9" fontId="68" fillId="8" borderId="86" xfId="22" applyFont="1" applyFill="1" applyBorder="1" applyAlignment="1">
      <alignment horizontal="right" indent="1"/>
    </xf>
    <xf numFmtId="9" fontId="68" fillId="8" borderId="131" xfId="22" applyFont="1" applyFill="1" applyBorder="1" applyAlignment="1">
      <alignment horizontal="right" indent="1"/>
    </xf>
    <xf numFmtId="0" fontId="67" fillId="7" borderId="53" xfId="0" applyFont="1" applyFill="1" applyBorder="1"/>
    <xf numFmtId="9" fontId="68" fillId="7" borderId="86" xfId="22" applyFont="1" applyFill="1" applyBorder="1" applyAlignment="1">
      <alignment horizontal="right" indent="1"/>
    </xf>
    <xf numFmtId="9" fontId="68" fillId="7" borderId="94" xfId="22" applyFont="1" applyFill="1" applyBorder="1" applyAlignment="1">
      <alignment horizontal="right" indent="1"/>
    </xf>
    <xf numFmtId="9" fontId="68" fillId="7" borderId="131" xfId="22" applyFont="1" applyFill="1" applyBorder="1" applyAlignment="1">
      <alignment horizontal="right" indent="1"/>
    </xf>
    <xf numFmtId="0" fontId="67" fillId="8" borderId="54" xfId="0" applyFont="1" applyFill="1" applyBorder="1"/>
    <xf numFmtId="9" fontId="68" fillId="8" borderId="87" xfId="22" applyFont="1" applyFill="1" applyBorder="1" applyAlignment="1">
      <alignment horizontal="right" indent="1"/>
    </xf>
    <xf numFmtId="9" fontId="68" fillId="8" borderId="95" xfId="22" applyFont="1" applyFill="1" applyBorder="1" applyAlignment="1">
      <alignment horizontal="right" indent="1"/>
    </xf>
    <xf numFmtId="9" fontId="68" fillId="8" borderId="132" xfId="22" applyFont="1" applyFill="1" applyBorder="1" applyAlignment="1">
      <alignment horizontal="right" indent="1"/>
    </xf>
    <xf numFmtId="169" fontId="60" fillId="8" borderId="0" xfId="0" applyNumberFormat="1" applyFont="1" applyFill="1"/>
    <xf numFmtId="0" fontId="81" fillId="8" borderId="0" xfId="0" applyFont="1" applyFill="1"/>
    <xf numFmtId="0" fontId="82" fillId="8" borderId="0" xfId="0" applyFont="1" applyFill="1"/>
    <xf numFmtId="0" fontId="45" fillId="14" borderId="61" xfId="0" applyFont="1" applyFill="1" applyBorder="1" applyAlignment="1">
      <alignment horizontal="center" vertical="center"/>
    </xf>
    <xf numFmtId="0" fontId="45" fillId="14" borderId="138" xfId="0" applyFont="1" applyFill="1" applyBorder="1" applyAlignment="1">
      <alignment horizontal="center" vertical="center"/>
    </xf>
    <xf numFmtId="0" fontId="45" fillId="14" borderId="138" xfId="0" applyFont="1" applyFill="1" applyBorder="1" applyAlignment="1">
      <alignment horizontal="center" vertical="center" wrapText="1"/>
    </xf>
    <xf numFmtId="0" fontId="45" fillId="14" borderId="62" xfId="0" applyFont="1" applyFill="1" applyBorder="1" applyAlignment="1">
      <alignment horizontal="center" vertical="center"/>
    </xf>
    <xf numFmtId="0" fontId="47" fillId="14" borderId="35" xfId="0" applyFont="1" applyFill="1" applyBorder="1" applyAlignment="1">
      <alignment horizontal="center" vertical="center"/>
    </xf>
    <xf numFmtId="0" fontId="45" fillId="14" borderId="36" xfId="0" applyFont="1" applyFill="1" applyBorder="1" applyAlignment="1">
      <alignment horizontal="center" vertical="center"/>
    </xf>
    <xf numFmtId="0" fontId="45" fillId="14" borderId="36" xfId="0" applyFont="1" applyFill="1" applyBorder="1" applyAlignment="1">
      <alignment horizontal="center" vertical="center" wrapText="1"/>
    </xf>
    <xf numFmtId="0" fontId="47" fillId="14" borderId="51" xfId="0" applyFont="1" applyFill="1" applyBorder="1" applyAlignment="1">
      <alignment horizontal="center" vertical="center"/>
    </xf>
    <xf numFmtId="0" fontId="71" fillId="0" borderId="0" xfId="0" applyFont="1" applyAlignment="1">
      <alignment horizontal="left"/>
    </xf>
    <xf numFmtId="0" fontId="62" fillId="14" borderId="153" xfId="0" applyFont="1" applyFill="1" applyBorder="1" applyAlignment="1">
      <alignment horizontal="center" vertical="center"/>
    </xf>
    <xf numFmtId="0" fontId="62" fillId="14" borderId="42" xfId="0" applyFont="1" applyFill="1" applyBorder="1" applyAlignment="1">
      <alignment horizontal="center" vertical="center"/>
    </xf>
    <xf numFmtId="0" fontId="62" fillId="14" borderId="58" xfId="0" applyFont="1" applyFill="1" applyBorder="1" applyAlignment="1">
      <alignment horizontal="center" vertical="center"/>
    </xf>
    <xf numFmtId="0" fontId="62" fillId="14" borderId="3" xfId="0" applyFont="1" applyFill="1" applyBorder="1" applyAlignment="1">
      <alignment horizontal="center" vertical="center"/>
    </xf>
    <xf numFmtId="0" fontId="62" fillId="14" borderId="4" xfId="0" applyFont="1" applyFill="1" applyBorder="1" applyAlignment="1">
      <alignment horizontal="center" vertical="center"/>
    </xf>
    <xf numFmtId="0" fontId="62" fillId="14" borderId="138" xfId="0" applyFont="1" applyFill="1" applyBorder="1" applyAlignment="1">
      <alignment horizontal="center" vertical="center"/>
    </xf>
    <xf numFmtId="0" fontId="62" fillId="14" borderId="0" xfId="0" applyFont="1" applyFill="1" applyAlignment="1">
      <alignment horizontal="center" vertical="center" wrapText="1"/>
    </xf>
    <xf numFmtId="0" fontId="62" fillId="14" borderId="74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right"/>
    </xf>
    <xf numFmtId="0" fontId="60" fillId="2" borderId="3" xfId="0" applyFont="1" applyFill="1" applyBorder="1" applyAlignment="1">
      <alignment horizontal="center" vertical="center"/>
    </xf>
    <xf numFmtId="169" fontId="60" fillId="2" borderId="4" xfId="0" applyNumberFormat="1" applyFont="1" applyFill="1" applyBorder="1" applyAlignment="1">
      <alignment horizontal="right" vertical="center" indent="1"/>
    </xf>
    <xf numFmtId="169" fontId="60" fillId="2" borderId="1" xfId="0" applyNumberFormat="1" applyFont="1" applyFill="1" applyBorder="1" applyAlignment="1">
      <alignment horizontal="right" vertical="center" indent="1"/>
    </xf>
    <xf numFmtId="169" fontId="60" fillId="2" borderId="3" xfId="0" applyNumberFormat="1" applyFont="1" applyFill="1" applyBorder="1" applyAlignment="1">
      <alignment horizontal="right" vertical="center" indent="1"/>
    </xf>
    <xf numFmtId="4" fontId="60" fillId="7" borderId="3" xfId="0" applyNumberFormat="1" applyFont="1" applyFill="1" applyBorder="1" applyAlignment="1">
      <alignment horizontal="right" vertical="center" indent="1"/>
    </xf>
    <xf numFmtId="169" fontId="60" fillId="0" borderId="0" xfId="0" applyNumberFormat="1" applyFont="1" applyAlignment="1">
      <alignment horizontal="right"/>
    </xf>
    <xf numFmtId="4" fontId="60" fillId="2" borderId="3" xfId="0" applyNumberFormat="1" applyFont="1" applyFill="1" applyBorder="1" applyAlignment="1">
      <alignment horizontal="right" vertical="center" indent="1"/>
    </xf>
    <xf numFmtId="170" fontId="60" fillId="0" borderId="0" xfId="0" applyNumberFormat="1" applyFont="1"/>
    <xf numFmtId="0" fontId="60" fillId="0" borderId="0" xfId="0" applyFont="1" applyAlignment="1">
      <alignment horizontal="center"/>
    </xf>
    <xf numFmtId="177" fontId="60" fillId="0" borderId="0" xfId="5" applyNumberFormat="1" applyFont="1"/>
    <xf numFmtId="178" fontId="60" fillId="0" borderId="0" xfId="0" applyNumberFormat="1" applyFont="1"/>
    <xf numFmtId="4" fontId="60" fillId="0" borderId="4" xfId="0" applyNumberFormat="1" applyFont="1" applyBorder="1" applyAlignment="1">
      <alignment horizontal="right" vertical="center" indent="1"/>
    </xf>
    <xf numFmtId="4" fontId="60" fillId="0" borderId="1" xfId="0" applyNumberFormat="1" applyFont="1" applyBorder="1" applyAlignment="1">
      <alignment horizontal="right" vertical="center" indent="1"/>
    </xf>
    <xf numFmtId="4" fontId="60" fillId="0" borderId="3" xfId="0" applyNumberFormat="1" applyFont="1" applyBorder="1" applyAlignment="1">
      <alignment horizontal="right" vertical="center" indent="1"/>
    </xf>
    <xf numFmtId="9" fontId="68" fillId="3" borderId="64" xfId="22" applyFont="1" applyFill="1" applyBorder="1" applyAlignment="1">
      <alignment horizontal="right" indent="1"/>
    </xf>
    <xf numFmtId="9" fontId="68" fillId="3" borderId="9" xfId="22" applyFont="1" applyFill="1" applyBorder="1" applyAlignment="1">
      <alignment horizontal="right" indent="1"/>
    </xf>
    <xf numFmtId="165" fontId="68" fillId="2" borderId="86" xfId="22" applyNumberFormat="1" applyFont="1" applyFill="1" applyBorder="1" applyAlignment="1">
      <alignment horizontal="right" indent="1"/>
    </xf>
    <xf numFmtId="9" fontId="68" fillId="2" borderId="59" xfId="22" applyFont="1" applyFill="1" applyBorder="1" applyAlignment="1">
      <alignment horizontal="right" indent="1"/>
    </xf>
    <xf numFmtId="165" fontId="68" fillId="3" borderId="86" xfId="22" applyNumberFormat="1" applyFont="1" applyFill="1" applyBorder="1" applyAlignment="1">
      <alignment horizontal="right" indent="1"/>
    </xf>
    <xf numFmtId="9" fontId="68" fillId="3" borderId="59" xfId="22" applyFont="1" applyFill="1" applyBorder="1" applyAlignment="1">
      <alignment horizontal="right" indent="1"/>
    </xf>
    <xf numFmtId="165" fontId="68" fillId="2" borderId="87" xfId="22" applyNumberFormat="1" applyFont="1" applyFill="1" applyBorder="1" applyAlignment="1">
      <alignment horizontal="right" indent="1"/>
    </xf>
    <xf numFmtId="9" fontId="68" fillId="2" borderId="54" xfId="22" applyFont="1" applyFill="1" applyBorder="1" applyAlignment="1">
      <alignment horizontal="right" indent="1"/>
    </xf>
    <xf numFmtId="0" fontId="67" fillId="0" borderId="0" xfId="0" applyFont="1"/>
    <xf numFmtId="0" fontId="81" fillId="0" borderId="0" xfId="0" applyFont="1"/>
    <xf numFmtId="0" fontId="82" fillId="0" borderId="0" xfId="0" applyFont="1"/>
    <xf numFmtId="0" fontId="59" fillId="8" borderId="0" xfId="0" applyFont="1" applyFill="1"/>
    <xf numFmtId="0" fontId="62" fillId="14" borderId="10" xfId="0" applyFont="1" applyFill="1" applyBorder="1" applyAlignment="1">
      <alignment horizontal="center" vertical="center"/>
    </xf>
    <xf numFmtId="0" fontId="62" fillId="14" borderId="77" xfId="0" applyFont="1" applyFill="1" applyBorder="1" applyAlignment="1">
      <alignment vertical="center"/>
    </xf>
    <xf numFmtId="0" fontId="62" fillId="14" borderId="68" xfId="0" applyFont="1" applyFill="1" applyBorder="1" applyAlignment="1">
      <alignment horizontal="center" vertical="center"/>
    </xf>
    <xf numFmtId="0" fontId="62" fillId="14" borderId="76" xfId="0" applyFont="1" applyFill="1" applyBorder="1" applyAlignment="1">
      <alignment horizontal="center" vertical="center"/>
    </xf>
    <xf numFmtId="0" fontId="62" fillId="14" borderId="11" xfId="0" applyFont="1" applyFill="1" applyBorder="1" applyAlignment="1">
      <alignment horizontal="center" vertical="center"/>
    </xf>
    <xf numFmtId="0" fontId="62" fillId="14" borderId="12" xfId="0" applyFont="1" applyFill="1" applyBorder="1" applyAlignment="1">
      <alignment horizontal="center" vertical="center"/>
    </xf>
    <xf numFmtId="0" fontId="62" fillId="14" borderId="68" xfId="0" applyFont="1" applyFill="1" applyBorder="1" applyAlignment="1">
      <alignment horizontal="center" vertical="center" wrapText="1"/>
    </xf>
    <xf numFmtId="0" fontId="62" fillId="14" borderId="149" xfId="0" applyFont="1" applyFill="1" applyBorder="1" applyAlignment="1">
      <alignment horizontal="center" vertical="center"/>
    </xf>
    <xf numFmtId="0" fontId="62" fillId="14" borderId="84" xfId="0" applyFont="1" applyFill="1" applyBorder="1" applyAlignment="1">
      <alignment horizontal="center" vertical="center"/>
    </xf>
    <xf numFmtId="0" fontId="62" fillId="14" borderId="133" xfId="0" applyFont="1" applyFill="1" applyBorder="1" applyAlignment="1">
      <alignment horizontal="center" vertical="center"/>
    </xf>
    <xf numFmtId="3" fontId="62" fillId="14" borderId="68" xfId="0" applyNumberFormat="1" applyFont="1" applyFill="1" applyBorder="1" applyAlignment="1">
      <alignment horizontal="center" vertical="center" wrapText="1"/>
    </xf>
    <xf numFmtId="0" fontId="62" fillId="14" borderId="133" xfId="0" applyFont="1" applyFill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79" fillId="0" borderId="0" xfId="0" applyFont="1" applyAlignment="1">
      <alignment vertical="center"/>
    </xf>
    <xf numFmtId="0" fontId="62" fillId="14" borderId="23" xfId="0" applyFont="1" applyFill="1" applyBorder="1" applyAlignment="1">
      <alignment vertical="center"/>
    </xf>
    <xf numFmtId="0" fontId="62" fillId="14" borderId="78" xfId="0" applyFont="1" applyFill="1" applyBorder="1" applyAlignment="1">
      <alignment vertical="center"/>
    </xf>
    <xf numFmtId="3" fontId="62" fillId="14" borderId="69" xfId="0" applyNumberFormat="1" applyFont="1" applyFill="1" applyBorder="1" applyAlignment="1">
      <alignment horizontal="center" vertical="center"/>
    </xf>
    <xf numFmtId="0" fontId="62" fillId="14" borderId="75" xfId="0" applyFont="1" applyFill="1" applyBorder="1" applyAlignment="1">
      <alignment horizontal="center" vertical="center"/>
    </xf>
    <xf numFmtId="0" fontId="62" fillId="14" borderId="24" xfId="0" applyFont="1" applyFill="1" applyBorder="1" applyAlignment="1">
      <alignment horizontal="center" vertical="center"/>
    </xf>
    <xf numFmtId="0" fontId="62" fillId="14" borderId="25" xfId="0" applyFont="1" applyFill="1" applyBorder="1" applyAlignment="1">
      <alignment horizontal="center" vertical="center"/>
    </xf>
    <xf numFmtId="0" fontId="62" fillId="14" borderId="69" xfId="0" applyFont="1" applyFill="1" applyBorder="1" applyAlignment="1">
      <alignment horizontal="center" vertical="center" wrapText="1"/>
    </xf>
    <xf numFmtId="0" fontId="62" fillId="14" borderId="75" xfId="0" applyFont="1" applyFill="1" applyBorder="1" applyAlignment="1">
      <alignment horizontal="center" vertical="center" wrapText="1"/>
    </xf>
    <xf numFmtId="3" fontId="62" fillId="14" borderId="24" xfId="0" applyNumberFormat="1" applyFont="1" applyFill="1" applyBorder="1" applyAlignment="1">
      <alignment horizontal="center" vertical="center"/>
    </xf>
    <xf numFmtId="3" fontId="62" fillId="14" borderId="25" xfId="0" applyNumberFormat="1" applyFont="1" applyFill="1" applyBorder="1" applyAlignment="1">
      <alignment horizontal="center" vertical="center"/>
    </xf>
    <xf numFmtId="3" fontId="62" fillId="14" borderId="69" xfId="0" applyNumberFormat="1" applyFont="1" applyFill="1" applyBorder="1" applyAlignment="1">
      <alignment horizontal="center" vertical="center" wrapText="1"/>
    </xf>
    <xf numFmtId="0" fontId="62" fillId="14" borderId="134" xfId="0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66" fillId="8" borderId="4" xfId="0" applyFont="1" applyFill="1" applyBorder="1" applyAlignment="1">
      <alignment vertical="center"/>
    </xf>
    <xf numFmtId="0" fontId="66" fillId="8" borderId="129" xfId="0" applyFont="1" applyFill="1" applyBorder="1" applyAlignment="1">
      <alignment vertical="center"/>
    </xf>
    <xf numFmtId="3" fontId="84" fillId="8" borderId="3" xfId="0" applyNumberFormat="1" applyFont="1" applyFill="1" applyBorder="1" applyAlignment="1">
      <alignment horizontal="center" vertical="center"/>
    </xf>
    <xf numFmtId="0" fontId="84" fillId="8" borderId="0" xfId="0" applyFont="1" applyFill="1" applyAlignment="1">
      <alignment horizontal="center" vertical="center"/>
    </xf>
    <xf numFmtId="0" fontId="84" fillId="8" borderId="1" xfId="0" applyFont="1" applyFill="1" applyBorder="1" applyAlignment="1">
      <alignment horizontal="center" vertical="center"/>
    </xf>
    <xf numFmtId="0" fontId="84" fillId="8" borderId="3" xfId="0" applyFont="1" applyFill="1" applyBorder="1" applyAlignment="1">
      <alignment horizontal="center" vertical="center" wrapText="1"/>
    </xf>
    <xf numFmtId="0" fontId="84" fillId="8" borderId="61" xfId="0" applyFont="1" applyFill="1" applyBorder="1" applyAlignment="1">
      <alignment horizontal="center" vertical="center" wrapText="1"/>
    </xf>
    <xf numFmtId="3" fontId="84" fillId="8" borderId="1" xfId="0" applyNumberFormat="1" applyFont="1" applyFill="1" applyBorder="1" applyAlignment="1">
      <alignment horizontal="center" vertical="center"/>
    </xf>
    <xf numFmtId="3" fontId="84" fillId="8" borderId="3" xfId="0" applyNumberFormat="1" applyFont="1" applyFill="1" applyBorder="1" applyAlignment="1">
      <alignment horizontal="center" vertical="center" wrapText="1"/>
    </xf>
    <xf numFmtId="0" fontId="84" fillId="8" borderId="129" xfId="0" applyFont="1" applyFill="1" applyBorder="1" applyAlignment="1">
      <alignment horizontal="center" vertical="center"/>
    </xf>
    <xf numFmtId="0" fontId="60" fillId="7" borderId="4" xfId="0" applyFont="1" applyFill="1" applyBorder="1" applyAlignment="1">
      <alignment horizontal="center" vertical="center"/>
    </xf>
    <xf numFmtId="0" fontId="60" fillId="7" borderId="129" xfId="0" applyFont="1" applyFill="1" applyBorder="1" applyAlignment="1">
      <alignment horizontal="center" vertical="center"/>
    </xf>
    <xf numFmtId="3" fontId="60" fillId="7" borderId="3" xfId="0" applyNumberFormat="1" applyFont="1" applyFill="1" applyBorder="1" applyAlignment="1">
      <alignment horizontal="right" vertical="center" indent="1"/>
    </xf>
    <xf numFmtId="0" fontId="60" fillId="7" borderId="0" xfId="0" applyFont="1" applyFill="1" applyAlignment="1">
      <alignment horizontal="right" vertical="center" indent="1"/>
    </xf>
    <xf numFmtId="0" fontId="60" fillId="7" borderId="1" xfId="0" applyFont="1" applyFill="1" applyBorder="1" applyAlignment="1">
      <alignment horizontal="right" vertical="center" indent="1"/>
    </xf>
    <xf numFmtId="0" fontId="60" fillId="7" borderId="3" xfId="0" applyFont="1" applyFill="1" applyBorder="1" applyAlignment="1">
      <alignment horizontal="right" vertical="center" indent="1"/>
    </xf>
    <xf numFmtId="0" fontId="60" fillId="7" borderId="49" xfId="0" applyFont="1" applyFill="1" applyBorder="1" applyAlignment="1">
      <alignment horizontal="right" vertical="center" indent="1"/>
    </xf>
    <xf numFmtId="3" fontId="60" fillId="7" borderId="1" xfId="0" applyNumberFormat="1" applyFont="1" applyFill="1" applyBorder="1" applyAlignment="1">
      <alignment horizontal="right" vertical="center" indent="1"/>
    </xf>
    <xf numFmtId="9" fontId="60" fillId="7" borderId="129" xfId="19" applyFont="1" applyFill="1" applyBorder="1" applyAlignment="1">
      <alignment horizontal="right" vertical="center" indent="1"/>
    </xf>
    <xf numFmtId="0" fontId="60" fillId="8" borderId="4" xfId="0" applyFont="1" applyFill="1" applyBorder="1" applyAlignment="1">
      <alignment horizontal="center" vertical="center"/>
    </xf>
    <xf numFmtId="0" fontId="60" fillId="8" borderId="129" xfId="0" applyFont="1" applyFill="1" applyBorder="1" applyAlignment="1">
      <alignment horizontal="center" vertical="center"/>
    </xf>
    <xf numFmtId="3" fontId="60" fillId="8" borderId="3" xfId="0" applyNumberFormat="1" applyFont="1" applyFill="1" applyBorder="1" applyAlignment="1">
      <alignment horizontal="right" vertical="center" indent="1"/>
    </xf>
    <xf numFmtId="0" fontId="60" fillId="8" borderId="0" xfId="0" applyFont="1" applyFill="1" applyAlignment="1">
      <alignment horizontal="right" vertical="center" indent="1"/>
    </xf>
    <xf numFmtId="0" fontId="60" fillId="8" borderId="1" xfId="0" applyFont="1" applyFill="1" applyBorder="1" applyAlignment="1">
      <alignment horizontal="right" vertical="center" indent="1"/>
    </xf>
    <xf numFmtId="0" fontId="60" fillId="8" borderId="3" xfId="0" applyFont="1" applyFill="1" applyBorder="1" applyAlignment="1">
      <alignment horizontal="right" vertical="center" indent="1"/>
    </xf>
    <xf numFmtId="0" fontId="60" fillId="8" borderId="49" xfId="0" applyFont="1" applyFill="1" applyBorder="1" applyAlignment="1">
      <alignment horizontal="right" vertical="center" indent="1"/>
    </xf>
    <xf numFmtId="3" fontId="60" fillId="8" borderId="1" xfId="0" applyNumberFormat="1" applyFont="1" applyFill="1" applyBorder="1" applyAlignment="1">
      <alignment horizontal="right" vertical="center" indent="1"/>
    </xf>
    <xf numFmtId="9" fontId="60" fillId="8" borderId="129" xfId="19" applyFont="1" applyFill="1" applyBorder="1" applyAlignment="1">
      <alignment horizontal="right" vertical="center" indent="1"/>
    </xf>
    <xf numFmtId="0" fontId="66" fillId="7" borderId="4" xfId="0" applyFont="1" applyFill="1" applyBorder="1" applyAlignment="1">
      <alignment horizontal="center" vertical="center"/>
    </xf>
    <xf numFmtId="0" fontId="66" fillId="7" borderId="129" xfId="0" applyFont="1" applyFill="1" applyBorder="1" applyAlignment="1">
      <alignment horizontal="center" vertical="center"/>
    </xf>
    <xf numFmtId="3" fontId="60" fillId="8" borderId="50" xfId="0" applyNumberFormat="1" applyFont="1" applyFill="1" applyBorder="1" applyAlignment="1">
      <alignment horizontal="center" vertical="center"/>
    </xf>
    <xf numFmtId="3" fontId="60" fillId="8" borderId="72" xfId="0" applyNumberFormat="1" applyFont="1" applyFill="1" applyBorder="1" applyAlignment="1">
      <alignment horizontal="center" vertical="center"/>
    </xf>
    <xf numFmtId="3" fontId="60" fillId="8" borderId="6" xfId="0" applyNumberFormat="1" applyFont="1" applyFill="1" applyBorder="1" applyAlignment="1">
      <alignment vertical="center"/>
    </xf>
    <xf numFmtId="0" fontId="60" fillId="8" borderId="5" xfId="0" applyFont="1" applyFill="1" applyBorder="1" applyAlignment="1">
      <alignment vertical="center"/>
    </xf>
    <xf numFmtId="0" fontId="60" fillId="8" borderId="38" xfId="0" applyFont="1" applyFill="1" applyBorder="1" applyAlignment="1">
      <alignment vertical="center"/>
    </xf>
    <xf numFmtId="0" fontId="60" fillId="8" borderId="6" xfId="0" applyFont="1" applyFill="1" applyBorder="1" applyAlignment="1">
      <alignment vertical="center"/>
    </xf>
    <xf numFmtId="0" fontId="60" fillId="8" borderId="35" xfId="0" applyFont="1" applyFill="1" applyBorder="1" applyAlignment="1">
      <alignment vertical="center"/>
    </xf>
    <xf numFmtId="3" fontId="60" fillId="8" borderId="38" xfId="0" applyNumberFormat="1" applyFont="1" applyFill="1" applyBorder="1" applyAlignment="1">
      <alignment vertical="center"/>
    </xf>
    <xf numFmtId="9" fontId="60" fillId="8" borderId="72" xfId="19" applyFont="1" applyFill="1" applyBorder="1" applyAlignment="1">
      <alignment horizontal="right" vertical="center"/>
    </xf>
    <xf numFmtId="9" fontId="68" fillId="3" borderId="9" xfId="22" applyFont="1" applyFill="1" applyBorder="1" applyAlignment="1">
      <alignment horizontal="center"/>
    </xf>
    <xf numFmtId="3" fontId="60" fillId="8" borderId="0" xfId="0" applyNumberFormat="1" applyFont="1" applyFill="1"/>
    <xf numFmtId="165" fontId="60" fillId="8" borderId="0" xfId="0" applyNumberFormat="1" applyFont="1" applyFill="1" applyAlignment="1">
      <alignment horizontal="center" vertical="center"/>
    </xf>
    <xf numFmtId="165" fontId="68" fillId="8" borderId="0" xfId="19" applyNumberFormat="1" applyFont="1" applyFill="1" applyBorder="1" applyAlignment="1">
      <alignment horizontal="center" vertical="center"/>
    </xf>
    <xf numFmtId="9" fontId="68" fillId="2" borderId="59" xfId="22" applyFont="1" applyFill="1" applyBorder="1" applyAlignment="1">
      <alignment horizontal="center"/>
    </xf>
    <xf numFmtId="9" fontId="68" fillId="3" borderId="59" xfId="22" applyFont="1" applyFill="1" applyBorder="1" applyAlignment="1">
      <alignment horizontal="center"/>
    </xf>
    <xf numFmtId="9" fontId="68" fillId="2" borderId="54" xfId="22" applyFont="1" applyFill="1" applyBorder="1" applyAlignment="1">
      <alignment horizontal="center"/>
    </xf>
    <xf numFmtId="0" fontId="60" fillId="8" borderId="0" xfId="0" applyFont="1" applyFill="1" applyAlignment="1">
      <alignment horizontal="center" vertical="center"/>
    </xf>
    <xf numFmtId="9" fontId="68" fillId="8" borderId="0" xfId="19" applyFont="1" applyFill="1" applyBorder="1" applyAlignment="1">
      <alignment horizontal="center" vertical="center"/>
    </xf>
    <xf numFmtId="0" fontId="69" fillId="8" borderId="0" xfId="0" applyFont="1" applyFill="1"/>
    <xf numFmtId="0" fontId="79" fillId="8" borderId="0" xfId="0" applyFont="1" applyFill="1"/>
    <xf numFmtId="0" fontId="85" fillId="8" borderId="0" xfId="0" applyFont="1" applyFill="1" applyAlignment="1">
      <alignment horizontal="left" wrapText="1"/>
    </xf>
    <xf numFmtId="0" fontId="85" fillId="8" borderId="0" xfId="0" applyFont="1" applyFill="1" applyAlignment="1">
      <alignment wrapText="1"/>
    </xf>
    <xf numFmtId="0" fontId="85" fillId="8" borderId="0" xfId="0" applyFont="1" applyFill="1"/>
    <xf numFmtId="0" fontId="75" fillId="8" borderId="0" xfId="0" applyFont="1" applyFill="1" applyAlignment="1">
      <alignment horizontal="center"/>
    </xf>
    <xf numFmtId="3" fontId="61" fillId="8" borderId="0" xfId="0" applyNumberFormat="1" applyFont="1" applyFill="1" applyAlignment="1">
      <alignment horizontal="center" vertical="center"/>
    </xf>
    <xf numFmtId="3" fontId="61" fillId="8" borderId="0" xfId="0" applyNumberFormat="1" applyFont="1" applyFill="1" applyAlignment="1">
      <alignment horizontal="center"/>
    </xf>
    <xf numFmtId="3" fontId="61" fillId="8" borderId="0" xfId="0" applyNumberFormat="1" applyFont="1" applyFill="1"/>
    <xf numFmtId="0" fontId="66" fillId="0" borderId="0" xfId="12" applyFont="1"/>
    <xf numFmtId="0" fontId="84" fillId="12" borderId="74" xfId="12" applyFont="1" applyFill="1" applyBorder="1" applyAlignment="1">
      <alignment horizontal="center" vertical="center"/>
    </xf>
    <xf numFmtId="0" fontId="84" fillId="12" borderId="84" xfId="12" applyFont="1" applyFill="1" applyBorder="1" applyAlignment="1">
      <alignment horizontal="center" vertical="center"/>
    </xf>
    <xf numFmtId="0" fontId="84" fillId="12" borderId="133" xfId="12" applyFont="1" applyFill="1" applyBorder="1" applyAlignment="1">
      <alignment horizontal="center" vertical="center"/>
    </xf>
    <xf numFmtId="0" fontId="84" fillId="12" borderId="3" xfId="12" applyFont="1" applyFill="1" applyBorder="1" applyAlignment="1">
      <alignment horizontal="center" vertical="center"/>
    </xf>
    <xf numFmtId="0" fontId="84" fillId="12" borderId="45" xfId="12" applyFont="1" applyFill="1" applyBorder="1" applyAlignment="1">
      <alignment horizontal="center" vertical="center"/>
    </xf>
    <xf numFmtId="0" fontId="84" fillId="12" borderId="21" xfId="12" applyFont="1" applyFill="1" applyBorder="1" applyAlignment="1">
      <alignment horizontal="center" vertical="center"/>
    </xf>
    <xf numFmtId="0" fontId="84" fillId="12" borderId="67" xfId="12" applyFont="1" applyFill="1" applyBorder="1" applyAlignment="1">
      <alignment horizontal="center" vertical="center"/>
    </xf>
    <xf numFmtId="0" fontId="60" fillId="8" borderId="0" xfId="12" applyFont="1" applyFill="1"/>
    <xf numFmtId="0" fontId="60" fillId="0" borderId="74" xfId="12" applyFont="1" applyBorder="1" applyAlignment="1">
      <alignment horizontal="center"/>
    </xf>
    <xf numFmtId="3" fontId="60" fillId="0" borderId="61" xfId="12" applyNumberFormat="1" applyFont="1" applyBorder="1" applyAlignment="1">
      <alignment horizontal="center"/>
    </xf>
    <xf numFmtId="3" fontId="60" fillId="0" borderId="138" xfId="12" applyNumberFormat="1" applyFont="1" applyBorder="1"/>
    <xf numFmtId="3" fontId="60" fillId="0" borderId="62" xfId="12" applyNumberFormat="1" applyFont="1" applyBorder="1"/>
    <xf numFmtId="0" fontId="61" fillId="8" borderId="0" xfId="12" applyFont="1" applyFill="1"/>
    <xf numFmtId="3" fontId="60" fillId="7" borderId="49" xfId="12" applyNumberFormat="1" applyFont="1" applyFill="1" applyBorder="1" applyAlignment="1">
      <alignment horizontal="center"/>
    </xf>
    <xf numFmtId="3" fontId="60" fillId="7" borderId="2" xfId="12" applyNumberFormat="1" applyFont="1" applyFill="1" applyBorder="1"/>
    <xf numFmtId="3" fontId="60" fillId="7" borderId="46" xfId="12" applyNumberFormat="1" applyFont="1" applyFill="1" applyBorder="1"/>
    <xf numFmtId="0" fontId="60" fillId="0" borderId="3" xfId="12" applyFont="1" applyBorder="1" applyAlignment="1">
      <alignment horizontal="center"/>
    </xf>
    <xf numFmtId="3" fontId="60" fillId="0" borderId="49" xfId="12" applyNumberFormat="1" applyFont="1" applyBorder="1" applyAlignment="1">
      <alignment horizontal="center"/>
    </xf>
    <xf numFmtId="3" fontId="60" fillId="0" borderId="2" xfId="12" applyNumberFormat="1" applyFont="1" applyBorder="1"/>
    <xf numFmtId="3" fontId="60" fillId="0" borderId="46" xfId="12" applyNumberFormat="1" applyFont="1" applyBorder="1"/>
    <xf numFmtId="3" fontId="60" fillId="7" borderId="2" xfId="12" applyNumberFormat="1" applyFont="1" applyFill="1" applyBorder="1" applyAlignment="1">
      <alignment horizontal="right"/>
    </xf>
    <xf numFmtId="0" fontId="66" fillId="8" borderId="6" xfId="12" applyFont="1" applyFill="1" applyBorder="1" applyAlignment="1">
      <alignment horizontal="center"/>
    </xf>
    <xf numFmtId="3" fontId="60" fillId="8" borderId="35" xfId="12" applyNumberFormat="1" applyFont="1" applyFill="1" applyBorder="1" applyAlignment="1">
      <alignment horizontal="center"/>
    </xf>
    <xf numFmtId="3" fontId="60" fillId="8" borderId="36" xfId="12" applyNumberFormat="1" applyFont="1" applyFill="1" applyBorder="1"/>
    <xf numFmtId="3" fontId="60" fillId="8" borderId="51" xfId="12" applyNumberFormat="1" applyFont="1" applyFill="1" applyBorder="1"/>
    <xf numFmtId="0" fontId="62" fillId="14" borderId="60" xfId="12" applyFont="1" applyFill="1" applyBorder="1" applyAlignment="1">
      <alignment horizontal="center" vertical="center"/>
    </xf>
    <xf numFmtId="0" fontId="62" fillId="14" borderId="70" xfId="12" applyFont="1" applyFill="1" applyBorder="1" applyAlignment="1">
      <alignment horizontal="center" vertical="center" wrapText="1"/>
    </xf>
    <xf numFmtId="0" fontId="62" fillId="14" borderId="71" xfId="12" applyFont="1" applyFill="1" applyBorder="1" applyAlignment="1">
      <alignment horizontal="center" vertical="center" wrapText="1"/>
    </xf>
    <xf numFmtId="0" fontId="60" fillId="0" borderId="60" xfId="12" applyFont="1" applyBorder="1" applyAlignment="1">
      <alignment horizontal="center"/>
    </xf>
    <xf numFmtId="2" fontId="60" fillId="0" borderId="70" xfId="12" applyNumberFormat="1" applyFont="1" applyBorder="1" applyAlignment="1">
      <alignment horizontal="center"/>
    </xf>
    <xf numFmtId="2" fontId="60" fillId="0" borderId="71" xfId="12" applyNumberFormat="1" applyFont="1" applyBorder="1" applyAlignment="1">
      <alignment horizontal="center"/>
    </xf>
    <xf numFmtId="0" fontId="60" fillId="7" borderId="4" xfId="12" applyFont="1" applyFill="1" applyBorder="1" applyAlignment="1">
      <alignment horizontal="center"/>
    </xf>
    <xf numFmtId="2" fontId="60" fillId="7" borderId="0" xfId="12" applyNumberFormat="1" applyFont="1" applyFill="1" applyAlignment="1">
      <alignment horizontal="center"/>
    </xf>
    <xf numFmtId="2" fontId="60" fillId="7" borderId="129" xfId="12" applyNumberFormat="1" applyFont="1" applyFill="1" applyBorder="1" applyAlignment="1">
      <alignment horizontal="center"/>
    </xf>
    <xf numFmtId="0" fontId="60" fillId="0" borderId="4" xfId="12" applyFont="1" applyBorder="1" applyAlignment="1">
      <alignment horizontal="center"/>
    </xf>
    <xf numFmtId="2" fontId="60" fillId="0" borderId="0" xfId="12" applyNumberFormat="1" applyFont="1" applyAlignment="1">
      <alignment horizontal="center"/>
    </xf>
    <xf numFmtId="2" fontId="60" fillId="0" borderId="129" xfId="12" applyNumberFormat="1" applyFont="1" applyBorder="1" applyAlignment="1">
      <alignment horizontal="center"/>
    </xf>
    <xf numFmtId="2" fontId="66" fillId="0" borderId="0" xfId="12" applyNumberFormat="1" applyFont="1"/>
    <xf numFmtId="0" fontId="66" fillId="7" borderId="4" xfId="12" applyFont="1" applyFill="1" applyBorder="1" applyAlignment="1">
      <alignment horizontal="center"/>
    </xf>
    <xf numFmtId="0" fontId="66" fillId="0" borderId="50" xfId="12" applyFont="1" applyBorder="1" applyAlignment="1">
      <alignment horizontal="center"/>
    </xf>
    <xf numFmtId="2" fontId="66" fillId="0" borderId="5" xfId="12" applyNumberFormat="1" applyFont="1" applyBorder="1" applyAlignment="1">
      <alignment horizontal="center"/>
    </xf>
    <xf numFmtId="2" fontId="66" fillId="0" borderId="72" xfId="12" applyNumberFormat="1" applyFont="1" applyBorder="1" applyAlignment="1">
      <alignment horizontal="center"/>
    </xf>
    <xf numFmtId="0" fontId="61" fillId="0" borderId="0" xfId="12" applyFont="1" applyAlignment="1">
      <alignment horizontal="center"/>
    </xf>
    <xf numFmtId="169" fontId="61" fillId="0" borderId="0" xfId="12" applyNumberFormat="1" applyFont="1" applyAlignment="1">
      <alignment horizontal="center"/>
    </xf>
    <xf numFmtId="0" fontId="62" fillId="14" borderId="74" xfId="12" applyFont="1" applyFill="1" applyBorder="1" applyAlignment="1">
      <alignment horizontal="center" vertical="center"/>
    </xf>
    <xf numFmtId="0" fontId="62" fillId="14" borderId="152" xfId="12" applyFont="1" applyFill="1" applyBorder="1" applyAlignment="1">
      <alignment horizontal="center" vertical="center" wrapText="1"/>
    </xf>
    <xf numFmtId="0" fontId="62" fillId="14" borderId="138" xfId="12" applyFont="1" applyFill="1" applyBorder="1" applyAlignment="1">
      <alignment horizontal="center" vertical="center" wrapText="1"/>
    </xf>
    <xf numFmtId="0" fontId="62" fillId="14" borderId="22" xfId="12" applyFont="1" applyFill="1" applyBorder="1" applyAlignment="1">
      <alignment horizontal="center" vertical="center" wrapText="1"/>
    </xf>
    <xf numFmtId="169" fontId="87" fillId="0" borderId="0" xfId="12" applyNumberFormat="1" applyFont="1" applyAlignment="1">
      <alignment horizontal="center"/>
    </xf>
    <xf numFmtId="4" fontId="60" fillId="0" borderId="70" xfId="12" applyNumberFormat="1" applyFont="1" applyBorder="1" applyAlignment="1">
      <alignment horizontal="center" vertical="center"/>
    </xf>
    <xf numFmtId="4" fontId="60" fillId="0" borderId="152" xfId="12" applyNumberFormat="1" applyFont="1" applyBorder="1" applyAlignment="1">
      <alignment horizontal="center" vertical="center"/>
    </xf>
    <xf numFmtId="4" fontId="60" fillId="0" borderId="62" xfId="12" applyNumberFormat="1" applyFont="1" applyBorder="1" applyAlignment="1">
      <alignment horizontal="right" vertical="center" indent="1"/>
    </xf>
    <xf numFmtId="0" fontId="61" fillId="8" borderId="0" xfId="12" applyFont="1" applyFill="1" applyAlignment="1">
      <alignment horizontal="center"/>
    </xf>
    <xf numFmtId="169" fontId="87" fillId="8" borderId="0" xfId="12" applyNumberFormat="1" applyFont="1" applyFill="1" applyAlignment="1">
      <alignment horizontal="center"/>
    </xf>
    <xf numFmtId="169" fontId="61" fillId="8" borderId="0" xfId="12" applyNumberFormat="1" applyFont="1" applyFill="1" applyAlignment="1">
      <alignment horizontal="center"/>
    </xf>
    <xf numFmtId="4" fontId="60" fillId="7" borderId="52" xfId="12" applyNumberFormat="1" applyFont="1" applyFill="1" applyBorder="1" applyAlignment="1">
      <alignment horizontal="center" vertical="center"/>
    </xf>
    <xf numFmtId="4" fontId="60" fillId="7" borderId="2" xfId="12" applyNumberFormat="1" applyFont="1" applyFill="1" applyBorder="1" applyAlignment="1">
      <alignment horizontal="center" vertical="center"/>
    </xf>
    <xf numFmtId="4" fontId="60" fillId="7" borderId="46" xfId="12" applyNumberFormat="1" applyFont="1" applyFill="1" applyBorder="1" applyAlignment="1">
      <alignment horizontal="right" vertical="center" indent="1"/>
    </xf>
    <xf numFmtId="0" fontId="87" fillId="0" borderId="0" xfId="12" applyFont="1"/>
    <xf numFmtId="3" fontId="87" fillId="0" borderId="0" xfId="12" applyNumberFormat="1" applyFont="1" applyAlignment="1">
      <alignment horizontal="right"/>
    </xf>
    <xf numFmtId="4" fontId="60" fillId="0" borderId="52" xfId="12" applyNumberFormat="1" applyFont="1" applyBorder="1" applyAlignment="1">
      <alignment horizontal="center" vertical="center"/>
    </xf>
    <xf numFmtId="4" fontId="60" fillId="0" borderId="2" xfId="12" applyNumberFormat="1" applyFont="1" applyBorder="1" applyAlignment="1">
      <alignment horizontal="center" vertical="center"/>
    </xf>
    <xf numFmtId="4" fontId="60" fillId="0" borderId="46" xfId="12" applyNumberFormat="1" applyFont="1" applyBorder="1" applyAlignment="1">
      <alignment horizontal="right" vertical="center" indent="1"/>
    </xf>
    <xf numFmtId="0" fontId="60" fillId="0" borderId="6" xfId="12" applyFont="1" applyBorder="1" applyAlignment="1">
      <alignment horizontal="center"/>
    </xf>
    <xf numFmtId="4" fontId="60" fillId="0" borderId="37" xfId="12" applyNumberFormat="1" applyFont="1" applyBorder="1" applyAlignment="1">
      <alignment horizontal="center" vertical="center"/>
    </xf>
    <xf numFmtId="4" fontId="60" fillId="0" borderId="36" xfId="12" applyNumberFormat="1" applyFont="1" applyBorder="1" applyAlignment="1">
      <alignment horizontal="center" vertical="center"/>
    </xf>
    <xf numFmtId="4" fontId="60" fillId="0" borderId="51" xfId="12" applyNumberFormat="1" applyFont="1" applyBorder="1" applyAlignment="1">
      <alignment horizontal="right" vertical="center" indent="1"/>
    </xf>
    <xf numFmtId="0" fontId="67" fillId="3" borderId="137" xfId="0" applyFont="1" applyFill="1" applyBorder="1"/>
    <xf numFmtId="9" fontId="68" fillId="3" borderId="156" xfId="22" applyFont="1" applyFill="1" applyBorder="1" applyAlignment="1">
      <alignment horizontal="center"/>
    </xf>
    <xf numFmtId="9" fontId="68" fillId="3" borderId="157" xfId="22" applyFont="1" applyFill="1" applyBorder="1" applyAlignment="1">
      <alignment horizontal="center"/>
    </xf>
    <xf numFmtId="0" fontId="67" fillId="0" borderId="135" xfId="0" applyFont="1" applyBorder="1"/>
    <xf numFmtId="9" fontId="68" fillId="2" borderId="158" xfId="22" applyFont="1" applyFill="1" applyBorder="1" applyAlignment="1">
      <alignment horizontal="center"/>
    </xf>
    <xf numFmtId="9" fontId="68" fillId="2" borderId="159" xfId="22" applyFont="1" applyFill="1" applyBorder="1" applyAlignment="1">
      <alignment horizontal="center"/>
    </xf>
    <xf numFmtId="0" fontId="67" fillId="3" borderId="135" xfId="0" applyFont="1" applyFill="1" applyBorder="1"/>
    <xf numFmtId="9" fontId="68" fillId="3" borderId="158" xfId="22" applyFont="1" applyFill="1" applyBorder="1" applyAlignment="1">
      <alignment horizontal="center"/>
    </xf>
    <xf numFmtId="9" fontId="68" fillId="3" borderId="159" xfId="22" applyFont="1" applyFill="1" applyBorder="1" applyAlignment="1">
      <alignment horizontal="center"/>
    </xf>
    <xf numFmtId="0" fontId="67" fillId="0" borderId="136" xfId="0" applyFont="1" applyBorder="1"/>
    <xf numFmtId="9" fontId="68" fillId="2" borderId="154" xfId="22" applyFont="1" applyFill="1" applyBorder="1" applyAlignment="1">
      <alignment horizontal="center"/>
    </xf>
    <xf numFmtId="9" fontId="68" fillId="2" borderId="155" xfId="22" applyFont="1" applyFill="1" applyBorder="1" applyAlignment="1">
      <alignment horizontal="center"/>
    </xf>
    <xf numFmtId="0" fontId="88" fillId="0" borderId="0" xfId="12" applyFont="1"/>
    <xf numFmtId="0" fontId="60" fillId="0" borderId="5" xfId="0" applyFont="1" applyBorder="1"/>
    <xf numFmtId="0" fontId="62" fillId="14" borderId="61" xfId="0" applyFont="1" applyFill="1" applyBorder="1" applyAlignment="1">
      <alignment horizontal="center" vertical="center"/>
    </xf>
    <xf numFmtId="0" fontId="72" fillId="14" borderId="11" xfId="0" applyFont="1" applyFill="1" applyBorder="1" applyAlignment="1">
      <alignment horizontal="center" vertical="center"/>
    </xf>
    <xf numFmtId="0" fontId="62" fillId="14" borderId="138" xfId="0" applyFont="1" applyFill="1" applyBorder="1" applyAlignment="1">
      <alignment horizontal="center" vertical="center" wrapText="1"/>
    </xf>
    <xf numFmtId="0" fontId="62" fillId="14" borderId="62" xfId="0" applyFont="1" applyFill="1" applyBorder="1" applyAlignment="1">
      <alignment horizontal="center" vertical="center"/>
    </xf>
    <xf numFmtId="0" fontId="62" fillId="14" borderId="56" xfId="0" applyFont="1" applyFill="1" applyBorder="1" applyAlignment="1">
      <alignment horizontal="center" vertical="center"/>
    </xf>
    <xf numFmtId="0" fontId="62" fillId="14" borderId="55" xfId="0" applyFont="1" applyFill="1" applyBorder="1" applyAlignment="1">
      <alignment horizontal="center" vertical="center" wrapText="1"/>
    </xf>
    <xf numFmtId="0" fontId="62" fillId="14" borderId="82" xfId="0" applyFont="1" applyFill="1" applyBorder="1" applyAlignment="1">
      <alignment horizontal="center" vertical="center"/>
    </xf>
    <xf numFmtId="0" fontId="84" fillId="8" borderId="4" xfId="0" applyFont="1" applyFill="1" applyBorder="1" applyAlignment="1">
      <alignment horizontal="center"/>
    </xf>
    <xf numFmtId="0" fontId="84" fillId="8" borderId="49" xfId="0" applyFont="1" applyFill="1" applyBorder="1" applyAlignment="1">
      <alignment horizontal="right" indent="1"/>
    </xf>
    <xf numFmtId="0" fontId="84" fillId="8" borderId="2" xfId="0" applyFont="1" applyFill="1" applyBorder="1" applyAlignment="1">
      <alignment horizontal="right" indent="1"/>
    </xf>
    <xf numFmtId="0" fontId="84" fillId="8" borderId="1" xfId="0" applyFont="1" applyFill="1" applyBorder="1" applyAlignment="1">
      <alignment horizontal="right" indent="1"/>
    </xf>
    <xf numFmtId="0" fontId="84" fillId="8" borderId="46" xfId="0" applyFont="1" applyFill="1" applyBorder="1" applyAlignment="1">
      <alignment horizontal="right" indent="1"/>
    </xf>
    <xf numFmtId="0" fontId="60" fillId="7" borderId="4" xfId="0" applyFont="1" applyFill="1" applyBorder="1" applyAlignment="1">
      <alignment horizontal="center"/>
    </xf>
    <xf numFmtId="4" fontId="66" fillId="7" borderId="49" xfId="0" applyNumberFormat="1" applyFont="1" applyFill="1" applyBorder="1" applyAlignment="1">
      <alignment horizontal="right" indent="1"/>
    </xf>
    <xf numFmtId="4" fontId="66" fillId="7" borderId="2" xfId="0" applyNumberFormat="1" applyFont="1" applyFill="1" applyBorder="1" applyAlignment="1">
      <alignment horizontal="right" indent="1"/>
    </xf>
    <xf numFmtId="4" fontId="69" fillId="7" borderId="2" xfId="0" applyNumberFormat="1" applyFont="1" applyFill="1" applyBorder="1" applyAlignment="1">
      <alignment horizontal="right" indent="1"/>
    </xf>
    <xf numFmtId="4" fontId="69" fillId="7" borderId="1" xfId="0" applyNumberFormat="1" applyFont="1" applyFill="1" applyBorder="1" applyAlignment="1">
      <alignment horizontal="right" indent="1"/>
    </xf>
    <xf numFmtId="4" fontId="69" fillId="7" borderId="46" xfId="0" applyNumberFormat="1" applyFont="1" applyFill="1" applyBorder="1" applyAlignment="1">
      <alignment horizontal="right" indent="1"/>
    </xf>
    <xf numFmtId="3" fontId="60" fillId="0" borderId="0" xfId="0" applyNumberFormat="1" applyFont="1" applyAlignment="1">
      <alignment horizontal="center"/>
    </xf>
    <xf numFmtId="4" fontId="66" fillId="8" borderId="49" xfId="0" applyNumberFormat="1" applyFont="1" applyFill="1" applyBorder="1" applyAlignment="1">
      <alignment horizontal="right" indent="1"/>
    </xf>
    <xf numFmtId="4" fontId="66" fillId="8" borderId="2" xfId="0" applyNumberFormat="1" applyFont="1" applyFill="1" applyBorder="1" applyAlignment="1">
      <alignment horizontal="right" indent="1"/>
    </xf>
    <xf numFmtId="4" fontId="69" fillId="8" borderId="2" xfId="0" applyNumberFormat="1" applyFont="1" applyFill="1" applyBorder="1" applyAlignment="1">
      <alignment horizontal="right" indent="1"/>
    </xf>
    <xf numFmtId="4" fontId="69" fillId="8" borderId="1" xfId="0" applyNumberFormat="1" applyFont="1" applyFill="1" applyBorder="1" applyAlignment="1">
      <alignment horizontal="right" indent="1"/>
    </xf>
    <xf numFmtId="4" fontId="69" fillId="8" borderId="46" xfId="0" applyNumberFormat="1" applyFont="1" applyFill="1" applyBorder="1" applyAlignment="1">
      <alignment horizontal="right" indent="1"/>
    </xf>
    <xf numFmtId="4" fontId="60" fillId="0" borderId="0" xfId="0" applyNumberFormat="1" applyFont="1"/>
    <xf numFmtId="182" fontId="60" fillId="0" borderId="0" xfId="30" applyNumberFormat="1" applyFont="1"/>
    <xf numFmtId="0" fontId="66" fillId="8" borderId="6" xfId="0" applyFont="1" applyFill="1" applyBorder="1" applyAlignment="1">
      <alignment horizontal="center"/>
    </xf>
    <xf numFmtId="169" fontId="66" fillId="8" borderId="49" xfId="0" applyNumberFormat="1" applyFont="1" applyFill="1" applyBorder="1" applyAlignment="1">
      <alignment horizontal="right" indent="1"/>
    </xf>
    <xf numFmtId="169" fontId="66" fillId="8" borderId="2" xfId="0" applyNumberFormat="1" applyFont="1" applyFill="1" applyBorder="1" applyAlignment="1">
      <alignment horizontal="right" indent="1"/>
    </xf>
    <xf numFmtId="169" fontId="69" fillId="8" borderId="2" xfId="0" applyNumberFormat="1" applyFont="1" applyFill="1" applyBorder="1" applyAlignment="1">
      <alignment horizontal="right" indent="1"/>
    </xf>
    <xf numFmtId="169" fontId="69" fillId="8" borderId="1" xfId="0" applyNumberFormat="1" applyFont="1" applyFill="1" applyBorder="1" applyAlignment="1">
      <alignment horizontal="right" indent="1"/>
    </xf>
    <xf numFmtId="169" fontId="69" fillId="8" borderId="46" xfId="0" applyNumberFormat="1" applyFont="1" applyFill="1" applyBorder="1" applyAlignment="1">
      <alignment horizontal="right" indent="1"/>
    </xf>
    <xf numFmtId="9" fontId="68" fillId="3" borderId="64" xfId="22" applyFont="1" applyFill="1" applyBorder="1" applyAlignment="1">
      <alignment horizontal="right" indent="2"/>
    </xf>
    <xf numFmtId="9" fontId="68" fillId="3" borderId="93" xfId="22" applyFont="1" applyFill="1" applyBorder="1" applyAlignment="1">
      <alignment horizontal="right" indent="2"/>
    </xf>
    <xf numFmtId="9" fontId="68" fillId="3" borderId="164" xfId="22" applyFont="1" applyFill="1" applyBorder="1" applyAlignment="1">
      <alignment horizontal="right" indent="2"/>
    </xf>
    <xf numFmtId="9" fontId="68" fillId="3" borderId="130" xfId="22" applyFont="1" applyFill="1" applyBorder="1" applyAlignment="1">
      <alignment horizontal="right" indent="2"/>
    </xf>
    <xf numFmtId="9" fontId="68" fillId="2" borderId="86" xfId="22" applyFont="1" applyFill="1" applyBorder="1" applyAlignment="1">
      <alignment horizontal="right" indent="2"/>
    </xf>
    <xf numFmtId="9" fontId="68" fillId="2" borderId="94" xfId="22" applyFont="1" applyFill="1" applyBorder="1" applyAlignment="1">
      <alignment horizontal="right" indent="2"/>
    </xf>
    <xf numFmtId="165" fontId="68" fillId="2" borderId="94" xfId="22" applyNumberFormat="1" applyFont="1" applyFill="1" applyBorder="1" applyAlignment="1">
      <alignment horizontal="right" indent="2"/>
    </xf>
    <xf numFmtId="9" fontId="68" fillId="2" borderId="165" xfId="22" applyFont="1" applyFill="1" applyBorder="1" applyAlignment="1">
      <alignment horizontal="right" indent="2"/>
    </xf>
    <xf numFmtId="9" fontId="68" fillId="2" borderId="131" xfId="22" applyFont="1" applyFill="1" applyBorder="1" applyAlignment="1">
      <alignment horizontal="right" indent="2"/>
    </xf>
    <xf numFmtId="9" fontId="68" fillId="3" borderId="86" xfId="22" applyFont="1" applyFill="1" applyBorder="1" applyAlignment="1">
      <alignment horizontal="right" indent="2"/>
    </xf>
    <xf numFmtId="9" fontId="68" fillId="3" borderId="94" xfId="22" applyFont="1" applyFill="1" applyBorder="1" applyAlignment="1">
      <alignment horizontal="right" indent="2"/>
    </xf>
    <xf numFmtId="9" fontId="68" fillId="3" borderId="165" xfId="22" applyFont="1" applyFill="1" applyBorder="1" applyAlignment="1">
      <alignment horizontal="right" indent="2"/>
    </xf>
    <xf numFmtId="9" fontId="68" fillId="3" borderId="131" xfId="22" applyFont="1" applyFill="1" applyBorder="1" applyAlignment="1">
      <alignment horizontal="right" indent="2"/>
    </xf>
    <xf numFmtId="9" fontId="68" fillId="2" borderId="87" xfId="22" applyFont="1" applyFill="1" applyBorder="1" applyAlignment="1">
      <alignment horizontal="right" indent="2"/>
    </xf>
    <xf numFmtId="9" fontId="68" fillId="2" borderId="95" xfId="22" applyFont="1" applyFill="1" applyBorder="1" applyAlignment="1">
      <alignment horizontal="right" indent="2"/>
    </xf>
    <xf numFmtId="9" fontId="68" fillId="2" borderId="166" xfId="22" applyFont="1" applyFill="1" applyBorder="1" applyAlignment="1">
      <alignment horizontal="right" indent="2"/>
    </xf>
    <xf numFmtId="9" fontId="68" fillId="2" borderId="132" xfId="22" applyFont="1" applyFill="1" applyBorder="1" applyAlignment="1">
      <alignment horizontal="right" indent="2"/>
    </xf>
  </cellXfs>
  <cellStyles count="31">
    <cellStyle name="Diseño" xfId="1" xr:uid="{00000000-0005-0000-0000-000000000000}"/>
    <cellStyle name="Diseño 2" xfId="2" xr:uid="{00000000-0005-0000-0000-000001000000}"/>
    <cellStyle name="Euro" xfId="3" xr:uid="{00000000-0005-0000-0000-000002000000}"/>
    <cellStyle name="Euro 2" xfId="4" xr:uid="{00000000-0005-0000-0000-000003000000}"/>
    <cellStyle name="Millares" xfId="30" builtinId="3"/>
    <cellStyle name="Millares 2" xfId="5" xr:uid="{00000000-0005-0000-0000-000005000000}"/>
    <cellStyle name="Millares 2 2" xfId="6" xr:uid="{00000000-0005-0000-0000-000006000000}"/>
    <cellStyle name="Millares 2 3" xfId="7" xr:uid="{00000000-0005-0000-0000-000007000000}"/>
    <cellStyle name="Millares 3" xfId="8" xr:uid="{00000000-0005-0000-0000-000008000000}"/>
    <cellStyle name="Millares 4" xfId="9" xr:uid="{00000000-0005-0000-0000-000009000000}"/>
    <cellStyle name="Normal" xfId="0" builtinId="0"/>
    <cellStyle name="Normal 10" xfId="10" xr:uid="{00000000-0005-0000-0000-00000B000000}"/>
    <cellStyle name="Normal 11" xfId="11" xr:uid="{00000000-0005-0000-0000-00000C000000}"/>
    <cellStyle name="Normal 2" xfId="12" xr:uid="{00000000-0005-0000-0000-00000D000000}"/>
    <cellStyle name="Normal 2 2" xfId="13" xr:uid="{00000000-0005-0000-0000-00000E000000}"/>
    <cellStyle name="Normal 3" xfId="14" xr:uid="{00000000-0005-0000-0000-00000F000000}"/>
    <cellStyle name="Normal 4" xfId="15" xr:uid="{00000000-0005-0000-0000-000010000000}"/>
    <cellStyle name="Normal 5" xfId="16" xr:uid="{00000000-0005-0000-0000-000011000000}"/>
    <cellStyle name="Normal 6" xfId="17" xr:uid="{00000000-0005-0000-0000-000012000000}"/>
    <cellStyle name="Normal 7" xfId="18" xr:uid="{00000000-0005-0000-0000-000013000000}"/>
    <cellStyle name="Porcentaje" xfId="19" builtinId="5"/>
    <cellStyle name="Porcentaje 2" xfId="20" xr:uid="{00000000-0005-0000-0000-000015000000}"/>
    <cellStyle name="Porcentaje 2 2" xfId="21" xr:uid="{00000000-0005-0000-0000-000016000000}"/>
    <cellStyle name="Porcentaje 3" xfId="22" xr:uid="{00000000-0005-0000-0000-000017000000}"/>
    <cellStyle name="Porcentaje 4" xfId="23" xr:uid="{00000000-0005-0000-0000-000018000000}"/>
    <cellStyle name="Porcentaje 4 2" xfId="24" xr:uid="{00000000-0005-0000-0000-000019000000}"/>
    <cellStyle name="Porcentaje 5" xfId="25" xr:uid="{00000000-0005-0000-0000-00001A000000}"/>
    <cellStyle name="Porcentaje 5 2" xfId="26" xr:uid="{00000000-0005-0000-0000-00001B000000}"/>
    <cellStyle name="Porcentaje 6" xfId="27" xr:uid="{00000000-0005-0000-0000-00001C000000}"/>
    <cellStyle name="Porcentual 2" xfId="28" xr:uid="{00000000-0005-0000-0000-00001D000000}"/>
    <cellStyle name="Porcentual 2 2" xfId="29" xr:uid="{00000000-0005-0000-0000-00001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B4B4B"/>
      <color rgb="FF0B7D8F"/>
      <color rgb="FF4B6DB0"/>
      <color rgb="FF3693AC"/>
      <color rgb="FFA9D08E"/>
      <color rgb="FF9F9F9F"/>
      <color rgb="FF003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POTENCIA INSTALADA - GENERADORAS PARA MERCADO ELÉCTRICO
 1 995 -2 023</a:t>
            </a:r>
          </a:p>
        </c:rich>
      </c:tx>
      <c:layout>
        <c:manualLayout>
          <c:xMode val="edge"/>
          <c:yMode val="edge"/>
          <c:x val="0.23672350011366688"/>
          <c:y val="4.3378995433789952E-2"/>
        </c:manualLayout>
      </c:layout>
      <c:overlay val="0"/>
      <c:spPr>
        <a:solidFill>
          <a:srgbClr val="4B4B4B"/>
        </a:solidFill>
        <a:scene3d>
          <a:camera prst="orthographicFront"/>
          <a:lightRig rig="balanced" dir="t"/>
        </a:scene3d>
        <a:sp3d prstMaterial="plastic">
          <a:bevelT w="57150" h="57150"/>
        </a:sp3d>
      </c:spPr>
    </c:title>
    <c:autoTitleDeleted val="0"/>
    <c:plotArea>
      <c:layout>
        <c:manualLayout>
          <c:layoutTarget val="inner"/>
          <c:xMode val="edge"/>
          <c:yMode val="edge"/>
          <c:x val="9.1240609093903746E-2"/>
          <c:y val="0.24200949196418942"/>
          <c:w val="0.88450242808717738"/>
          <c:h val="0.46917886675083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'10.1 P Inst'!$V$42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</c:spPr>
          <c:invertIfNegative val="0"/>
          <c:cat>
            <c:numRef>
              <c:f>'10.1 P Inst'!$U$43:$U$71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 P Inst'!$V$43:$V$71</c:f>
              <c:numCache>
                <c:formatCode>#\ ##0.00</c:formatCode>
                <c:ptCount val="29"/>
                <c:pt idx="0">
                  <c:v>3185.7</c:v>
                </c:pt>
                <c:pt idx="1">
                  <c:v>3352.8809999999999</c:v>
                </c:pt>
                <c:pt idx="2">
                  <c:v>4325.0209999999997</c:v>
                </c:pt>
                <c:pt idx="3">
                  <c:v>4632.2780000000002</c:v>
                </c:pt>
                <c:pt idx="4">
                  <c:v>4828.2429999999995</c:v>
                </c:pt>
                <c:pt idx="5">
                  <c:v>5148.8509999999997</c:v>
                </c:pt>
                <c:pt idx="6">
                  <c:v>5050.8139999999994</c:v>
                </c:pt>
                <c:pt idx="7">
                  <c:v>5068.0510000000004</c:v>
                </c:pt>
                <c:pt idx="8">
                  <c:v>5095.1030000000001</c:v>
                </c:pt>
                <c:pt idx="9">
                  <c:v>5096.0216000000028</c:v>
                </c:pt>
                <c:pt idx="10">
                  <c:v>5220.6336000000001</c:v>
                </c:pt>
                <c:pt idx="11">
                  <c:v>5625.1415999999999</c:v>
                </c:pt>
                <c:pt idx="12">
                  <c:v>5989.7251999999999</c:v>
                </c:pt>
                <c:pt idx="13">
                  <c:v>5996.9830000000029</c:v>
                </c:pt>
                <c:pt idx="14">
                  <c:v>6723.5160000000024</c:v>
                </c:pt>
                <c:pt idx="15">
                  <c:v>7309.1659999999965</c:v>
                </c:pt>
                <c:pt idx="16">
                  <c:v>7314.2369999999992</c:v>
                </c:pt>
                <c:pt idx="17">
                  <c:v>8267.1709999999985</c:v>
                </c:pt>
                <c:pt idx="18">
                  <c:v>9634.631000000003</c:v>
                </c:pt>
                <c:pt idx="19">
                  <c:v>9739.2480000000032</c:v>
                </c:pt>
                <c:pt idx="20">
                  <c:v>10717.713000000002</c:v>
                </c:pt>
                <c:pt idx="21">
                  <c:v>13044.474000000006</c:v>
                </c:pt>
                <c:pt idx="22">
                  <c:v>13238.762000000199</c:v>
                </c:pt>
                <c:pt idx="23">
                  <c:v>13649.930000000008</c:v>
                </c:pt>
                <c:pt idx="24">
                  <c:v>13650.195000000011</c:v>
                </c:pt>
                <c:pt idx="25">
                  <c:v>13724.04800000001</c:v>
                </c:pt>
                <c:pt idx="26">
                  <c:v>13860.954999999973</c:v>
                </c:pt>
                <c:pt idx="27">
                  <c:v>14248.478000000105</c:v>
                </c:pt>
                <c:pt idx="28">
                  <c:v>14842.810000000007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1-4308-824E-60A31C1D9D9E}"/>
            </c:ext>
          </c:extLst>
        </c:ser>
        <c:ser>
          <c:idx val="1"/>
          <c:order val="1"/>
          <c:tx>
            <c:strRef>
              <c:f>'10.1 P Inst'!$W$42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'10.1 P Inst'!$U$43:$U$71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 P Inst'!$W$43:$W$71</c:f>
              <c:numCache>
                <c:formatCode>#\ ##0.00</c:formatCode>
                <c:ptCount val="29"/>
                <c:pt idx="0">
                  <c:v>2190</c:v>
                </c:pt>
                <c:pt idx="1">
                  <c:v>2200.1839999999997</c:v>
                </c:pt>
                <c:pt idx="2">
                  <c:v>2411.5189999999998</c:v>
                </c:pt>
                <c:pt idx="3">
                  <c:v>2467.4160000000002</c:v>
                </c:pt>
                <c:pt idx="4">
                  <c:v>2587.1289999999999</c:v>
                </c:pt>
                <c:pt idx="5">
                  <c:v>2779.26</c:v>
                </c:pt>
                <c:pt idx="6">
                  <c:v>2889.433</c:v>
                </c:pt>
                <c:pt idx="7">
                  <c:v>2917.6020000000012</c:v>
                </c:pt>
                <c:pt idx="8">
                  <c:v>2946.8210000000004</c:v>
                </c:pt>
                <c:pt idx="9">
                  <c:v>2969.0596000000023</c:v>
                </c:pt>
                <c:pt idx="10">
                  <c:v>3119.1996000000004</c:v>
                </c:pt>
                <c:pt idx="11">
                  <c:v>3127.8006</c:v>
                </c:pt>
                <c:pt idx="12">
                  <c:v>3145.1412000000005</c:v>
                </c:pt>
                <c:pt idx="13">
                  <c:v>3152.0380000000018</c:v>
                </c:pt>
                <c:pt idx="14">
                  <c:v>3183.1260000000016</c:v>
                </c:pt>
                <c:pt idx="15">
                  <c:v>3344.7949999999996</c:v>
                </c:pt>
                <c:pt idx="16">
                  <c:v>3357.0599999999986</c:v>
                </c:pt>
                <c:pt idx="17">
                  <c:v>3380.8299999999981</c:v>
                </c:pt>
                <c:pt idx="18">
                  <c:v>3450.5469999999996</c:v>
                </c:pt>
                <c:pt idx="19">
                  <c:v>3558.2689999999961</c:v>
                </c:pt>
                <c:pt idx="20">
                  <c:v>4047.8669999999961</c:v>
                </c:pt>
                <c:pt idx="21">
                  <c:v>5072.4689999999973</c:v>
                </c:pt>
                <c:pt idx="22">
                  <c:v>5115.7070000000231</c:v>
                </c:pt>
                <c:pt idx="23">
                  <c:v>5232.4620000000004</c:v>
                </c:pt>
                <c:pt idx="24">
                  <c:v>5266.3020000000024</c:v>
                </c:pt>
                <c:pt idx="25">
                  <c:v>5285.680000000003</c:v>
                </c:pt>
                <c:pt idx="26">
                  <c:v>5383.871000000011</c:v>
                </c:pt>
                <c:pt idx="27">
                  <c:v>5384.4110000000192</c:v>
                </c:pt>
                <c:pt idx="28">
                  <c:v>5399.7990000000109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1-4308-824E-60A31C1D9D9E}"/>
            </c:ext>
          </c:extLst>
        </c:ser>
        <c:ser>
          <c:idx val="2"/>
          <c:order val="2"/>
          <c:tx>
            <c:strRef>
              <c:f>'10.1 P Inst'!$X$42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'10.1 P Inst'!$U$43:$U$71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 P Inst'!$X$43:$X$71</c:f>
              <c:numCache>
                <c:formatCode>#\ ##0.00</c:formatCode>
                <c:ptCount val="29"/>
                <c:pt idx="0">
                  <c:v>995.7</c:v>
                </c:pt>
                <c:pt idx="1">
                  <c:v>1152.4470000000001</c:v>
                </c:pt>
                <c:pt idx="2">
                  <c:v>1913.252</c:v>
                </c:pt>
                <c:pt idx="3">
                  <c:v>2164.6119999999996</c:v>
                </c:pt>
                <c:pt idx="4">
                  <c:v>2240.4140000000002</c:v>
                </c:pt>
                <c:pt idx="5">
                  <c:v>2368.8910000000001</c:v>
                </c:pt>
                <c:pt idx="6">
                  <c:v>2160.681</c:v>
                </c:pt>
                <c:pt idx="7">
                  <c:v>2149.7489999999998</c:v>
                </c:pt>
                <c:pt idx="8">
                  <c:v>2147.5819999999999</c:v>
                </c:pt>
                <c:pt idx="9">
                  <c:v>2126.2620000000002</c:v>
                </c:pt>
                <c:pt idx="10">
                  <c:v>2100.7339999999995</c:v>
                </c:pt>
                <c:pt idx="11">
                  <c:v>2496.6410000000001</c:v>
                </c:pt>
                <c:pt idx="12">
                  <c:v>2843.884</c:v>
                </c:pt>
                <c:pt idx="13">
                  <c:v>2844.2450000000008</c:v>
                </c:pt>
                <c:pt idx="14">
                  <c:v>3539.6900000000005</c:v>
                </c:pt>
                <c:pt idx="15">
                  <c:v>3963.6709999999966</c:v>
                </c:pt>
                <c:pt idx="16">
                  <c:v>3956.4770000000008</c:v>
                </c:pt>
                <c:pt idx="17">
                  <c:v>4805.6409999999996</c:v>
                </c:pt>
                <c:pt idx="18">
                  <c:v>6103.3840000000027</c:v>
                </c:pt>
                <c:pt idx="19">
                  <c:v>5942.2790000000059</c:v>
                </c:pt>
                <c:pt idx="20">
                  <c:v>6334.0460000000057</c:v>
                </c:pt>
                <c:pt idx="21">
                  <c:v>7632.0550000000067</c:v>
                </c:pt>
                <c:pt idx="22">
                  <c:v>7638.6210000001747</c:v>
                </c:pt>
                <c:pt idx="23">
                  <c:v>7760.7340000000077</c:v>
                </c:pt>
                <c:pt idx="24">
                  <c:v>7722.6090000000086</c:v>
                </c:pt>
                <c:pt idx="25">
                  <c:v>7740.3440000000073</c:v>
                </c:pt>
                <c:pt idx="26">
                  <c:v>7781.5839999999625</c:v>
                </c:pt>
                <c:pt idx="27">
                  <c:v>8038.5670000000846</c:v>
                </c:pt>
                <c:pt idx="28">
                  <c:v>8025.8799999999947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1-4308-824E-60A31C1D9D9E}"/>
            </c:ext>
          </c:extLst>
        </c:ser>
        <c:ser>
          <c:idx val="3"/>
          <c:order val="3"/>
          <c:tx>
            <c:strRef>
              <c:f>'10.1 P Inst'!$Y$42</c:f>
              <c:strCache>
                <c:ptCount val="1"/>
                <c:pt idx="0">
                  <c:v>Solar</c:v>
                </c:pt>
              </c:strCache>
            </c:strRef>
          </c:tx>
          <c:invertIfNegative val="0"/>
          <c:cat>
            <c:numRef>
              <c:f>'10.1 P Inst'!$U$43:$U$71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 P Inst'!$Y$43:$Y$71</c:f>
              <c:numCache>
                <c:formatCode>General</c:formatCode>
                <c:ptCount val="29"/>
                <c:pt idx="17" formatCode="#\ ##0.00">
                  <c:v>80</c:v>
                </c:pt>
                <c:pt idx="18" formatCode="#\ ##0.00">
                  <c:v>80</c:v>
                </c:pt>
                <c:pt idx="19" formatCode="#\ ##0.00">
                  <c:v>96</c:v>
                </c:pt>
                <c:pt idx="20" formatCode="#\ ##0.00">
                  <c:v>96</c:v>
                </c:pt>
                <c:pt idx="21" formatCode="#\ ##0.00">
                  <c:v>100</c:v>
                </c:pt>
                <c:pt idx="22" formatCode="#\ ##0.00">
                  <c:v>244.48399999999998</c:v>
                </c:pt>
                <c:pt idx="23" formatCode="#\ ##0.00">
                  <c:v>284.48400000000004</c:v>
                </c:pt>
                <c:pt idx="24" formatCode="#\ ##0.00">
                  <c:v>289.03399999999999</c:v>
                </c:pt>
                <c:pt idx="25" formatCode="#\ ##0.00">
                  <c:v>289.03399999999999</c:v>
                </c:pt>
                <c:pt idx="26" formatCode="#\ ##0.00">
                  <c:v>286.51000000000022</c:v>
                </c:pt>
                <c:pt idx="27" formatCode="#\ ##0.00">
                  <c:v>286.51</c:v>
                </c:pt>
                <c:pt idx="28" formatCode="#\ ##0.00">
                  <c:v>401.4409999999998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1-4308-824E-60A31C1D9D9E}"/>
            </c:ext>
          </c:extLst>
        </c:ser>
        <c:ser>
          <c:idx val="4"/>
          <c:order val="4"/>
          <c:tx>
            <c:strRef>
              <c:f>'10.1 P Inst'!$Z$42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'10.1 P Inst'!$U$43:$U$71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 P Inst'!$Z$43:$Z$71</c:f>
              <c:numCache>
                <c:formatCode>#\ ##0.00</c:formatCode>
                <c:ptCount val="29"/>
                <c:pt idx="19">
                  <c:v>142.69999999999999</c:v>
                </c:pt>
                <c:pt idx="20">
                  <c:v>239.79999999999998</c:v>
                </c:pt>
                <c:pt idx="21">
                  <c:v>239.95</c:v>
                </c:pt>
                <c:pt idx="22">
                  <c:v>239.94999999999985</c:v>
                </c:pt>
                <c:pt idx="23">
                  <c:v>372.24999999999994</c:v>
                </c:pt>
                <c:pt idx="24">
                  <c:v>372.24999999999994</c:v>
                </c:pt>
                <c:pt idx="25">
                  <c:v>408.98999999999995</c:v>
                </c:pt>
                <c:pt idx="26">
                  <c:v>408.98999999999995</c:v>
                </c:pt>
                <c:pt idx="27">
                  <c:v>538.98999999999967</c:v>
                </c:pt>
                <c:pt idx="28">
                  <c:v>1015.6900000000012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01-4308-824E-60A31C1D9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13280"/>
        <c:axId val="47315200"/>
      </c:barChart>
      <c:catAx>
        <c:axId val="4731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31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15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9.5736458139582953E-3"/>
              <c:y val="0.390411677992305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31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329964659929319"/>
          <c:y val="0.83333477150972557"/>
          <c:w val="0.57001364002727994"/>
          <c:h val="0.1031524826519972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ctr" rtl="0">
              <a:def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rPr>
              <a:t>PRODUCCIÓN DE ENERGÍA ELÉCTRICA 
PARA USO PROPIO 1 995 - 2 023</a:t>
            </a:r>
          </a:p>
        </c:rich>
      </c:tx>
      <c:layout>
        <c:manualLayout>
          <c:xMode val="edge"/>
          <c:yMode val="edge"/>
          <c:x val="0.3701123109363067"/>
          <c:y val="1.6286544623562434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10292409416586047"/>
          <c:y val="0.22801339196958972"/>
          <c:w val="0.86432847259739654"/>
          <c:h val="0.56833663501219556"/>
        </c:manualLayout>
      </c:layout>
      <c:areaChart>
        <c:grouping val="stacked"/>
        <c:varyColors val="0"/>
        <c:ser>
          <c:idx val="0"/>
          <c:order val="0"/>
          <c:tx>
            <c:strRef>
              <c:f>'10.4 Prod'!$S$85</c:f>
              <c:strCache>
                <c:ptCount val="1"/>
                <c:pt idx="0">
                  <c:v>Hidráulica</c:v>
                </c:pt>
              </c:strCache>
            </c:strRef>
          </c:tx>
          <c:cat>
            <c:numRef>
              <c:f>'10.4 Prod'!$R$86:$R$114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Prod'!$S$86:$S$114</c:f>
              <c:numCache>
                <c:formatCode>0.0</c:formatCode>
                <c:ptCount val="29"/>
                <c:pt idx="0">
                  <c:v>1396.9631319999999</c:v>
                </c:pt>
                <c:pt idx="1">
                  <c:v>1475.6467010000001</c:v>
                </c:pt>
                <c:pt idx="2">
                  <c:v>949.73769199999992</c:v>
                </c:pt>
                <c:pt idx="3">
                  <c:v>441.09136100000001</c:v>
                </c:pt>
                <c:pt idx="4">
                  <c:v>429.98925900000006</c:v>
                </c:pt>
                <c:pt idx="5">
                  <c:v>428.72810099999998</c:v>
                </c:pt>
                <c:pt idx="6">
                  <c:v>426.42942600000009</c:v>
                </c:pt>
                <c:pt idx="7">
                  <c:v>401.9696770000001</c:v>
                </c:pt>
                <c:pt idx="8">
                  <c:v>415.38772300000005</c:v>
                </c:pt>
                <c:pt idx="9">
                  <c:v>424.674328</c:v>
                </c:pt>
                <c:pt idx="10">
                  <c:v>409.88795820724977</c:v>
                </c:pt>
                <c:pt idx="11">
                  <c:v>433.59552104141386</c:v>
                </c:pt>
                <c:pt idx="12">
                  <c:v>441.58805366000001</c:v>
                </c:pt>
                <c:pt idx="13">
                  <c:v>451.82564200000002</c:v>
                </c:pt>
                <c:pt idx="14">
                  <c:v>484.55479200000002</c:v>
                </c:pt>
                <c:pt idx="15">
                  <c:v>484.72467099999994</c:v>
                </c:pt>
                <c:pt idx="16">
                  <c:v>529.90831255000012</c:v>
                </c:pt>
                <c:pt idx="17">
                  <c:v>554.72667799999999</c:v>
                </c:pt>
                <c:pt idx="18">
                  <c:v>610.17786655586588</c:v>
                </c:pt>
                <c:pt idx="19">
                  <c:v>599.73481195450518</c:v>
                </c:pt>
                <c:pt idx="20">
                  <c:v>595.6439478610921</c:v>
                </c:pt>
                <c:pt idx="21">
                  <c:v>519.10842200474076</c:v>
                </c:pt>
                <c:pt idx="22">
                  <c:v>681.50227583925141</c:v>
                </c:pt>
                <c:pt idx="23">
                  <c:v>748.12424245540808</c:v>
                </c:pt>
                <c:pt idx="24">
                  <c:v>692.87706688155458</c:v>
                </c:pt>
                <c:pt idx="25">
                  <c:v>614.84426158769088</c:v>
                </c:pt>
                <c:pt idx="26">
                  <c:v>632.06993199999999</c:v>
                </c:pt>
                <c:pt idx="27">
                  <c:v>579.45755573233851</c:v>
                </c:pt>
                <c:pt idx="28">
                  <c:v>578.20950623278304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2-442D-A93A-C2479F6870BA}"/>
            </c:ext>
          </c:extLst>
        </c:ser>
        <c:ser>
          <c:idx val="1"/>
          <c:order val="1"/>
          <c:tx>
            <c:strRef>
              <c:f>'10.4 Prod'!$T$85</c:f>
              <c:strCache>
                <c:ptCount val="1"/>
                <c:pt idx="0">
                  <c:v>Térmica</c:v>
                </c:pt>
              </c:strCache>
            </c:strRef>
          </c:tx>
          <c:cat>
            <c:numRef>
              <c:f>'10.4 Prod'!$R$86:$R$114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Prod'!$T$86:$T$114</c:f>
              <c:numCache>
                <c:formatCode>0.0</c:formatCode>
                <c:ptCount val="29"/>
                <c:pt idx="0">
                  <c:v>2376.8383720000002</c:v>
                </c:pt>
                <c:pt idx="1">
                  <c:v>2496.5885710000002</c:v>
                </c:pt>
                <c:pt idx="2">
                  <c:v>1655.1130069999999</c:v>
                </c:pt>
                <c:pt idx="3">
                  <c:v>1325.5106380000002</c:v>
                </c:pt>
                <c:pt idx="4">
                  <c:v>1253.40626</c:v>
                </c:pt>
                <c:pt idx="5">
                  <c:v>1166.0715179999995</c:v>
                </c:pt>
                <c:pt idx="6">
                  <c:v>1144.8006490000032</c:v>
                </c:pt>
                <c:pt idx="7">
                  <c:v>1160.8448220000034</c:v>
                </c:pt>
                <c:pt idx="8">
                  <c:v>1146.5032210000034</c:v>
                </c:pt>
                <c:pt idx="9">
                  <c:v>1222.3989520000002</c:v>
                </c:pt>
                <c:pt idx="10">
                  <c:v>1288.9739120000033</c:v>
                </c:pt>
                <c:pt idx="11">
                  <c:v>1322.4694165800001</c:v>
                </c:pt>
                <c:pt idx="12">
                  <c:v>1300.9679980000003</c:v>
                </c:pt>
                <c:pt idx="13">
                  <c:v>1436.569385</c:v>
                </c:pt>
                <c:pt idx="14">
                  <c:v>1538.2782459999999</c:v>
                </c:pt>
                <c:pt idx="15">
                  <c:v>1877.467463</c:v>
                </c:pt>
                <c:pt idx="16">
                  <c:v>2028.02</c:v>
                </c:pt>
                <c:pt idx="17">
                  <c:v>2112.6000324079459</c:v>
                </c:pt>
                <c:pt idx="18">
                  <c:v>2055.3312047505406</c:v>
                </c:pt>
                <c:pt idx="19">
                  <c:v>2103.8370311792924</c:v>
                </c:pt>
                <c:pt idx="20">
                  <c:v>1963.3722324690784</c:v>
                </c:pt>
                <c:pt idx="21">
                  <c:v>1646.7845984157877</c:v>
                </c:pt>
                <c:pt idx="22">
                  <c:v>1673.6888596570498</c:v>
                </c:pt>
                <c:pt idx="23">
                  <c:v>1782.6383302716361</c:v>
                </c:pt>
                <c:pt idx="24">
                  <c:v>1827.0350967214581</c:v>
                </c:pt>
                <c:pt idx="25">
                  <c:v>1471.845064472137</c:v>
                </c:pt>
                <c:pt idx="26">
                  <c:v>1227.1899937616706</c:v>
                </c:pt>
                <c:pt idx="27">
                  <c:v>1318.6583214949374</c:v>
                </c:pt>
                <c:pt idx="28">
                  <c:v>1344.9596922521857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2-442D-A93A-C2479F687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320704"/>
        <c:axId val="283323392"/>
      </c:areaChart>
      <c:catAx>
        <c:axId val="28332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28332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3323392"/>
        <c:scaling>
          <c:orientation val="minMax"/>
          <c:max val="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2.2129919956629055E-2"/>
              <c:y val="0.4456153075502786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283320704"/>
        <c:crosses val="autoZero"/>
        <c:crossBetween val="midCat"/>
        <c:majorUnit val="1000"/>
        <c:minorUnit val="500"/>
      </c:valAx>
    </c:plotArea>
    <c:legend>
      <c:legendPos val="b"/>
      <c:overlay val="0"/>
    </c:legend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LÍNEAS DE TRANSMISIÓN A NIVEL NACIONAL
1995 - 2023</a:t>
            </a:r>
          </a:p>
        </c:rich>
      </c:tx>
      <c:layout>
        <c:manualLayout>
          <c:xMode val="edge"/>
          <c:yMode val="edge"/>
          <c:x val="0.31846709691164593"/>
          <c:y val="6.9883634487885538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0.12326869806094183"/>
          <c:y val="0.22523326202721769"/>
          <c:w val="0.81440443213296398"/>
          <c:h val="0.5111013001987467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'10.5 Lineas'!$P$6:$P$7</c:f>
              <c:strCache>
                <c:ptCount val="2"/>
                <c:pt idx="0">
                  <c:v>500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'10.5 Lineas'!$N$8:$N$36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2011*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'10.5 Lineas'!$P$8:$P$36</c:f>
              <c:numCache>
                <c:formatCode>#,##0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89.9</c:v>
                </c:pt>
                <c:pt idx="17">
                  <c:v>611.9</c:v>
                </c:pt>
                <c:pt idx="18">
                  <c:v>621.86</c:v>
                </c:pt>
                <c:pt idx="19">
                  <c:v>1838.46</c:v>
                </c:pt>
                <c:pt idx="20">
                  <c:v>1838.46</c:v>
                </c:pt>
                <c:pt idx="21">
                  <c:v>1969.8000000000002</c:v>
                </c:pt>
                <c:pt idx="22">
                  <c:v>2882</c:v>
                </c:pt>
                <c:pt idx="23">
                  <c:v>2883.3999999999996</c:v>
                </c:pt>
                <c:pt idx="24">
                  <c:v>2883.3999999999996</c:v>
                </c:pt>
                <c:pt idx="25">
                  <c:v>2883.3999999999996</c:v>
                </c:pt>
                <c:pt idx="26">
                  <c:v>2882.96</c:v>
                </c:pt>
                <c:pt idx="27">
                  <c:v>2882.96</c:v>
                </c:pt>
                <c:pt idx="28">
                  <c:v>3300.2200000000003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8-49AF-8254-69AC887B3972}"/>
            </c:ext>
          </c:extLst>
        </c:ser>
        <c:ser>
          <c:idx val="2"/>
          <c:order val="1"/>
          <c:tx>
            <c:strRef>
              <c:f>'10.5 Lineas'!$Q$6:$Q$7</c:f>
              <c:strCache>
                <c:ptCount val="2"/>
                <c:pt idx="0">
                  <c:v>220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'10.5 Lineas'!$N$8:$N$36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2011*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'10.5 Lineas'!$Q$8:$Q$36</c:f>
              <c:numCache>
                <c:formatCode>#,##0</c:formatCode>
                <c:ptCount val="29"/>
                <c:pt idx="0">
                  <c:v>3129.692</c:v>
                </c:pt>
                <c:pt idx="1">
                  <c:v>3129.692</c:v>
                </c:pt>
                <c:pt idx="2">
                  <c:v>3625.4960000000001</c:v>
                </c:pt>
                <c:pt idx="3">
                  <c:v>3625.4960000000001</c:v>
                </c:pt>
                <c:pt idx="4">
                  <c:v>3996.306</c:v>
                </c:pt>
                <c:pt idx="5">
                  <c:v>4860.0660900000003</c:v>
                </c:pt>
                <c:pt idx="6">
                  <c:v>5318.1030899999996</c:v>
                </c:pt>
                <c:pt idx="7">
                  <c:v>5558.6770900000001</c:v>
                </c:pt>
                <c:pt idx="8">
                  <c:v>5558.6770900000001</c:v>
                </c:pt>
                <c:pt idx="9">
                  <c:v>5613.9770900000003</c:v>
                </c:pt>
                <c:pt idx="10">
                  <c:v>5613.9770900000003</c:v>
                </c:pt>
                <c:pt idx="11">
                  <c:v>5664.0870899999991</c:v>
                </c:pt>
                <c:pt idx="12">
                  <c:v>5676.9770899999985</c:v>
                </c:pt>
                <c:pt idx="13">
                  <c:v>5710.7150899999997</c:v>
                </c:pt>
                <c:pt idx="14">
                  <c:v>5714.2660900000001</c:v>
                </c:pt>
                <c:pt idx="15">
                  <c:v>5862.5670899999986</c:v>
                </c:pt>
                <c:pt idx="16">
                  <c:v>7105.9870899999996</c:v>
                </c:pt>
                <c:pt idx="17">
                  <c:v>7459.7680899999996</c:v>
                </c:pt>
                <c:pt idx="18">
                  <c:v>7841.6769999999997</c:v>
                </c:pt>
                <c:pt idx="19">
                  <c:v>8240.8355100000008</c:v>
                </c:pt>
                <c:pt idx="20">
                  <c:v>8665.1200000000008</c:v>
                </c:pt>
                <c:pt idx="21">
                  <c:v>9567.8435099999933</c:v>
                </c:pt>
                <c:pt idx="22">
                  <c:v>10162.963509999998</c:v>
                </c:pt>
                <c:pt idx="23">
                  <c:v>10966.555509999998</c:v>
                </c:pt>
                <c:pt idx="24">
                  <c:v>11107.535509999998</c:v>
                </c:pt>
                <c:pt idx="25">
                  <c:v>11433.765509999997</c:v>
                </c:pt>
                <c:pt idx="26">
                  <c:v>11402.887659999999</c:v>
                </c:pt>
                <c:pt idx="27">
                  <c:v>11523.63666</c:v>
                </c:pt>
                <c:pt idx="28">
                  <c:v>11662.106659999999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58-49AF-8254-69AC887B3972}"/>
            </c:ext>
          </c:extLst>
        </c:ser>
        <c:ser>
          <c:idx val="3"/>
          <c:order val="2"/>
          <c:tx>
            <c:strRef>
              <c:f>'10.5 Lineas'!$R$6:$R$7</c:f>
              <c:strCache>
                <c:ptCount val="2"/>
                <c:pt idx="0">
                  <c:v>138</c:v>
                </c:pt>
              </c:strCache>
            </c:strRef>
          </c:tx>
          <c:invertIfNegative val="0"/>
          <c:cat>
            <c:strRef>
              <c:f>'10.5 Lineas'!$N$8:$N$36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2011*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'10.5 Lineas'!$R$8:$R$36</c:f>
              <c:numCache>
                <c:formatCode>#,##0</c:formatCode>
                <c:ptCount val="29"/>
                <c:pt idx="0">
                  <c:v>1872.9719999999998</c:v>
                </c:pt>
                <c:pt idx="1">
                  <c:v>1872.9719999999998</c:v>
                </c:pt>
                <c:pt idx="2">
                  <c:v>2240.8330000000005</c:v>
                </c:pt>
                <c:pt idx="3">
                  <c:v>2410.5329999999999</c:v>
                </c:pt>
                <c:pt idx="4">
                  <c:v>2920.413</c:v>
                </c:pt>
                <c:pt idx="5">
                  <c:v>3135.1529999999998</c:v>
                </c:pt>
                <c:pt idx="6">
                  <c:v>3183.0039999999999</c:v>
                </c:pt>
                <c:pt idx="7">
                  <c:v>3331.1639999999998</c:v>
                </c:pt>
                <c:pt idx="8">
                  <c:v>3338.1639999999998</c:v>
                </c:pt>
                <c:pt idx="9">
                  <c:v>3337.61</c:v>
                </c:pt>
                <c:pt idx="10">
                  <c:v>3435</c:v>
                </c:pt>
                <c:pt idx="11">
                  <c:v>3636.3779999999997</c:v>
                </c:pt>
                <c:pt idx="12">
                  <c:v>3636.3779999999997</c:v>
                </c:pt>
                <c:pt idx="13">
                  <c:v>3636.3779999999992</c:v>
                </c:pt>
                <c:pt idx="14">
                  <c:v>4057.0279999999998</c:v>
                </c:pt>
                <c:pt idx="15">
                  <c:v>4252.0780000000004</c:v>
                </c:pt>
                <c:pt idx="16">
                  <c:v>4277.8440000000001</c:v>
                </c:pt>
                <c:pt idx="17">
                  <c:v>4285.6540000000005</c:v>
                </c:pt>
                <c:pt idx="18">
                  <c:v>4416.9339999999993</c:v>
                </c:pt>
                <c:pt idx="19">
                  <c:v>4368.3289000000004</c:v>
                </c:pt>
                <c:pt idx="20">
                  <c:v>4368.78</c:v>
                </c:pt>
                <c:pt idx="21">
                  <c:v>4432.2038999999995</c:v>
                </c:pt>
                <c:pt idx="22">
                  <c:v>4386.0339000000004</c:v>
                </c:pt>
                <c:pt idx="23">
                  <c:v>4738.1038999999982</c:v>
                </c:pt>
                <c:pt idx="24">
                  <c:v>4796.7738999999983</c:v>
                </c:pt>
                <c:pt idx="25">
                  <c:v>4835.8038999999999</c:v>
                </c:pt>
                <c:pt idx="26">
                  <c:v>5000.3805600000005</c:v>
                </c:pt>
                <c:pt idx="27">
                  <c:v>5002.5305600000011</c:v>
                </c:pt>
                <c:pt idx="28">
                  <c:v>5002.5305600000011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58-49AF-8254-69AC887B3972}"/>
            </c:ext>
          </c:extLst>
        </c:ser>
        <c:ser>
          <c:idx val="4"/>
          <c:order val="3"/>
          <c:tx>
            <c:strRef>
              <c:f>'10.5 Lineas'!$S$6:$S$7</c:f>
              <c:strCache>
                <c:ptCount val="2"/>
                <c:pt idx="0">
                  <c:v>60 - 69</c:v>
                </c:pt>
              </c:strCache>
            </c:strRef>
          </c:tx>
          <c:invertIfNegative val="0"/>
          <c:cat>
            <c:strRef>
              <c:f>'10.5 Lineas'!$N$8:$N$36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2011*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'10.5 Lineas'!$S$8:$S$36</c:f>
              <c:numCache>
                <c:formatCode>#,##0</c:formatCode>
                <c:ptCount val="29"/>
                <c:pt idx="0">
                  <c:v>3030.6320000000001</c:v>
                </c:pt>
                <c:pt idx="1">
                  <c:v>3277.7189999999996</c:v>
                </c:pt>
                <c:pt idx="2">
                  <c:v>3629.1389999999992</c:v>
                </c:pt>
                <c:pt idx="3">
                  <c:v>3894.5229999999988</c:v>
                </c:pt>
                <c:pt idx="4">
                  <c:v>4189.570999999999</c:v>
                </c:pt>
                <c:pt idx="5">
                  <c:v>4213.37</c:v>
                </c:pt>
                <c:pt idx="6">
                  <c:v>4309.5889999999999</c:v>
                </c:pt>
                <c:pt idx="7">
                  <c:v>4334.5889999999999</c:v>
                </c:pt>
                <c:pt idx="8">
                  <c:v>4335.3109999999997</c:v>
                </c:pt>
                <c:pt idx="9">
                  <c:v>4335.3109999999997</c:v>
                </c:pt>
                <c:pt idx="10">
                  <c:v>4678</c:v>
                </c:pt>
                <c:pt idx="11">
                  <c:v>4841.8579999999993</c:v>
                </c:pt>
                <c:pt idx="12">
                  <c:v>4852.7879999999996</c:v>
                </c:pt>
                <c:pt idx="13">
                  <c:v>4862.1620000000003</c:v>
                </c:pt>
                <c:pt idx="14">
                  <c:v>4992.9470000000001</c:v>
                </c:pt>
                <c:pt idx="15">
                  <c:v>5204.0582000000004</c:v>
                </c:pt>
                <c:pt idx="16">
                  <c:v>5607.8222000000023</c:v>
                </c:pt>
                <c:pt idx="17">
                  <c:v>5782.9882000000034</c:v>
                </c:pt>
                <c:pt idx="18">
                  <c:v>5907.1522000000004</c:v>
                </c:pt>
                <c:pt idx="19">
                  <c:v>4888.8531000000021</c:v>
                </c:pt>
                <c:pt idx="20">
                  <c:v>5022.3391000000011</c:v>
                </c:pt>
                <c:pt idx="21">
                  <c:v>5230.0291000000043</c:v>
                </c:pt>
                <c:pt idx="22">
                  <c:v>5403.9190999999992</c:v>
                </c:pt>
                <c:pt idx="23">
                  <c:v>7008.2821000000004</c:v>
                </c:pt>
                <c:pt idx="24">
                  <c:v>7165.3420999999998</c:v>
                </c:pt>
                <c:pt idx="25">
                  <c:v>7228.1820999999991</c:v>
                </c:pt>
                <c:pt idx="26">
                  <c:v>7598.822030999997</c:v>
                </c:pt>
                <c:pt idx="27">
                  <c:v>7499.7850309999976</c:v>
                </c:pt>
                <c:pt idx="28">
                  <c:v>7586.8550309999973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58-49AF-8254-69AC887B3972}"/>
            </c:ext>
          </c:extLst>
        </c:ser>
        <c:ser>
          <c:idx val="0"/>
          <c:order val="4"/>
          <c:tx>
            <c:strRef>
              <c:f>'10.5 Lineas'!$T$6:$T$7</c:f>
              <c:strCache>
                <c:ptCount val="2"/>
                <c:pt idx="0">
                  <c:v>30 - 50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 Lineas'!$N$8:$N$36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2011*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'10.5 Lineas'!$T$8:$T$36</c:f>
              <c:numCache>
                <c:formatCode>#,##0</c:formatCode>
                <c:ptCount val="29"/>
                <c:pt idx="0">
                  <c:v>1098.24</c:v>
                </c:pt>
                <c:pt idx="1">
                  <c:v>1129.69</c:v>
                </c:pt>
                <c:pt idx="2">
                  <c:v>1328.998</c:v>
                </c:pt>
                <c:pt idx="3">
                  <c:v>1397.6559999999999</c:v>
                </c:pt>
                <c:pt idx="4">
                  <c:v>1421.38</c:v>
                </c:pt>
                <c:pt idx="5">
                  <c:v>1447.4109999999998</c:v>
                </c:pt>
                <c:pt idx="6">
                  <c:v>1449.94</c:v>
                </c:pt>
                <c:pt idx="7">
                  <c:v>1454.345</c:v>
                </c:pt>
                <c:pt idx="8">
                  <c:v>1460.845</c:v>
                </c:pt>
                <c:pt idx="9">
                  <c:v>1569.7659999999996</c:v>
                </c:pt>
                <c:pt idx="10">
                  <c:v>1545</c:v>
                </c:pt>
                <c:pt idx="11">
                  <c:v>1545.7479999999998</c:v>
                </c:pt>
                <c:pt idx="12">
                  <c:v>1545.7479999999998</c:v>
                </c:pt>
                <c:pt idx="13">
                  <c:v>1545.7479999999998</c:v>
                </c:pt>
                <c:pt idx="14">
                  <c:v>1555.16</c:v>
                </c:pt>
                <c:pt idx="15">
                  <c:v>1746.1599999999999</c:v>
                </c:pt>
                <c:pt idx="16">
                  <c:v>1751.7279999999994</c:v>
                </c:pt>
                <c:pt idx="17">
                  <c:v>1795.4479999999992</c:v>
                </c:pt>
                <c:pt idx="18">
                  <c:v>1797.4960000000001</c:v>
                </c:pt>
                <c:pt idx="19">
                  <c:v>2252.5648200000005</c:v>
                </c:pt>
                <c:pt idx="20">
                  <c:v>2278.5619999999999</c:v>
                </c:pt>
                <c:pt idx="21">
                  <c:v>2288.2648200000003</c:v>
                </c:pt>
                <c:pt idx="22">
                  <c:v>2010.2848200000008</c:v>
                </c:pt>
                <c:pt idx="23">
                  <c:v>2666.0648200000001</c:v>
                </c:pt>
                <c:pt idx="24">
                  <c:v>2666.0648200000005</c:v>
                </c:pt>
                <c:pt idx="25">
                  <c:v>2666.0648199999991</c:v>
                </c:pt>
                <c:pt idx="26">
                  <c:v>2752.8848199999993</c:v>
                </c:pt>
                <c:pt idx="27">
                  <c:v>2752.8848199999993</c:v>
                </c:pt>
                <c:pt idx="28">
                  <c:v>2752.8848200000007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58-49AF-8254-69AC887B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2212992"/>
        <c:axId val="302284800"/>
      </c:barChart>
      <c:catAx>
        <c:axId val="3022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22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284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(km)</a:t>
                </a:r>
              </a:p>
            </c:rich>
          </c:tx>
          <c:layout>
            <c:manualLayout>
              <c:xMode val="edge"/>
              <c:yMode val="edge"/>
              <c:x val="2.3545585550396958E-2"/>
              <c:y val="0.4608705414713334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2212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24052588127726"/>
          <c:y val="0.88406050399769398"/>
          <c:w val="0.59210325879501813"/>
          <c:h val="8.3991928754570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 algn="ctr" rtl="0">
              <a:def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rPr>
              <a:t>EVOLUCIÓN DE VENTAS DE ENERGÍA ELÉCTRICA  POR TIPO DE MERCADO</a:t>
            </a:r>
          </a:p>
          <a:p>
            <a:pPr algn="ctr" rtl="0">
              <a:def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rPr>
              <a:t>1 995 - 2 023</a:t>
            </a:r>
          </a:p>
        </c:rich>
      </c:tx>
      <c:layout>
        <c:manualLayout>
          <c:xMode val="edge"/>
          <c:yMode val="edge"/>
          <c:x val="0.22021898216112817"/>
          <c:y val="2.7583196485466054E-2"/>
        </c:manualLayout>
      </c:layout>
      <c:overlay val="0"/>
      <c:spPr>
        <a:solidFill>
          <a:srgbClr val="4B4B4B"/>
        </a:solidFill>
        <a:scene3d>
          <a:camera prst="orthographicFront"/>
          <a:lightRig rig="balanced" dir="t"/>
        </a:scene3d>
        <a:sp3d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9.2105693333383726E-2"/>
          <c:y val="0.1841651806120114"/>
          <c:w val="0.8809852437399488"/>
          <c:h val="0.70086151269692887"/>
        </c:manualLayout>
      </c:layout>
      <c:areaChart>
        <c:grouping val="stacked"/>
        <c:varyColors val="0"/>
        <c:ser>
          <c:idx val="0"/>
          <c:order val="0"/>
          <c:tx>
            <c:strRef>
              <c:f>'10.6 Ventas'!$O$6:$O$7</c:f>
              <c:strCache>
                <c:ptCount val="2"/>
                <c:pt idx="0">
                  <c:v>Regulados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400"/>
                      <a:t>Regulado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BF8-4B4B-92E3-C4377701A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P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'10.6 Ventas'!$N$8:$N$36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'10.6 Ventas'!$O$8:$O$36</c:f>
              <c:numCache>
                <c:formatCode>#\ ##0.00</c:formatCode>
                <c:ptCount val="29"/>
                <c:pt idx="0">
                  <c:v>6430.3848620000044</c:v>
                </c:pt>
                <c:pt idx="1">
                  <c:v>6781.8158419999918</c:v>
                </c:pt>
                <c:pt idx="2">
                  <c:v>7291.6494419999917</c:v>
                </c:pt>
                <c:pt idx="3">
                  <c:v>7755.838101999997</c:v>
                </c:pt>
                <c:pt idx="4">
                  <c:v>8071.8733350000111</c:v>
                </c:pt>
                <c:pt idx="5">
                  <c:v>8406.7782800000132</c:v>
                </c:pt>
                <c:pt idx="6">
                  <c:v>8654.8532329999871</c:v>
                </c:pt>
                <c:pt idx="7">
                  <c:v>9221.8888070000012</c:v>
                </c:pt>
                <c:pt idx="8">
                  <c:v>9610.7902890000005</c:v>
                </c:pt>
                <c:pt idx="9">
                  <c:v>10352.511363000001</c:v>
                </c:pt>
                <c:pt idx="10">
                  <c:v>11150.106846222223</c:v>
                </c:pt>
                <c:pt idx="11">
                  <c:v>12169.514937999998</c:v>
                </c:pt>
                <c:pt idx="12">
                  <c:v>13346.184469</c:v>
                </c:pt>
                <c:pt idx="13">
                  <c:v>14569.444074000001</c:v>
                </c:pt>
                <c:pt idx="14">
                  <c:v>15204.704771999996</c:v>
                </c:pt>
                <c:pt idx="15">
                  <c:v>16430.850569000002</c:v>
                </c:pt>
                <c:pt idx="16">
                  <c:v>17891.5565232511</c:v>
                </c:pt>
                <c:pt idx="17">
                  <c:v>18962.169935999998</c:v>
                </c:pt>
                <c:pt idx="18">
                  <c:v>19881.575264999999</c:v>
                </c:pt>
                <c:pt idx="19">
                  <c:v>20763.971397291498</c:v>
                </c:pt>
                <c:pt idx="20">
                  <c:v>21493.034900000002</c:v>
                </c:pt>
                <c:pt idx="21">
                  <c:v>20865.202581000038</c:v>
                </c:pt>
                <c:pt idx="22">
                  <c:v>19466.014226119965</c:v>
                </c:pt>
                <c:pt idx="23">
                  <c:v>19149.967832780123</c:v>
                </c:pt>
                <c:pt idx="24">
                  <c:v>19137.950690000001</c:v>
                </c:pt>
                <c:pt idx="25">
                  <c:v>22857.708323600058</c:v>
                </c:pt>
                <c:pt idx="26">
                  <c:v>18372.038264519608</c:v>
                </c:pt>
                <c:pt idx="27">
                  <c:v>18638.218120910016</c:v>
                </c:pt>
                <c:pt idx="28">
                  <c:v>19420.37894483086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F8-4B4B-92E3-C4377701ADD1}"/>
            </c:ext>
          </c:extLst>
        </c:ser>
        <c:ser>
          <c:idx val="1"/>
          <c:order val="1"/>
          <c:tx>
            <c:strRef>
              <c:f>'10.6 Ventas'!$P$6:$P$7</c:f>
              <c:strCache>
                <c:ptCount val="2"/>
                <c:pt idx="0">
                  <c:v>Libres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400"/>
                      <a:t>Libre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BF8-4B4B-92E3-C4377701A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P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'10.6 Ventas'!$N$8:$N$36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'10.6 Ventas'!$P$8:$P$36</c:f>
              <c:numCache>
                <c:formatCode>#\ ##0.00</c:formatCode>
                <c:ptCount val="29"/>
                <c:pt idx="0">
                  <c:v>3418.8712659999997</c:v>
                </c:pt>
                <c:pt idx="1">
                  <c:v>3549.0237560000005</c:v>
                </c:pt>
                <c:pt idx="2">
                  <c:v>5159.5807179999993</c:v>
                </c:pt>
                <c:pt idx="3">
                  <c:v>6252.7387210000006</c:v>
                </c:pt>
                <c:pt idx="4">
                  <c:v>6520.0182239999995</c:v>
                </c:pt>
                <c:pt idx="5">
                  <c:v>7138.8171120000006</c:v>
                </c:pt>
                <c:pt idx="6">
                  <c:v>7973.901312</c:v>
                </c:pt>
                <c:pt idx="7">
                  <c:v>8383.4371068479995</c:v>
                </c:pt>
                <c:pt idx="8">
                  <c:v>8764.545121000001</c:v>
                </c:pt>
                <c:pt idx="9">
                  <c:v>9288.1397469999993</c:v>
                </c:pt>
                <c:pt idx="10">
                  <c:v>9551.2760340000004</c:v>
                </c:pt>
                <c:pt idx="11">
                  <c:v>10120.546214999998</c:v>
                </c:pt>
                <c:pt idx="12">
                  <c:v>11375.564084000001</c:v>
                </c:pt>
                <c:pt idx="13">
                  <c:v>12394.970522</c:v>
                </c:pt>
                <c:pt idx="14">
                  <c:v>11882.301004999999</c:v>
                </c:pt>
                <c:pt idx="15">
                  <c:v>13005.324554999999</c:v>
                </c:pt>
                <c:pt idx="16">
                  <c:v>13928.794281999999</c:v>
                </c:pt>
                <c:pt idx="17">
                  <c:v>14686.015998999999</c:v>
                </c:pt>
                <c:pt idx="18">
                  <c:v>15728.077434999999</c:v>
                </c:pt>
                <c:pt idx="19">
                  <c:v>16563.805596905615</c:v>
                </c:pt>
                <c:pt idx="20">
                  <c:v>18281.709699999999</c:v>
                </c:pt>
                <c:pt idx="21">
                  <c:v>22501.796529700005</c:v>
                </c:pt>
                <c:pt idx="22">
                  <c:v>24757.238591149995</c:v>
                </c:pt>
                <c:pt idx="23">
                  <c:v>26717.820009409941</c:v>
                </c:pt>
                <c:pt idx="24">
                  <c:v>28282.787221999999</c:v>
                </c:pt>
                <c:pt idx="25">
                  <c:v>20893.361044550002</c:v>
                </c:pt>
                <c:pt idx="26">
                  <c:v>29681.705728499895</c:v>
                </c:pt>
                <c:pt idx="27">
                  <c:v>31794.868307000001</c:v>
                </c:pt>
                <c:pt idx="28">
                  <c:v>33202.592355470086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F8-4B4B-92E3-C4377701A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61408"/>
        <c:axId val="43362944"/>
      </c:areaChart>
      <c:catAx>
        <c:axId val="4336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4336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62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5.8139819386983397E-3"/>
              <c:y val="0.486631016042780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43361408"/>
        <c:crosses val="autoZero"/>
        <c:crossBetween val="midCat"/>
        <c:majorUnit val="4000"/>
        <c:minorUnit val="1000"/>
      </c:valAx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 algn="ctr" rtl="0">
              <a:def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rPr>
              <a:t>EVOLUCIÓN DE VENTAS DE ENERGÍA POR TIPO DE EMPRESA
1 995 - 2 023</a:t>
            </a:r>
          </a:p>
        </c:rich>
      </c:tx>
      <c:layout>
        <c:manualLayout>
          <c:xMode val="edge"/>
          <c:yMode val="edge"/>
          <c:x val="0.26930161389400792"/>
          <c:y val="5.4522289573138399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9.6466258339381314E-2"/>
          <c:y val="0.24552460328659897"/>
          <c:w val="0.87814686045126888"/>
          <c:h val="0.62915679592190987"/>
        </c:manualLayout>
      </c:layout>
      <c:areaChart>
        <c:grouping val="stacked"/>
        <c:varyColors val="0"/>
        <c:ser>
          <c:idx val="0"/>
          <c:order val="0"/>
          <c:tx>
            <c:strRef>
              <c:f>'10.6 Ventas'!$O$44:$O$46</c:f>
              <c:strCache>
                <c:ptCount val="3"/>
                <c:pt idx="0">
                  <c:v>Distribuidoras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400"/>
                      <a:t>Distribuidoras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50A-4CCF-8621-133C2FA54A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P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'10.6 Ventas'!$N$47:$N$75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'10.6 Ventas'!$O$47:$O$75</c:f>
              <c:numCache>
                <c:formatCode>#\ ##0.00</c:formatCode>
                <c:ptCount val="29"/>
                <c:pt idx="0">
                  <c:v>8673.7080870000045</c:v>
                </c:pt>
                <c:pt idx="1">
                  <c:v>8770.6107359999914</c:v>
                </c:pt>
                <c:pt idx="2">
                  <c:v>9377.8946799999903</c:v>
                </c:pt>
                <c:pt idx="3">
                  <c:v>9878.6615729999976</c:v>
                </c:pt>
                <c:pt idx="4">
                  <c:v>10198.891027000011</c:v>
                </c:pt>
                <c:pt idx="5">
                  <c:v>10763.269271000014</c:v>
                </c:pt>
                <c:pt idx="6">
                  <c:v>10522.374724999987</c:v>
                </c:pt>
                <c:pt idx="7">
                  <c:v>11113.547163000001</c:v>
                </c:pt>
                <c:pt idx="8">
                  <c:v>11303.613573000001</c:v>
                </c:pt>
                <c:pt idx="9">
                  <c:v>12001.305316000002</c:v>
                </c:pt>
                <c:pt idx="10">
                  <c:v>12914.287800222222</c:v>
                </c:pt>
                <c:pt idx="11">
                  <c:v>14043.638326999999</c:v>
                </c:pt>
                <c:pt idx="12">
                  <c:v>15032.180855000001</c:v>
                </c:pt>
                <c:pt idx="13">
                  <c:v>16297.176545</c:v>
                </c:pt>
                <c:pt idx="14">
                  <c:v>17000.664144999995</c:v>
                </c:pt>
                <c:pt idx="15">
                  <c:v>18195.325098000001</c:v>
                </c:pt>
                <c:pt idx="16">
                  <c:v>19753.040698251101</c:v>
                </c:pt>
                <c:pt idx="17">
                  <c:v>20947.295381</c:v>
                </c:pt>
                <c:pt idx="18">
                  <c:v>21935.480477000001</c:v>
                </c:pt>
                <c:pt idx="19">
                  <c:v>22781.971993397114</c:v>
                </c:pt>
                <c:pt idx="20">
                  <c:v>23494.010900000001</c:v>
                </c:pt>
                <c:pt idx="21">
                  <c:v>22886.332354000038</c:v>
                </c:pt>
                <c:pt idx="22">
                  <c:v>22399.543247369966</c:v>
                </c:pt>
                <c:pt idx="23">
                  <c:v>22073.874790390117</c:v>
                </c:pt>
                <c:pt idx="24">
                  <c:v>22355.024662000003</c:v>
                </c:pt>
                <c:pt idx="25">
                  <c:v>25857.238500500072</c:v>
                </c:pt>
                <c:pt idx="26">
                  <c:v>21959.303937619599</c:v>
                </c:pt>
                <c:pt idx="27">
                  <c:v>22653.615047510018</c:v>
                </c:pt>
                <c:pt idx="28">
                  <c:v>23870.292829300852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A-4CCF-8621-133C2FA54A4B}"/>
            </c:ext>
          </c:extLst>
        </c:ser>
        <c:ser>
          <c:idx val="1"/>
          <c:order val="1"/>
          <c:tx>
            <c:strRef>
              <c:f>'10.6 Ventas'!$P$44:$P$46</c:f>
              <c:strCache>
                <c:ptCount val="3"/>
                <c:pt idx="0">
                  <c:v>Generadoras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 sz="1400"/>
                      <a:t>Generadoras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50A-4CCF-8621-133C2FA54A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P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'10.6 Ventas'!$N$47:$N$75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'10.6 Ventas'!$P$47:$P$75</c:f>
              <c:numCache>
                <c:formatCode>#\ ##0.00</c:formatCode>
                <c:ptCount val="29"/>
                <c:pt idx="0">
                  <c:v>1175.548041</c:v>
                </c:pt>
                <c:pt idx="1">
                  <c:v>1560.2288619999999</c:v>
                </c:pt>
                <c:pt idx="2">
                  <c:v>3073.3354799999997</c:v>
                </c:pt>
                <c:pt idx="3">
                  <c:v>4129.9152500000009</c:v>
                </c:pt>
                <c:pt idx="4">
                  <c:v>4393.000532</c:v>
                </c:pt>
                <c:pt idx="5">
                  <c:v>4782.3261210000001</c:v>
                </c:pt>
                <c:pt idx="6">
                  <c:v>6106.3798200000001</c:v>
                </c:pt>
                <c:pt idx="7">
                  <c:v>6491.7787508479996</c:v>
                </c:pt>
                <c:pt idx="8">
                  <c:v>7071.721837000001</c:v>
                </c:pt>
                <c:pt idx="9">
                  <c:v>7639.3457939999998</c:v>
                </c:pt>
                <c:pt idx="10">
                  <c:v>7787.095080000001</c:v>
                </c:pt>
                <c:pt idx="11">
                  <c:v>8246.4228259999982</c:v>
                </c:pt>
                <c:pt idx="12">
                  <c:v>9689.5676980000007</c:v>
                </c:pt>
                <c:pt idx="13">
                  <c:v>10667.238051</c:v>
                </c:pt>
                <c:pt idx="14">
                  <c:v>10086.341632</c:v>
                </c:pt>
                <c:pt idx="15">
                  <c:v>11240.850026</c:v>
                </c:pt>
                <c:pt idx="16">
                  <c:v>12067.310106999999</c:v>
                </c:pt>
                <c:pt idx="17">
                  <c:v>12700.890554</c:v>
                </c:pt>
                <c:pt idx="18">
                  <c:v>13674.172223</c:v>
                </c:pt>
                <c:pt idx="19">
                  <c:v>14545.805000799999</c:v>
                </c:pt>
                <c:pt idx="20">
                  <c:v>16280.733700000001</c:v>
                </c:pt>
                <c:pt idx="21">
                  <c:v>20480.666756700004</c:v>
                </c:pt>
                <c:pt idx="22">
                  <c:v>21823.709569899995</c:v>
                </c:pt>
                <c:pt idx="23">
                  <c:v>23793.913051799947</c:v>
                </c:pt>
                <c:pt idx="24">
                  <c:v>25065.713250000001</c:v>
                </c:pt>
                <c:pt idx="25">
                  <c:v>17893.830867649987</c:v>
                </c:pt>
                <c:pt idx="26">
                  <c:v>26094.440055399904</c:v>
                </c:pt>
                <c:pt idx="27">
                  <c:v>27779.471380399998</c:v>
                </c:pt>
                <c:pt idx="28">
                  <c:v>28752.678471000097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0A-4CCF-8621-133C2FA54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90848"/>
        <c:axId val="43392384"/>
      </c:areaChart>
      <c:catAx>
        <c:axId val="433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433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92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5.7870106662199139E-3"/>
              <c:y val="0.4680312275543561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43390848"/>
        <c:crosses val="autoZero"/>
        <c:crossBetween val="midCat"/>
        <c:majorUnit val="4000"/>
        <c:minorUnit val="1000"/>
      </c:valAx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 LA FACTURACIÓN POR VENTA FINAL DE ENERGÍA ELÉCTRICA AL MERCADO LIBRE Y REGULADO</a:t>
            </a:r>
          </a:p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1995 - 2023</a:t>
            </a:r>
          </a:p>
        </c:rich>
      </c:tx>
      <c:layout>
        <c:manualLayout>
          <c:xMode val="edge"/>
          <c:yMode val="edge"/>
          <c:x val="0.10871863239317307"/>
          <c:y val="4.0937402613591509E-2"/>
        </c:manualLayout>
      </c:layout>
      <c:overlay val="0"/>
      <c:spPr>
        <a:solidFill>
          <a:srgbClr val="4B4B4B"/>
        </a:solidFill>
        <a:ln w="25400">
          <a:noFill/>
        </a:ln>
        <a:scene3d>
          <a:camera prst="orthographicFront"/>
          <a:lightRig rig="balanced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0.1068441069279978"/>
          <c:y val="0.23192771084337349"/>
          <c:w val="0.87019864933499291"/>
          <c:h val="0.67771084337349397"/>
        </c:manualLayout>
      </c:layout>
      <c:areaChart>
        <c:grouping val="stacked"/>
        <c:varyColors val="0"/>
        <c:ser>
          <c:idx val="0"/>
          <c:order val="0"/>
          <c:tx>
            <c:strRef>
              <c:f>'10.7 Facturacion'!$O$40</c:f>
              <c:strCache>
                <c:ptCount val="1"/>
                <c:pt idx="0">
                  <c:v>Regulados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50800"/>
            </a:sp3d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sz="1400"/>
                      <a:t>Regulado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EC2-45E9-A967-9EA160E0F8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'10.7 Facturacion'!$N$41:$N$69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'10.7 Facturacion'!$O$41:$O$69</c:f>
              <c:numCache>
                <c:formatCode>#\ ##0.00</c:formatCode>
                <c:ptCount val="29"/>
                <c:pt idx="0">
                  <c:v>652594.70505039126</c:v>
                </c:pt>
                <c:pt idx="1">
                  <c:v>703942.0843935553</c:v>
                </c:pt>
                <c:pt idx="2">
                  <c:v>739882.06859937776</c:v>
                </c:pt>
                <c:pt idx="3">
                  <c:v>678887.14895575435</c:v>
                </c:pt>
                <c:pt idx="4">
                  <c:v>670509.97864915198</c:v>
                </c:pt>
                <c:pt idx="5">
                  <c:v>740329.43935992219</c:v>
                </c:pt>
                <c:pt idx="6">
                  <c:v>761192.05792891572</c:v>
                </c:pt>
                <c:pt idx="7">
                  <c:v>764543.09032842796</c:v>
                </c:pt>
                <c:pt idx="8">
                  <c:v>811107.14639795315</c:v>
                </c:pt>
                <c:pt idx="9">
                  <c:v>897997.70685053943</c:v>
                </c:pt>
                <c:pt idx="10">
                  <c:v>1048137.0214944701</c:v>
                </c:pt>
                <c:pt idx="11">
                  <c:v>1120521.0639498956</c:v>
                </c:pt>
                <c:pt idx="12">
                  <c:v>1213689.4778540342</c:v>
                </c:pt>
                <c:pt idx="13">
                  <c:v>1393393.8557439279</c:v>
                </c:pt>
                <c:pt idx="14">
                  <c:v>1556915.7010486</c:v>
                </c:pt>
                <c:pt idx="15">
                  <c:v>1718589.3030064055</c:v>
                </c:pt>
                <c:pt idx="16">
                  <c:v>1984402.4158051817</c:v>
                </c:pt>
                <c:pt idx="17">
                  <c:v>2313676.2538387571</c:v>
                </c:pt>
                <c:pt idx="18">
                  <c:v>2432390.4404826746</c:v>
                </c:pt>
                <c:pt idx="19">
                  <c:v>2788652.8472375898</c:v>
                </c:pt>
                <c:pt idx="20">
                  <c:v>2880093.06</c:v>
                </c:pt>
                <c:pt idx="21">
                  <c:v>2947578.3042463912</c:v>
                </c:pt>
                <c:pt idx="22">
                  <c:v>2915208.574825678</c:v>
                </c:pt>
                <c:pt idx="23">
                  <c:v>3048268.389888241</c:v>
                </c:pt>
                <c:pt idx="24">
                  <c:v>3151419.017</c:v>
                </c:pt>
                <c:pt idx="25">
                  <c:v>2963478.2963127429</c:v>
                </c:pt>
                <c:pt idx="26">
                  <c:v>3007639.784990543</c:v>
                </c:pt>
                <c:pt idx="27">
                  <c:v>3398643.7506960984</c:v>
                </c:pt>
                <c:pt idx="28">
                  <c:v>3679456.587423421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2-45E9-A967-9EA160E0F81F}"/>
            </c:ext>
          </c:extLst>
        </c:ser>
        <c:ser>
          <c:idx val="1"/>
          <c:order val="1"/>
          <c:tx>
            <c:strRef>
              <c:f>'10.7 Facturacion'!$P$40</c:f>
              <c:strCache>
                <c:ptCount val="1"/>
                <c:pt idx="0">
                  <c:v>Libres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noFill/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57150" h="50800"/>
            </a:sp3d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sz="1400"/>
                      <a:t>Libre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EC2-45E9-A967-9EA160E0F8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'10.7 Facturacion'!$N$41:$N$69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'10.7 Facturacion'!$P$41:$P$69</c:f>
              <c:numCache>
                <c:formatCode>#\ ##0.00</c:formatCode>
                <c:ptCount val="29"/>
                <c:pt idx="0">
                  <c:v>174081.29663935103</c:v>
                </c:pt>
                <c:pt idx="1">
                  <c:v>189428.31074726206</c:v>
                </c:pt>
                <c:pt idx="2">
                  <c:v>279655.46801755915</c:v>
                </c:pt>
                <c:pt idx="3">
                  <c:v>309257.82158949709</c:v>
                </c:pt>
                <c:pt idx="4">
                  <c:v>321449.38961757824</c:v>
                </c:pt>
                <c:pt idx="5">
                  <c:v>372740.06090845715</c:v>
                </c:pt>
                <c:pt idx="6">
                  <c:v>378166.4559096325</c:v>
                </c:pt>
                <c:pt idx="7">
                  <c:v>392524.06993930548</c:v>
                </c:pt>
                <c:pt idx="8">
                  <c:v>406102.99727272848</c:v>
                </c:pt>
                <c:pt idx="9">
                  <c:v>484302.30495956831</c:v>
                </c:pt>
                <c:pt idx="10">
                  <c:v>531072.24960191001</c:v>
                </c:pt>
                <c:pt idx="11">
                  <c:v>562647.84035601164</c:v>
                </c:pt>
                <c:pt idx="12">
                  <c:v>616942.18558020808</c:v>
                </c:pt>
                <c:pt idx="13">
                  <c:v>822706.11743943871</c:v>
                </c:pt>
                <c:pt idx="14">
                  <c:v>679142.45276880008</c:v>
                </c:pt>
                <c:pt idx="15">
                  <c:v>729945.72519655328</c:v>
                </c:pt>
                <c:pt idx="16">
                  <c:v>875989.13955361478</c:v>
                </c:pt>
                <c:pt idx="17">
                  <c:v>985449.24548825575</c:v>
                </c:pt>
                <c:pt idx="18">
                  <c:v>1103835.8889688132</c:v>
                </c:pt>
                <c:pt idx="19">
                  <c:v>1236693.2682361822</c:v>
                </c:pt>
                <c:pt idx="20">
                  <c:v>1291318.33</c:v>
                </c:pt>
                <c:pt idx="21">
                  <c:v>1501878.1512877787</c:v>
                </c:pt>
                <c:pt idx="22">
                  <c:v>1564489.5915317368</c:v>
                </c:pt>
                <c:pt idx="23">
                  <c:v>1684287.6966351643</c:v>
                </c:pt>
                <c:pt idx="24">
                  <c:v>1781290.22</c:v>
                </c:pt>
                <c:pt idx="25">
                  <c:v>1618568.1120463987</c:v>
                </c:pt>
                <c:pt idx="26">
                  <c:v>1775326.3285122376</c:v>
                </c:pt>
                <c:pt idx="27">
                  <c:v>2110823.7264196002</c:v>
                </c:pt>
                <c:pt idx="28">
                  <c:v>2363697.2148497053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C2-45E9-A967-9EA160E0F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08384"/>
        <c:axId val="43410176"/>
      </c:areaChart>
      <c:catAx>
        <c:axId val="4340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41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101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Miles de US $</a:t>
                </a:r>
              </a:p>
            </c:rich>
          </c:tx>
          <c:layout>
            <c:manualLayout>
              <c:xMode val="edge"/>
              <c:yMode val="edge"/>
              <c:x val="7.5162826868863612E-3"/>
              <c:y val="0.32340667179135585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4083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 LA FACTURACIÓN POR VENTA DE ENERGÍA SEGÚN TIPO DE EMPRESA
1995 - 2023</a:t>
            </a:r>
          </a:p>
        </c:rich>
      </c:tx>
      <c:layout>
        <c:manualLayout>
          <c:xMode val="edge"/>
          <c:yMode val="edge"/>
          <c:x val="0.17653188171774511"/>
          <c:y val="3.2544535656447195E-2"/>
        </c:manualLayout>
      </c:layout>
      <c:overlay val="0"/>
      <c:spPr>
        <a:solidFill>
          <a:srgbClr val="4B4B4B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0.10322487899970427"/>
          <c:y val="0.20186374529270798"/>
          <c:w val="0.87327344315612943"/>
          <c:h val="0.69754495035946595"/>
        </c:manualLayout>
      </c:layout>
      <c:areaChart>
        <c:grouping val="stacked"/>
        <c:varyColors val="0"/>
        <c:ser>
          <c:idx val="0"/>
          <c:order val="0"/>
          <c:tx>
            <c:strRef>
              <c:f>'10.7 Facturacion'!$O$71</c:f>
              <c:strCache>
                <c:ptCount val="1"/>
                <c:pt idx="0">
                  <c:v>Distribuidoras</c:v>
                </c:pt>
              </c:strCache>
            </c:strRef>
          </c:tx>
          <c:spPr>
            <a:gradFill rotWithShape="0">
              <a:gsLst>
                <a:gs pos="0">
                  <a:srgbClr val="008080">
                    <a:gamma/>
                    <a:shade val="46275"/>
                    <a:invGamma/>
                  </a:srgbClr>
                </a:gs>
                <a:gs pos="100000">
                  <a:srgbClr val="008080"/>
                </a:gs>
              </a:gsLst>
              <a:lin ang="5400000" scaled="1"/>
            </a:gradFill>
            <a:ln w="12700">
              <a:noFill/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50800" h="50800"/>
            </a:sp3d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'10.7 Facturacion'!$N$72:$N$100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'10.7 Facturacion'!$O$72:$O$100</c:f>
              <c:numCache>
                <c:formatCode>#\ ##0.00</c:formatCode>
                <c:ptCount val="29"/>
                <c:pt idx="0">
                  <c:v>776779.19139398972</c:v>
                </c:pt>
                <c:pt idx="1">
                  <c:v>822460.27859264216</c:v>
                </c:pt>
                <c:pt idx="2">
                  <c:v>859351.67959043023</c:v>
                </c:pt>
                <c:pt idx="3">
                  <c:v>786060.99965563859</c:v>
                </c:pt>
                <c:pt idx="4">
                  <c:v>778389.13985393988</c:v>
                </c:pt>
                <c:pt idx="5">
                  <c:v>866072.13672822504</c:v>
                </c:pt>
                <c:pt idx="6">
                  <c:v>862632.28368588316</c:v>
                </c:pt>
                <c:pt idx="7">
                  <c:v>862228.11757443007</c:v>
                </c:pt>
                <c:pt idx="8">
                  <c:v>901096.17241545301</c:v>
                </c:pt>
                <c:pt idx="9">
                  <c:v>986870.11767828721</c:v>
                </c:pt>
                <c:pt idx="10">
                  <c:v>1147775.8928376874</c:v>
                </c:pt>
                <c:pt idx="11">
                  <c:v>1222413.6377595204</c:v>
                </c:pt>
                <c:pt idx="12">
                  <c:v>1305447.8754961956</c:v>
                </c:pt>
                <c:pt idx="13">
                  <c:v>1501002.7378177985</c:v>
                </c:pt>
                <c:pt idx="14">
                  <c:v>1675664.7528214001</c:v>
                </c:pt>
                <c:pt idx="15">
                  <c:v>1841104.1163105767</c:v>
                </c:pt>
                <c:pt idx="16">
                  <c:v>2130475.7425380684</c:v>
                </c:pt>
                <c:pt idx="17">
                  <c:v>2474533.5608113473</c:v>
                </c:pt>
                <c:pt idx="18">
                  <c:v>2617666.0377430008</c:v>
                </c:pt>
                <c:pt idx="19">
                  <c:v>2974214.4336705087</c:v>
                </c:pt>
                <c:pt idx="20">
                  <c:v>3054173.97</c:v>
                </c:pt>
                <c:pt idx="21">
                  <c:v>3107945.2125680889</c:v>
                </c:pt>
                <c:pt idx="22">
                  <c:v>3135319.541849813</c:v>
                </c:pt>
                <c:pt idx="23">
                  <c:v>3262079.7526476942</c:v>
                </c:pt>
                <c:pt idx="24">
                  <c:v>3390349.5109999999</c:v>
                </c:pt>
                <c:pt idx="25">
                  <c:v>3177626.5078863143</c:v>
                </c:pt>
                <c:pt idx="26">
                  <c:v>3247662.6154217161</c:v>
                </c:pt>
                <c:pt idx="27">
                  <c:v>3703281.9869758985</c:v>
                </c:pt>
                <c:pt idx="28">
                  <c:v>4049915.5446629217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8-49A4-ACAA-028FC997B88E}"/>
            </c:ext>
          </c:extLst>
        </c:ser>
        <c:ser>
          <c:idx val="1"/>
          <c:order val="1"/>
          <c:tx>
            <c:strRef>
              <c:f>'10.7 Facturacion'!$P$71</c:f>
              <c:strCache>
                <c:ptCount val="1"/>
                <c:pt idx="0">
                  <c:v>Generadoras</c:v>
                </c:pt>
              </c:strCache>
            </c:strRef>
          </c:tx>
          <c:spPr>
            <a:gradFill rotWithShape="0">
              <a:gsLst>
                <a:gs pos="0">
                  <a:srgbClr val="CCFFCC"/>
                </a:gs>
                <a:gs pos="100000">
                  <a:srgbClr val="CCFFCC">
                    <a:gamma/>
                    <a:shade val="83137"/>
                    <a:invGamma/>
                  </a:srgbClr>
                </a:gs>
              </a:gsLst>
              <a:lin ang="5400000" scaled="1"/>
            </a:gradFill>
            <a:ln w="12700">
              <a:noFill/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50800" h="50800"/>
            </a:sp3d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 b="1"/>
                      <a:t>Generadoras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E98-49A4-ACAA-028FC997B8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'10.7 Facturacion'!$N$72:$N$100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'10.7 Facturacion'!$P$72:$P$100</c:f>
              <c:numCache>
                <c:formatCode>#\ ##0.00</c:formatCode>
                <c:ptCount val="29"/>
                <c:pt idx="0">
                  <c:v>49896.810295752563</c:v>
                </c:pt>
                <c:pt idx="1">
                  <c:v>70910.116548175167</c:v>
                </c:pt>
                <c:pt idx="2">
                  <c:v>160185.85702650671</c:v>
                </c:pt>
                <c:pt idx="3">
                  <c:v>202083.97088961289</c:v>
                </c:pt>
                <c:pt idx="4">
                  <c:v>213570.22841279037</c:v>
                </c:pt>
                <c:pt idx="5">
                  <c:v>246997.36354015436</c:v>
                </c:pt>
                <c:pt idx="6">
                  <c:v>276726.23015266506</c:v>
                </c:pt>
                <c:pt idx="7">
                  <c:v>294839.04269330332</c:v>
                </c:pt>
                <c:pt idx="8">
                  <c:v>316113.97125522856</c:v>
                </c:pt>
                <c:pt idx="9">
                  <c:v>395429.89413182059</c:v>
                </c:pt>
                <c:pt idx="10">
                  <c:v>431433.37825869262</c:v>
                </c:pt>
                <c:pt idx="11">
                  <c:v>460755.2665463867</c:v>
                </c:pt>
                <c:pt idx="12">
                  <c:v>525183.78793804673</c:v>
                </c:pt>
                <c:pt idx="13">
                  <c:v>715097.23536556808</c:v>
                </c:pt>
                <c:pt idx="14">
                  <c:v>560393.40099600004</c:v>
                </c:pt>
                <c:pt idx="15">
                  <c:v>607430.91189238196</c:v>
                </c:pt>
                <c:pt idx="16">
                  <c:v>729915.81282072817</c:v>
                </c:pt>
                <c:pt idx="17">
                  <c:v>824591.93851566559</c:v>
                </c:pt>
                <c:pt idx="18">
                  <c:v>918560.29170848709</c:v>
                </c:pt>
                <c:pt idx="19">
                  <c:v>1051131.6818032633</c:v>
                </c:pt>
                <c:pt idx="20">
                  <c:v>1117237.4200000002</c:v>
                </c:pt>
                <c:pt idx="21">
                  <c:v>1341511.2429660808</c:v>
                </c:pt>
                <c:pt idx="22">
                  <c:v>1344378.6245076021</c:v>
                </c:pt>
                <c:pt idx="23">
                  <c:v>1470476.3338757108</c:v>
                </c:pt>
                <c:pt idx="24">
                  <c:v>1542359.726</c:v>
                </c:pt>
                <c:pt idx="25">
                  <c:v>1404419.9004728275</c:v>
                </c:pt>
                <c:pt idx="26">
                  <c:v>1535303.4980810643</c:v>
                </c:pt>
                <c:pt idx="27">
                  <c:v>1806185.4901398001</c:v>
                </c:pt>
                <c:pt idx="28">
                  <c:v>1993238.2576102046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98-49A4-ACAA-028FC997B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25152"/>
        <c:axId val="43431040"/>
      </c:areaChart>
      <c:catAx>
        <c:axId val="4342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43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31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Miles de US $</a:t>
                </a:r>
              </a:p>
            </c:rich>
          </c:tx>
          <c:layout>
            <c:manualLayout>
              <c:xMode val="edge"/>
              <c:yMode val="edge"/>
              <c:x val="1.044852480120746E-2"/>
              <c:y val="0.3877006198693248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425152"/>
        <c:crosses val="autoZero"/>
        <c:crossBetween val="midCat"/>
        <c:majorUnit val="500000"/>
        <c:minorUnit val="20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DEl PRECIO MEDIO DE ENERGÍA ELÉCTRICA AL MERCADO LIBRE Y REGULADO</a:t>
            </a:r>
          </a:p>
          <a:p>
            <a:pPr>
              <a:defRPr sz="11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1995 - 2023</a:t>
            </a:r>
          </a:p>
        </c:rich>
      </c:tx>
      <c:layout>
        <c:manualLayout>
          <c:xMode val="edge"/>
          <c:yMode val="edge"/>
          <c:x val="0.1354431179973471"/>
          <c:y val="1.2360623596749202E-2"/>
        </c:manualLayout>
      </c:layout>
      <c:overlay val="0"/>
      <c:spPr>
        <a:solidFill>
          <a:srgbClr val="4B4B4B"/>
        </a:solidFill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7.5526768831315441E-2"/>
          <c:y val="0.19954779748916929"/>
          <c:w val="0.89567871757965722"/>
          <c:h val="0.611496354622338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'10.8 Precio medio'!$O$5</c:f>
              <c:strCache>
                <c:ptCount val="1"/>
                <c:pt idx="0">
                  <c:v>Regulado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scene3d>
              <a:camera prst="orthographicFront"/>
              <a:lightRig rig="soft" dir="t"/>
            </a:scene3d>
            <a:sp3d prstMaterial="plastic">
              <a:bevelT w="25400"/>
            </a:sp3d>
          </c:spPr>
          <c:invertIfNegative val="0"/>
          <c:cat>
            <c:strRef>
              <c:f>'10.8 Precio medio'!$N$7:$N$35</c:f>
              <c:strCache>
                <c:ptCount val="29"/>
                <c:pt idx="0">
                  <c:v>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</c:strCache>
            </c:strRef>
          </c:cat>
          <c:val>
            <c:numRef>
              <c:f>'10.8 Precio medio'!$O$7:$O$35</c:f>
              <c:numCache>
                <c:formatCode>#\ ##0.00</c:formatCode>
                <c:ptCount val="29"/>
                <c:pt idx="0">
                  <c:v>10.148610371781364</c:v>
                </c:pt>
                <c:pt idx="1">
                  <c:v>10.37984664865154</c:v>
                </c:pt>
                <c:pt idx="2">
                  <c:v>10.146978053246057</c:v>
                </c:pt>
                <c:pt idx="3">
                  <c:v>8.753240333635766</c:v>
                </c:pt>
                <c:pt idx="4">
                  <c:v>8.3066426364644457</c:v>
                </c:pt>
                <c:pt idx="5">
                  <c:v>8.8063395358146757</c:v>
                </c:pt>
                <c:pt idx="6">
                  <c:v>8.7949736111824013</c:v>
                </c:pt>
                <c:pt idx="7">
                  <c:v>8.2905260118522683</c:v>
                </c:pt>
                <c:pt idx="8">
                  <c:v>8.4395468219330851</c:v>
                </c:pt>
                <c:pt idx="9">
                  <c:v>8.6742016054190874</c:v>
                </c:pt>
                <c:pt idx="10">
                  <c:v>9.4007778088619069</c:v>
                </c:pt>
                <c:pt idx="11">
                  <c:v>9.2054198190234704</c:v>
                </c:pt>
                <c:pt idx="12">
                  <c:v>9.0939060573690185</c:v>
                </c:pt>
                <c:pt idx="13">
                  <c:v>9.5638093579048657</c:v>
                </c:pt>
                <c:pt idx="14">
                  <c:v>10.220209425572106</c:v>
                </c:pt>
                <c:pt idx="15">
                  <c:v>10.459527312900395</c:v>
                </c:pt>
                <c:pt idx="16">
                  <c:v>11.091278800848533</c:v>
                </c:pt>
                <c:pt idx="17">
                  <c:v>12.201537385477197</c:v>
                </c:pt>
                <c:pt idx="18">
                  <c:v>12.233886288512146</c:v>
                </c:pt>
                <c:pt idx="19">
                  <c:v>13.430247970776314</c:v>
                </c:pt>
                <c:pt idx="20">
                  <c:v>13.400122753255285</c:v>
                </c:pt>
                <c:pt idx="21">
                  <c:v>14.126765809264075</c:v>
                </c:pt>
                <c:pt idx="22">
                  <c:v>14.975888443120429</c:v>
                </c:pt>
                <c:pt idx="23">
                  <c:v>15.917877337999185</c:v>
                </c:pt>
                <c:pt idx="24">
                  <c:v>16.466857230678755</c:v>
                </c:pt>
                <c:pt idx="25">
                  <c:v>12.964896805744168</c:v>
                </c:pt>
                <c:pt idx="26">
                  <c:v>16.370746357517383</c:v>
                </c:pt>
                <c:pt idx="27">
                  <c:v>18.234810477312728</c:v>
                </c:pt>
                <c:pt idx="28">
                  <c:v>18.946368646440781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4-41A9-A717-96A6D63027D0}"/>
            </c:ext>
          </c:extLst>
        </c:ser>
        <c:ser>
          <c:idx val="1"/>
          <c:order val="1"/>
          <c:tx>
            <c:strRef>
              <c:f>'10.8 Precio medio'!$P$5</c:f>
              <c:strCache>
                <c:ptCount val="1"/>
                <c:pt idx="0">
                  <c:v>Libre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scene3d>
              <a:camera prst="orthographicFront"/>
              <a:lightRig rig="soft" dir="t"/>
            </a:scene3d>
            <a:sp3d prstMaterial="plastic">
              <a:bevelT w="38100" h="57150"/>
            </a:sp3d>
          </c:spPr>
          <c:invertIfNegative val="0"/>
          <c:cat>
            <c:strRef>
              <c:f>'10.8 Precio medio'!$N$7:$N$35</c:f>
              <c:strCache>
                <c:ptCount val="29"/>
                <c:pt idx="0">
                  <c:v>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</c:strCache>
            </c:strRef>
          </c:cat>
          <c:val>
            <c:numRef>
              <c:f>'10.8 Precio medio'!$P$7:$P$35</c:f>
              <c:numCache>
                <c:formatCode>#\ ##0.00</c:formatCode>
                <c:ptCount val="29"/>
                <c:pt idx="0">
                  <c:v>5.0917768788358657</c:v>
                </c:pt>
                <c:pt idx="1">
                  <c:v>5.3374765504742943</c:v>
                </c:pt>
                <c:pt idx="2">
                  <c:v>5.4201200311090698</c:v>
                </c:pt>
                <c:pt idx="3">
                  <c:v>4.9459578496514798</c:v>
                </c:pt>
                <c:pt idx="4">
                  <c:v>4.9301915818936246</c:v>
                </c:pt>
                <c:pt idx="5">
                  <c:v>5.2213140505014408</c:v>
                </c:pt>
                <c:pt idx="6">
                  <c:v>4.7425532789429576</c:v>
                </c:pt>
                <c:pt idx="7">
                  <c:v>4.6821377072021297</c:v>
                </c:pt>
                <c:pt idx="8">
                  <c:v>4.6334748884993324</c:v>
                </c:pt>
                <c:pt idx="9">
                  <c:v>5.2142013164260836</c:v>
                </c:pt>
                <c:pt idx="10">
                  <c:v>5.5617579225654694</c:v>
                </c:pt>
                <c:pt idx="11">
                  <c:v>5.5547819540921299</c:v>
                </c:pt>
                <c:pt idx="12">
                  <c:v>5.4233986202754707</c:v>
                </c:pt>
                <c:pt idx="13">
                  <c:v>6.63741891099464</c:v>
                </c:pt>
                <c:pt idx="14">
                  <c:v>5.7155802776107931</c:v>
                </c:pt>
                <c:pt idx="15">
                  <c:v>5.6126682737488451</c:v>
                </c:pt>
                <c:pt idx="16">
                  <c:v>6.2890521736374838</c:v>
                </c:pt>
                <c:pt idx="17">
                  <c:v>6.7101196509343097</c:v>
                </c:pt>
                <c:pt idx="18">
                  <c:v>7.018250600117379</c:v>
                </c:pt>
                <c:pt idx="19">
                  <c:v>7.4662387275736641</c:v>
                </c:pt>
                <c:pt idx="20">
                  <c:v>7.0634440169455273</c:v>
                </c:pt>
                <c:pt idx="21">
                  <c:v>6.6744810766796219</c:v>
                </c:pt>
                <c:pt idx="22">
                  <c:v>6.3193218652866952</c:v>
                </c:pt>
                <c:pt idx="23">
                  <c:v>6.3039862385552512</c:v>
                </c:pt>
                <c:pt idx="24">
                  <c:v>6.2981424214598221</c:v>
                </c:pt>
                <c:pt idx="25">
                  <c:v>7.7468058327006188</c:v>
                </c:pt>
                <c:pt idx="26">
                  <c:v>5.9812139664453241</c:v>
                </c:pt>
                <c:pt idx="27">
                  <c:v>6.6388818033093679</c:v>
                </c:pt>
                <c:pt idx="28">
                  <c:v>7.1190140502998682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4-41A9-A717-96A6D6302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30848"/>
        <c:axId val="46032384"/>
      </c:barChart>
      <c:catAx>
        <c:axId val="4603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03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32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Cent. US $/kWh</a:t>
                </a:r>
              </a:p>
            </c:rich>
          </c:tx>
          <c:layout>
            <c:manualLayout>
              <c:xMode val="edge"/>
              <c:yMode val="edge"/>
              <c:x val="1.1084243501820336E-2"/>
              <c:y val="0.294176706827309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030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715965343041797"/>
          <c:y val="0.91077631962671335"/>
          <c:w val="0.20421635042655245"/>
          <c:h val="7.831325301204816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DEL PRECIO MEDIO DE ENERGÍA POR TIPO DE EMPRESA
1995 - 2023</a:t>
            </a:r>
          </a:p>
        </c:rich>
      </c:tx>
      <c:layout>
        <c:manualLayout>
          <c:xMode val="edge"/>
          <c:yMode val="edge"/>
          <c:x val="0.20834971586279588"/>
          <c:y val="3.34849120191337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8.0342707970565169E-2"/>
          <c:y val="0.21400394477317555"/>
          <c:w val="0.90177656595514555"/>
          <c:h val="0.591715976331360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'10.8 Precio medio'!$O$42</c:f>
              <c:strCache>
                <c:ptCount val="1"/>
                <c:pt idx="0">
                  <c:v>Distribuidoras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scene3d>
              <a:camera prst="orthographicFront"/>
              <a:lightRig rig="soft" dir="t"/>
            </a:scene3d>
            <a:sp3d prstMaterial="plastic">
              <a:bevelT w="38100"/>
            </a:sp3d>
          </c:spPr>
          <c:invertIfNegative val="0"/>
          <c:cat>
            <c:strRef>
              <c:f>'10.8 Precio medio'!$N$45:$N$73</c:f>
              <c:strCache>
                <c:ptCount val="29"/>
                <c:pt idx="0">
                  <c:v>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</c:strCache>
            </c:strRef>
          </c:cat>
          <c:val>
            <c:numRef>
              <c:f>'10.8 Precio medio'!$O$45:$O$73</c:f>
              <c:numCache>
                <c:formatCode>#\ ##0.00</c:formatCode>
                <c:ptCount val="29"/>
                <c:pt idx="0">
                  <c:v>8.9555606852646115</c:v>
                </c:pt>
                <c:pt idx="1">
                  <c:v>9.3774573213785253</c:v>
                </c:pt>
                <c:pt idx="2">
                  <c:v>9.1635885122824927</c:v>
                </c:pt>
                <c:pt idx="3">
                  <c:v>7.9571609356886182</c:v>
                </c:pt>
                <c:pt idx="4">
                  <c:v>7.6320210282889089</c:v>
                </c:pt>
                <c:pt idx="5">
                  <c:v>8.0465527241033001</c:v>
                </c:pt>
                <c:pt idx="6">
                  <c:v>8.1980760639170676</c:v>
                </c:pt>
                <c:pt idx="7">
                  <c:v>7.758352080828165</c:v>
                </c:pt>
                <c:pt idx="8">
                  <c:v>7.971753161907678</c:v>
                </c:pt>
                <c:pt idx="9">
                  <c:v>8.2230231770089492</c:v>
                </c:pt>
                <c:pt idx="10">
                  <c:v>8.8884914595819442</c:v>
                </c:pt>
                <c:pt idx="11">
                  <c:v>8.7025840778489254</c:v>
                </c:pt>
                <c:pt idx="12">
                  <c:v>8.6843545064319656</c:v>
                </c:pt>
                <c:pt idx="13">
                  <c:v>9.2102011270063144</c:v>
                </c:pt>
                <c:pt idx="14">
                  <c:v>9.8347670342884221</c:v>
                </c:pt>
                <c:pt idx="15">
                  <c:v>10.118555763056673</c:v>
                </c:pt>
                <c:pt idx="16">
                  <c:v>10.785887035062256</c:v>
                </c:pt>
                <c:pt idx="17">
                  <c:v>11.813141103914758</c:v>
                </c:pt>
                <c:pt idx="18">
                  <c:v>11.933029674417638</c:v>
                </c:pt>
                <c:pt idx="19">
                  <c:v>13.055122860006383</c:v>
                </c:pt>
                <c:pt idx="20">
                  <c:v>12.999798046403393</c:v>
                </c:pt>
                <c:pt idx="21">
                  <c:v>13.579918199627539</c:v>
                </c:pt>
                <c:pt idx="22">
                  <c:v>13.997247654672359</c:v>
                </c:pt>
                <c:pt idx="23">
                  <c:v>14.778011489255359</c:v>
                </c:pt>
                <c:pt idx="24">
                  <c:v>15.165939480098434</c:v>
                </c:pt>
                <c:pt idx="25">
                  <c:v>12.289117833773547</c:v>
                </c:pt>
                <c:pt idx="26">
                  <c:v>14.789460652520869</c:v>
                </c:pt>
                <c:pt idx="27">
                  <c:v>16.347421721474632</c:v>
                </c:pt>
                <c:pt idx="28">
                  <c:v>16.966342112450498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C-41FE-B6AA-A10125D19DE2}"/>
            </c:ext>
          </c:extLst>
        </c:ser>
        <c:ser>
          <c:idx val="1"/>
          <c:order val="1"/>
          <c:tx>
            <c:strRef>
              <c:f>'10.8 Precio medio'!$P$42</c:f>
              <c:strCache>
                <c:ptCount val="1"/>
                <c:pt idx="0">
                  <c:v>Generadoras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scene3d>
              <a:camera prst="orthographicFront"/>
              <a:lightRig rig="soft" dir="t"/>
            </a:scene3d>
            <a:sp3d prstMaterial="plastic">
              <a:bevelT w="50800"/>
            </a:sp3d>
          </c:spPr>
          <c:invertIfNegative val="0"/>
          <c:cat>
            <c:strRef>
              <c:f>'10.8 Precio medio'!$N$45:$N$73</c:f>
              <c:strCache>
                <c:ptCount val="29"/>
                <c:pt idx="0">
                  <c:v>95</c:v>
                </c:pt>
                <c:pt idx="1">
                  <c:v>96</c:v>
                </c:pt>
                <c:pt idx="2">
                  <c:v>97</c:v>
                </c:pt>
                <c:pt idx="3">
                  <c:v>98</c:v>
                </c:pt>
                <c:pt idx="4">
                  <c:v>99</c:v>
                </c:pt>
                <c:pt idx="5">
                  <c:v>00</c:v>
                </c:pt>
                <c:pt idx="6">
                  <c:v>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  <c:pt idx="10">
                  <c:v>05</c:v>
                </c:pt>
                <c:pt idx="11">
                  <c:v>06</c:v>
                </c:pt>
                <c:pt idx="12">
                  <c:v>07</c:v>
                </c:pt>
                <c:pt idx="13">
                  <c:v>08</c:v>
                </c:pt>
                <c:pt idx="14">
                  <c:v>09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</c:strCache>
            </c:strRef>
          </c:cat>
          <c:val>
            <c:numRef>
              <c:f>'10.8 Precio medio'!$P$45:$P$73</c:f>
              <c:numCache>
                <c:formatCode>#\ ##0.00</c:formatCode>
                <c:ptCount val="29"/>
                <c:pt idx="0">
                  <c:v>4.2445573090579085</c:v>
                </c:pt>
                <c:pt idx="1">
                  <c:v>4.5448535324028105</c:v>
                </c:pt>
                <c:pt idx="2">
                  <c:v>5.2121175208150961</c:v>
                </c:pt>
                <c:pt idx="3">
                  <c:v>4.8931747664703975</c:v>
                </c:pt>
                <c:pt idx="4">
                  <c:v>4.8616026075361827</c:v>
                </c:pt>
                <c:pt idx="5">
                  <c:v>5.1647954842633439</c:v>
                </c:pt>
                <c:pt idx="6">
                  <c:v>4.5317559390314024</c:v>
                </c:pt>
                <c:pt idx="7">
                  <c:v>4.5417296862557039</c:v>
                </c:pt>
                <c:pt idx="8">
                  <c:v>4.4701131993241967</c:v>
                </c:pt>
                <c:pt idx="9">
                  <c:v>5.1762271900611463</c:v>
                </c:pt>
                <c:pt idx="10">
                  <c:v>5.5416076080909722</c:v>
                </c:pt>
                <c:pt idx="11">
                  <c:v>5.581447756240201</c:v>
                </c:pt>
                <c:pt idx="12">
                  <c:v>5.4200951405339648</c:v>
                </c:pt>
                <c:pt idx="13">
                  <c:v>6.703677483775019</c:v>
                </c:pt>
                <c:pt idx="14">
                  <c:v>5.6537603270098931</c:v>
                </c:pt>
                <c:pt idx="15">
                  <c:v>5.4037809461686521</c:v>
                </c:pt>
                <c:pt idx="16">
                  <c:v>6.0487035318323148</c:v>
                </c:pt>
                <c:pt idx="17">
                  <c:v>6.4923946475231222</c:v>
                </c:pt>
                <c:pt idx="18">
                  <c:v>6.7174837111051282</c:v>
                </c:pt>
                <c:pt idx="19">
                  <c:v>7.2263562019802521</c:v>
                </c:pt>
                <c:pt idx="20">
                  <c:v>6.8623284465367806</c:v>
                </c:pt>
                <c:pt idx="21">
                  <c:v>6.550134616721996</c:v>
                </c:pt>
                <c:pt idx="22">
                  <c:v>6.1601746495097007</c:v>
                </c:pt>
                <c:pt idx="23">
                  <c:v>6.1800525650171405</c:v>
                </c:pt>
                <c:pt idx="24">
                  <c:v>6.1532648627104196</c:v>
                </c:pt>
                <c:pt idx="25">
                  <c:v>7.848626215708002</c:v>
                </c:pt>
                <c:pt idx="26">
                  <c:v>5.8836422426445338</c:v>
                </c:pt>
                <c:pt idx="27">
                  <c:v>6.5018713473942018</c:v>
                </c:pt>
                <c:pt idx="28">
                  <c:v>6.9323567876313898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C-41FE-B6AA-A10125D19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0688"/>
        <c:axId val="46060672"/>
      </c:barChart>
      <c:catAx>
        <c:axId val="4605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06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60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Cent. US $/kWh</a:t>
                </a:r>
              </a:p>
            </c:rich>
          </c:tx>
          <c:layout>
            <c:manualLayout>
              <c:xMode val="edge"/>
              <c:yMode val="edge"/>
              <c:x val="1.2536475011820933E-2"/>
              <c:y val="0.331360946745562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05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897923762765901"/>
          <c:y val="0.90236686390532539"/>
          <c:w val="0.34874532361129895"/>
          <c:h val="8.2840236686390512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 LAS VENTAS POR SECTOR ECONÓMICO</a:t>
            </a:r>
          </a:p>
        </c:rich>
      </c:tx>
      <c:overlay val="0"/>
      <c:spPr>
        <a:solidFill>
          <a:srgbClr val="4B4B4B"/>
        </a:solidFill>
        <a:ln w="3175">
          <a:solidFill>
            <a:srgbClr val="000000"/>
          </a:solidFill>
          <a:prstDash val="solid"/>
        </a:ln>
        <a:scene3d>
          <a:camera prst="orthographicFront"/>
          <a:lightRig rig="soft" dir="t"/>
        </a:scene3d>
        <a:sp3d prstMaterial="plastic">
          <a:bevelT w="50800" h="57150"/>
        </a:sp3d>
      </c:spPr>
    </c:title>
    <c:autoTitleDeleted val="0"/>
    <c:plotArea>
      <c:layout>
        <c:manualLayout>
          <c:layoutTarget val="inner"/>
          <c:xMode val="edge"/>
          <c:yMode val="edge"/>
          <c:x val="8.58799720741978E-2"/>
          <c:y val="0.10027309236947791"/>
          <c:w val="0.897659122576008"/>
          <c:h val="0.7172705941877747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soft" dir="t"/>
              </a:scene3d>
              <a:sp3d prstMaterial="plastic">
                <a:bevelT w="44450"/>
              </a:sp3d>
            </c:spPr>
          </c:marker>
          <c:cat>
            <c:numRef>
              <c:f>'10.9 Ventas-CIIU'!$B$7:$B$35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'10.9 Ventas-CIIU'!$C$7:$C$35</c:f>
              <c:numCache>
                <c:formatCode>#,##0.00</c:formatCode>
                <c:ptCount val="29"/>
                <c:pt idx="0">
                  <c:v>3963.76629</c:v>
                </c:pt>
                <c:pt idx="1">
                  <c:v>4305.2964009999996</c:v>
                </c:pt>
                <c:pt idx="2">
                  <c:v>6058.1311180000002</c:v>
                </c:pt>
                <c:pt idx="3">
                  <c:v>7473.8484369999996</c:v>
                </c:pt>
                <c:pt idx="4">
                  <c:v>7855.6</c:v>
                </c:pt>
                <c:pt idx="5">
                  <c:v>8375.0166531150007</c:v>
                </c:pt>
                <c:pt idx="6">
                  <c:v>9280.5600399650011</c:v>
                </c:pt>
                <c:pt idx="7">
                  <c:v>9567.6060768480002</c:v>
                </c:pt>
                <c:pt idx="8">
                  <c:v>10038.680803439998</c:v>
                </c:pt>
                <c:pt idx="9">
                  <c:v>11074.758817645607</c:v>
                </c:pt>
                <c:pt idx="10">
                  <c:v>11588.277687039452</c:v>
                </c:pt>
                <c:pt idx="11">
                  <c:v>12481.42189750605</c:v>
                </c:pt>
                <c:pt idx="12">
                  <c:v>14165.658529274375</c:v>
                </c:pt>
                <c:pt idx="13">
                  <c:v>15437.253867346535</c:v>
                </c:pt>
                <c:pt idx="14">
                  <c:v>14942.95020594519</c:v>
                </c:pt>
                <c:pt idx="15">
                  <c:v>16434.708415297537</c:v>
                </c:pt>
                <c:pt idx="16">
                  <c:v>17841.423398594416</c:v>
                </c:pt>
                <c:pt idx="17">
                  <c:v>18690.461999999996</c:v>
                </c:pt>
                <c:pt idx="18">
                  <c:v>19214.618997431797</c:v>
                </c:pt>
                <c:pt idx="19">
                  <c:v>20739.148158269898</c:v>
                </c:pt>
                <c:pt idx="20">
                  <c:v>22440.162</c:v>
                </c:pt>
                <c:pt idx="21">
                  <c:v>25483.049576663041</c:v>
                </c:pt>
                <c:pt idx="22">
                  <c:v>26022.125011752887</c:v>
                </c:pt>
                <c:pt idx="23">
                  <c:v>27133.007183966703</c:v>
                </c:pt>
                <c:pt idx="24">
                  <c:v>28004.48880091</c:v>
                </c:pt>
                <c:pt idx="25">
                  <c:v>25333.041677940018</c:v>
                </c:pt>
                <c:pt idx="26">
                  <c:v>28970.630198329949</c:v>
                </c:pt>
                <c:pt idx="27">
                  <c:v>30643.095136260043</c:v>
                </c:pt>
                <c:pt idx="28">
                  <c:v>31676.093374700053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FF-47F2-9302-4657C72578DC}"/>
            </c:ext>
          </c:extLst>
        </c:ser>
        <c:ser>
          <c:idx val="1"/>
          <c:order val="1"/>
          <c:spPr>
            <a:ln w="3175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  <a:scene3d>
                <a:camera prst="orthographicFront"/>
                <a:lightRig rig="soft" dir="t"/>
              </a:scene3d>
              <a:sp3d prstMaterial="plastic">
                <a:bevelT w="25400"/>
              </a:sp3d>
            </c:spPr>
          </c:marker>
          <c:cat>
            <c:numRef>
              <c:f>'10.9 Ventas-CIIU'!$B$7:$B$35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'10.9 Ventas-CIIU'!$E$7:$E$35</c:f>
              <c:numCache>
                <c:formatCode>#,##0.00</c:formatCode>
                <c:ptCount val="29"/>
                <c:pt idx="0">
                  <c:v>2248.6685050000001</c:v>
                </c:pt>
                <c:pt idx="1">
                  <c:v>2350.988429</c:v>
                </c:pt>
                <c:pt idx="2">
                  <c:v>2480.103368</c:v>
                </c:pt>
                <c:pt idx="3">
                  <c:v>2360.432139</c:v>
                </c:pt>
                <c:pt idx="4">
                  <c:v>2420.3000000000002</c:v>
                </c:pt>
                <c:pt idx="5">
                  <c:v>2693.3458028849996</c:v>
                </c:pt>
                <c:pt idx="6">
                  <c:v>2762.2040670349998</c:v>
                </c:pt>
                <c:pt idx="7">
                  <c:v>3013.1152699999998</c:v>
                </c:pt>
                <c:pt idx="8">
                  <c:v>3341.0911065599998</c:v>
                </c:pt>
                <c:pt idx="9">
                  <c:v>3243.4254471762724</c:v>
                </c:pt>
                <c:pt idx="10">
                  <c:v>3460.3428933112218</c:v>
                </c:pt>
                <c:pt idx="11">
                  <c:v>3760.3484728262438</c:v>
                </c:pt>
                <c:pt idx="12">
                  <c:v>4023.5192699368326</c:v>
                </c:pt>
                <c:pt idx="13">
                  <c:v>4494.8960123117677</c:v>
                </c:pt>
                <c:pt idx="14">
                  <c:v>4815.0810091037401</c:v>
                </c:pt>
                <c:pt idx="15">
                  <c:v>5205.8243711895484</c:v>
                </c:pt>
                <c:pt idx="16">
                  <c:v>5563.1179861174478</c:v>
                </c:pt>
                <c:pt idx="17">
                  <c:v>6061.7719999999999</c:v>
                </c:pt>
                <c:pt idx="18">
                  <c:v>6760.1032092000005</c:v>
                </c:pt>
                <c:pt idx="19">
                  <c:v>6802.8150635601469</c:v>
                </c:pt>
                <c:pt idx="20">
                  <c:v>7201.7056000000002</c:v>
                </c:pt>
                <c:pt idx="21">
                  <c:v>7558.3953055872307</c:v>
                </c:pt>
                <c:pt idx="22">
                  <c:v>7624.0574832144757</c:v>
                </c:pt>
                <c:pt idx="23">
                  <c:v>7797.5141442171644</c:v>
                </c:pt>
                <c:pt idx="24">
                  <c:v>8122.9008766600236</c:v>
                </c:pt>
                <c:pt idx="25">
                  <c:v>7035.4279755799917</c:v>
                </c:pt>
                <c:pt idx="26">
                  <c:v>7388.229548409995</c:v>
                </c:pt>
                <c:pt idx="27">
                  <c:v>8015.7974521200113</c:v>
                </c:pt>
                <c:pt idx="28">
                  <c:v>8842.6108452500139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F-47F2-9302-4657C72578DC}"/>
            </c:ext>
          </c:extLst>
        </c:ser>
        <c:ser>
          <c:idx val="2"/>
          <c:order val="2"/>
          <c:spPr>
            <a:ln w="31750">
              <a:solidFill>
                <a:srgbClr val="00B050"/>
              </a:solidFill>
              <a:prstDash val="solid"/>
            </a:ln>
          </c:spPr>
          <c:marker>
            <c:symbol val="plus"/>
            <c:size val="6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  <a:scene3d>
                <a:camera prst="orthographicFront"/>
                <a:lightRig rig="soft" dir="t"/>
              </a:scene3d>
              <a:sp3d prstMaterial="plastic">
                <a:bevelT w="38100"/>
              </a:sp3d>
            </c:spPr>
          </c:marker>
          <c:cat>
            <c:numRef>
              <c:f>'10.9 Ventas-CIIU'!$B$7:$B$35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'10.9 Ventas-CIIU'!$G$7:$G$35</c:f>
              <c:numCache>
                <c:formatCode>#,##0.00</c:formatCode>
                <c:ptCount val="29"/>
                <c:pt idx="0">
                  <c:v>3154.1445019999996</c:v>
                </c:pt>
                <c:pt idx="1">
                  <c:v>3185.061631</c:v>
                </c:pt>
                <c:pt idx="2">
                  <c:v>3385.5230000000001</c:v>
                </c:pt>
                <c:pt idx="3">
                  <c:v>3639.3</c:v>
                </c:pt>
                <c:pt idx="4">
                  <c:v>3772.7</c:v>
                </c:pt>
                <c:pt idx="5">
                  <c:v>3936.241469000001</c:v>
                </c:pt>
                <c:pt idx="6">
                  <c:v>4043.9688309999992</c:v>
                </c:pt>
                <c:pt idx="7">
                  <c:v>4464.8754000000008</c:v>
                </c:pt>
                <c:pt idx="8">
                  <c:v>4425.3378269999994</c:v>
                </c:pt>
                <c:pt idx="9">
                  <c:v>4720.0091641781228</c:v>
                </c:pt>
                <c:pt idx="10">
                  <c:v>5020.7356088993247</c:v>
                </c:pt>
                <c:pt idx="11">
                  <c:v>5404.368964667703</c:v>
                </c:pt>
                <c:pt idx="12">
                  <c:v>5877.1253377887997</c:v>
                </c:pt>
                <c:pt idx="13">
                  <c:v>6357.3192643417178</c:v>
                </c:pt>
                <c:pt idx="14">
                  <c:v>6644.5992379510635</c:v>
                </c:pt>
                <c:pt idx="15">
                  <c:v>7086.2453335129212</c:v>
                </c:pt>
                <c:pt idx="16">
                  <c:v>7663.0902881815</c:v>
                </c:pt>
                <c:pt idx="17">
                  <c:v>8110.4380000000001</c:v>
                </c:pt>
                <c:pt idx="18">
                  <c:v>8757.8845147454758</c:v>
                </c:pt>
                <c:pt idx="19">
                  <c:v>8920.5096610756154</c:v>
                </c:pt>
                <c:pt idx="20">
                  <c:v>9177.1515000000018</c:v>
                </c:pt>
                <c:pt idx="21">
                  <c:v>9360.7744521665827</c:v>
                </c:pt>
                <c:pt idx="22">
                  <c:v>9614.2816077234274</c:v>
                </c:pt>
                <c:pt idx="23">
                  <c:v>9904.6664415354062</c:v>
                </c:pt>
                <c:pt idx="24">
                  <c:v>10186.869619900006</c:v>
                </c:pt>
                <c:pt idx="25">
                  <c:v>10260.323185790006</c:v>
                </c:pt>
                <c:pt idx="26">
                  <c:v>10550.053065859998</c:v>
                </c:pt>
                <c:pt idx="27">
                  <c:v>10606.353907180015</c:v>
                </c:pt>
                <c:pt idx="28">
                  <c:v>10940.481221620026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FF-47F2-9302-4657C72578DC}"/>
            </c:ext>
          </c:extLst>
        </c:ser>
        <c:ser>
          <c:idx val="3"/>
          <c:order val="3"/>
          <c:spPr>
            <a:ln w="31750">
              <a:solidFill>
                <a:srgbClr val="0080C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80C0"/>
              </a:solidFill>
              <a:ln>
                <a:solidFill>
                  <a:srgbClr val="0080C0"/>
                </a:solidFill>
                <a:prstDash val="solid"/>
              </a:ln>
              <a:scene3d>
                <a:camera prst="orthographicFront"/>
                <a:lightRig rig="soft" dir="t"/>
              </a:scene3d>
              <a:sp3d prstMaterial="plastic"/>
            </c:spPr>
          </c:marker>
          <c:cat>
            <c:numRef>
              <c:f>'10.9 Ventas-CIIU'!$B$7:$B$35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'10.9 Ventas-CIIU'!$I$7:$I$35</c:f>
              <c:numCache>
                <c:formatCode>#,##0.00</c:formatCode>
                <c:ptCount val="29"/>
                <c:pt idx="0">
                  <c:v>482.67683</c:v>
                </c:pt>
                <c:pt idx="1">
                  <c:v>489.44556999999998</c:v>
                </c:pt>
                <c:pt idx="2">
                  <c:v>527.47299999999996</c:v>
                </c:pt>
                <c:pt idx="3">
                  <c:v>535.06510000000003</c:v>
                </c:pt>
                <c:pt idx="4">
                  <c:v>543.29999999999995</c:v>
                </c:pt>
                <c:pt idx="5">
                  <c:v>540.99195400000008</c:v>
                </c:pt>
                <c:pt idx="6">
                  <c:v>542.02161799999999</c:v>
                </c:pt>
                <c:pt idx="7">
                  <c:v>559.72912000000008</c:v>
                </c:pt>
                <c:pt idx="8">
                  <c:v>570.22551099999998</c:v>
                </c:pt>
                <c:pt idx="9">
                  <c:v>602.45768099999987</c:v>
                </c:pt>
                <c:pt idx="10">
                  <c:v>632.02669097222224</c:v>
                </c:pt>
                <c:pt idx="11">
                  <c:v>643.9218179999998</c:v>
                </c:pt>
                <c:pt idx="12">
                  <c:v>655.44541600000002</c:v>
                </c:pt>
                <c:pt idx="13">
                  <c:v>674.94545200000016</c:v>
                </c:pt>
                <c:pt idx="14">
                  <c:v>684.37532399999998</c:v>
                </c:pt>
                <c:pt idx="15">
                  <c:v>709.39700400000015</c:v>
                </c:pt>
                <c:pt idx="16">
                  <c:v>752.71913235773729</c:v>
                </c:pt>
                <c:pt idx="17">
                  <c:v>785.51400000000012</c:v>
                </c:pt>
                <c:pt idx="18">
                  <c:v>877.0459806227276</c:v>
                </c:pt>
                <c:pt idx="19">
                  <c:v>865.30411129276445</c:v>
                </c:pt>
                <c:pt idx="20">
                  <c:v>955.7254999999999</c:v>
                </c:pt>
                <c:pt idx="21">
                  <c:v>964.77977628310441</c:v>
                </c:pt>
                <c:pt idx="22">
                  <c:v>962.7887145791899</c:v>
                </c:pt>
                <c:pt idx="23">
                  <c:v>1032.6000724708028</c:v>
                </c:pt>
                <c:pt idx="24">
                  <c:v>1106.4786215099998</c:v>
                </c:pt>
                <c:pt idx="25">
                  <c:v>1122.276528840001</c:v>
                </c:pt>
                <c:pt idx="26">
                  <c:v>1144.83118042</c:v>
                </c:pt>
                <c:pt idx="27">
                  <c:v>1167.8399323500005</c:v>
                </c:pt>
                <c:pt idx="28">
                  <c:v>1163.7858587299993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FF-47F2-9302-4657C7257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18432"/>
        <c:axId val="46820352"/>
      </c:lineChart>
      <c:catAx>
        <c:axId val="4681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PE"/>
          </a:p>
        </c:txPr>
        <c:crossAx val="4682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8203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 sz="900" b="1"/>
                  <a:t>GW.h</a:t>
                </a:r>
              </a:p>
            </c:rich>
          </c:tx>
          <c:layout>
            <c:manualLayout>
              <c:xMode val="edge"/>
              <c:yMode val="edge"/>
              <c:x val="2.9929425488480605E-3"/>
              <c:y val="0.4041132087404737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6818432"/>
        <c:crosses val="autoZero"/>
        <c:crossBetween val="between"/>
        <c:majorUnit val="2000"/>
        <c:minorUnit val="4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3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 FACTURACIÓN DE ENERGÍA ELÉCTRICA POR SECTOR ECONÓMICO </a:t>
            </a:r>
          </a:p>
        </c:rich>
      </c:tx>
      <c:overlay val="0"/>
      <c:spPr>
        <a:solidFill>
          <a:srgbClr val="4B4B4B"/>
        </a:solidFill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0.10075611662345334"/>
          <c:y val="0.12399231712611403"/>
          <c:w val="0.87771517425180856"/>
          <c:h val="0.70768162007272029"/>
        </c:manualLayout>
      </c:layout>
      <c:areaChart>
        <c:grouping val="stacked"/>
        <c:varyColors val="0"/>
        <c:ser>
          <c:idx val="0"/>
          <c:order val="0"/>
          <c:tx>
            <c:strRef>
              <c:f>'10.10 Fact-CIIU'!$K$6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noFill/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50800" h="50800"/>
            </a:sp3d>
          </c:spPr>
          <c:cat>
            <c:numRef>
              <c:f>'10.10 Fact-CIIU'!$J$7:$J$35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'10.10 Fact-CIIU'!$K$7:$K$35</c:f>
              <c:numCache>
                <c:formatCode>#,##0.0</c:formatCode>
                <c:ptCount val="29"/>
                <c:pt idx="0">
                  <c:v>229035.54403785348</c:v>
                </c:pt>
                <c:pt idx="1">
                  <c:v>258447.72612741796</c:v>
                </c:pt>
                <c:pt idx="2">
                  <c:v>355516.10470524785</c:v>
                </c:pt>
                <c:pt idx="3">
                  <c:v>405108.58810399019</c:v>
                </c:pt>
                <c:pt idx="4">
                  <c:v>419536.44763941609</c:v>
                </c:pt>
                <c:pt idx="5">
                  <c:v>470947.31940472691</c:v>
                </c:pt>
                <c:pt idx="6">
                  <c:v>479868.23409751739</c:v>
                </c:pt>
                <c:pt idx="7">
                  <c:v>488098.27845652425</c:v>
                </c:pt>
                <c:pt idx="8">
                  <c:v>506532.8631156623</c:v>
                </c:pt>
                <c:pt idx="9">
                  <c:v>596267.04432617116</c:v>
                </c:pt>
                <c:pt idx="10">
                  <c:v>669716.05900215998</c:v>
                </c:pt>
                <c:pt idx="11">
                  <c:v>715993.84226713481</c:v>
                </c:pt>
                <c:pt idx="12">
                  <c:v>794759.59169783501</c:v>
                </c:pt>
                <c:pt idx="13">
                  <c:v>1027831.8916520025</c:v>
                </c:pt>
                <c:pt idx="14">
                  <c:v>910151.82885370869</c:v>
                </c:pt>
                <c:pt idx="15">
                  <c:v>971594.08601682109</c:v>
                </c:pt>
                <c:pt idx="16">
                  <c:v>1196612.7704490384</c:v>
                </c:pt>
                <c:pt idx="17">
                  <c:v>1379656.1115939592</c:v>
                </c:pt>
                <c:pt idx="18">
                  <c:v>1441539.8024168243</c:v>
                </c:pt>
                <c:pt idx="19">
                  <c:v>1665612.65626033</c:v>
                </c:pt>
                <c:pt idx="20">
                  <c:v>1728275.9300000002</c:v>
                </c:pt>
                <c:pt idx="21">
                  <c:v>1860291.9919229595</c:v>
                </c:pt>
                <c:pt idx="22">
                  <c:v>1797961.2811510575</c:v>
                </c:pt>
                <c:pt idx="23">
                  <c:v>1852333.4751519687</c:v>
                </c:pt>
                <c:pt idx="24">
                  <c:v>1887444.9591489658</c:v>
                </c:pt>
                <c:pt idx="25">
                  <c:v>1694734.0585575684</c:v>
                </c:pt>
                <c:pt idx="26">
                  <c:v>1846129.7332982924</c:v>
                </c:pt>
                <c:pt idx="27">
                  <c:v>2144134.3785014953</c:v>
                </c:pt>
                <c:pt idx="28">
                  <c:v>2368037.5130515024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0-44C0-A3FB-E7625A1E50CA}"/>
            </c:ext>
          </c:extLst>
        </c:ser>
        <c:ser>
          <c:idx val="1"/>
          <c:order val="1"/>
          <c:tx>
            <c:strRef>
              <c:f>'10.10 Fact-CIIU'!$L$6</c:f>
              <c:strCache>
                <c:ptCount val="1"/>
                <c:pt idx="0">
                  <c:v>Comercial</c:v>
                </c:pt>
              </c:strCache>
            </c:strRef>
          </c:tx>
          <c:spPr>
            <a:solidFill>
              <a:srgbClr val="0070C0"/>
            </a:solidFill>
            <a:ln w="12700">
              <a:noFill/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50800" h="50800"/>
            </a:sp3d>
          </c:spPr>
          <c:cat>
            <c:numRef>
              <c:f>'10.10 Fact-CIIU'!$J$7:$J$35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'10.10 Fact-CIIU'!$L$7:$L$35</c:f>
              <c:numCache>
                <c:formatCode>#,##0.0</c:formatCode>
                <c:ptCount val="29"/>
                <c:pt idx="0">
                  <c:v>200811.42160772084</c:v>
                </c:pt>
                <c:pt idx="1">
                  <c:v>213222.6714817289</c:v>
                </c:pt>
                <c:pt idx="2">
                  <c:v>221239.00181128312</c:v>
                </c:pt>
                <c:pt idx="3">
                  <c:v>175416.57536486135</c:v>
                </c:pt>
                <c:pt idx="4">
                  <c:v>170042.7141646184</c:v>
                </c:pt>
                <c:pt idx="5">
                  <c:v>197172.92008066195</c:v>
                </c:pt>
                <c:pt idx="6">
                  <c:v>202560.16293720153</c:v>
                </c:pt>
                <c:pt idx="7">
                  <c:v>223817.53067643259</c:v>
                </c:pt>
                <c:pt idx="8">
                  <c:v>238398.63946284784</c:v>
                </c:pt>
                <c:pt idx="9">
                  <c:v>257743.9102776775</c:v>
                </c:pt>
                <c:pt idx="10">
                  <c:v>300420.25850854366</c:v>
                </c:pt>
                <c:pt idx="11">
                  <c:v>317868.59748703917</c:v>
                </c:pt>
                <c:pt idx="12">
                  <c:v>340153.50271927071</c:v>
                </c:pt>
                <c:pt idx="13">
                  <c:v>399555.0703387963</c:v>
                </c:pt>
                <c:pt idx="14">
                  <c:v>454550.76665939082</c:v>
                </c:pt>
                <c:pt idx="15">
                  <c:v>526340.05433409393</c:v>
                </c:pt>
                <c:pt idx="16">
                  <c:v>568041.68320329254</c:v>
                </c:pt>
                <c:pt idx="17">
                  <c:v>665764.93903639342</c:v>
                </c:pt>
                <c:pt idx="18">
                  <c:v>737391.51220428827</c:v>
                </c:pt>
                <c:pt idx="19">
                  <c:v>836842.30774737417</c:v>
                </c:pt>
                <c:pt idx="20">
                  <c:v>883699.57999999973</c:v>
                </c:pt>
                <c:pt idx="21">
                  <c:v>937495.5716511088</c:v>
                </c:pt>
                <c:pt idx="22">
                  <c:v>942448.2152739797</c:v>
                </c:pt>
                <c:pt idx="23">
                  <c:v>1004206.1397633412</c:v>
                </c:pt>
                <c:pt idx="24">
                  <c:v>1051965.5863518859</c:v>
                </c:pt>
                <c:pt idx="25">
                  <c:v>913791.57928267948</c:v>
                </c:pt>
                <c:pt idx="26">
                  <c:v>916913.38982809172</c:v>
                </c:pt>
                <c:pt idx="27">
                  <c:v>1112014.7827549046</c:v>
                </c:pt>
                <c:pt idx="28">
                  <c:v>1289042.5670388979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0-44C0-A3FB-E7625A1E50CA}"/>
            </c:ext>
          </c:extLst>
        </c:ser>
        <c:ser>
          <c:idx val="2"/>
          <c:order val="2"/>
          <c:tx>
            <c:strRef>
              <c:f>'10.10 Fact-CIIU'!$M$6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44450"/>
            </a:sp3d>
          </c:spPr>
          <c:cat>
            <c:numRef>
              <c:f>'10.10 Fact-CIIU'!$J$7:$J$35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'10.10 Fact-CIIU'!$M$7:$M$35</c:f>
              <c:numCache>
                <c:formatCode>#,##0.0</c:formatCode>
                <c:ptCount val="29"/>
                <c:pt idx="0">
                  <c:v>355896.20422925544</c:v>
                </c:pt>
                <c:pt idx="1">
                  <c:v>372677.77599551878</c:v>
                </c:pt>
                <c:pt idx="2">
                  <c:v>392117.28436542355</c:v>
                </c:pt>
                <c:pt idx="3">
                  <c:v>362781.21835892892</c:v>
                </c:pt>
                <c:pt idx="4">
                  <c:v>358196.54564842128</c:v>
                </c:pt>
                <c:pt idx="5">
                  <c:v>396689.58182878082</c:v>
                </c:pt>
                <c:pt idx="6">
                  <c:v>406024.2542681364</c:v>
                </c:pt>
                <c:pt idx="7">
                  <c:v>400798.0547307923</c:v>
                </c:pt>
                <c:pt idx="8">
                  <c:v>427974.96816134849</c:v>
                </c:pt>
                <c:pt idx="9">
                  <c:v>470011.6333799953</c:v>
                </c:pt>
                <c:pt idx="10">
                  <c:v>544065.3677454039</c:v>
                </c:pt>
                <c:pt idx="11">
                  <c:v>579597.98697812622</c:v>
                </c:pt>
                <c:pt idx="12">
                  <c:v>628258.89821243391</c:v>
                </c:pt>
                <c:pt idx="13">
                  <c:v>716691.01010196272</c:v>
                </c:pt>
                <c:pt idx="14">
                  <c:v>792475.92957778438</c:v>
                </c:pt>
                <c:pt idx="15">
                  <c:v>864962.42369105283</c:v>
                </c:pt>
                <c:pt idx="16">
                  <c:v>999500.05360099196</c:v>
                </c:pt>
                <c:pt idx="17">
                  <c:v>1143905.3448795595</c:v>
                </c:pt>
                <c:pt idx="18">
                  <c:v>1241000.8431573522</c:v>
                </c:pt>
                <c:pt idx="19">
                  <c:v>1407774.9448299771</c:v>
                </c:pt>
                <c:pt idx="20">
                  <c:v>1428790.09</c:v>
                </c:pt>
                <c:pt idx="21">
                  <c:v>1504775.322915006</c:v>
                </c:pt>
                <c:pt idx="22">
                  <c:v>1586189.5239483442</c:v>
                </c:pt>
                <c:pt idx="23">
                  <c:v>1709828.2802331455</c:v>
                </c:pt>
                <c:pt idx="24">
                  <c:v>1802635.3668811198</c:v>
                </c:pt>
                <c:pt idx="25">
                  <c:v>1783084.6724198409</c:v>
                </c:pt>
                <c:pt idx="26">
                  <c:v>1831263.8846345069</c:v>
                </c:pt>
                <c:pt idx="27">
                  <c:v>2038562.7317271014</c:v>
                </c:pt>
                <c:pt idx="28">
                  <c:v>2157758.5844712988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40-44C0-A3FB-E7625A1E50CA}"/>
            </c:ext>
          </c:extLst>
        </c:ser>
        <c:ser>
          <c:idx val="3"/>
          <c:order val="3"/>
          <c:tx>
            <c:strRef>
              <c:f>'10.10 Fact-CIIU'!$N$6</c:f>
              <c:strCache>
                <c:ptCount val="1"/>
                <c:pt idx="0">
                  <c:v>Alumbrado Publico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50800" h="50800"/>
            </a:sp3d>
          </c:spPr>
          <c:cat>
            <c:numRef>
              <c:f>'10.10 Fact-CIIU'!$J$7:$J$35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'10.10 Fact-CIIU'!$N$7:$N$35</c:f>
              <c:numCache>
                <c:formatCode>#,##0.0</c:formatCode>
                <c:ptCount val="29"/>
                <c:pt idx="0">
                  <c:v>40932.831814912512</c:v>
                </c:pt>
                <c:pt idx="1">
                  <c:v>49022.221536151759</c:v>
                </c:pt>
                <c:pt idx="2">
                  <c:v>50665.14573498242</c:v>
                </c:pt>
                <c:pt idx="3">
                  <c:v>44838.588717470884</c:v>
                </c:pt>
                <c:pt idx="4">
                  <c:v>44183.660814274546</c:v>
                </c:pt>
                <c:pt idx="5">
                  <c:v>48259.678954052164</c:v>
                </c:pt>
                <c:pt idx="6">
                  <c:v>50905.862535693137</c:v>
                </c:pt>
                <c:pt idx="7">
                  <c:v>44353.296403984248</c:v>
                </c:pt>
                <c:pt idx="8">
                  <c:v>44303.672929736647</c:v>
                </c:pt>
                <c:pt idx="9">
                  <c:v>58277.423826264436</c:v>
                </c:pt>
                <c:pt idx="10">
                  <c:v>65007.585840271378</c:v>
                </c:pt>
                <c:pt idx="11">
                  <c:v>69708.477573607859</c:v>
                </c:pt>
                <c:pt idx="12">
                  <c:v>67459.670804701891</c:v>
                </c:pt>
                <c:pt idx="13">
                  <c:v>72022.001090604914</c:v>
                </c:pt>
                <c:pt idx="14">
                  <c:v>78879.628738922736</c:v>
                </c:pt>
                <c:pt idx="15">
                  <c:v>85638.464160990639</c:v>
                </c:pt>
                <c:pt idx="16">
                  <c:v>96237.048105473543</c:v>
                </c:pt>
                <c:pt idx="17">
                  <c:v>109799.10381710083</c:v>
                </c:pt>
                <c:pt idx="18">
                  <c:v>116294.17167812247</c:v>
                </c:pt>
                <c:pt idx="19">
                  <c:v>115116.20663604917</c:v>
                </c:pt>
                <c:pt idx="20">
                  <c:v>130645.79</c:v>
                </c:pt>
                <c:pt idx="21">
                  <c:v>146893.56904509378</c:v>
                </c:pt>
                <c:pt idx="22">
                  <c:v>153099.14598403813</c:v>
                </c:pt>
                <c:pt idx="23">
                  <c:v>166188.19137482424</c:v>
                </c:pt>
                <c:pt idx="24">
                  <c:v>190663.32467361999</c:v>
                </c:pt>
                <c:pt idx="25">
                  <c:v>190436.09809923172</c:v>
                </c:pt>
                <c:pt idx="26">
                  <c:v>188659.1057418405</c:v>
                </c:pt>
                <c:pt idx="27">
                  <c:v>214755.58413219982</c:v>
                </c:pt>
                <c:pt idx="28">
                  <c:v>228315.13771149993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40-44C0-A3FB-E7625A1E5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46048"/>
        <c:axId val="47347584"/>
      </c:areaChart>
      <c:catAx>
        <c:axId val="473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PE"/>
          </a:p>
        </c:txPr>
        <c:crossAx val="473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4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 b="1"/>
                  <a:t>Miles US$</a:t>
                </a:r>
              </a:p>
            </c:rich>
          </c:tx>
          <c:layout>
            <c:manualLayout>
              <c:xMode val="edge"/>
              <c:yMode val="edge"/>
              <c:x val="3.4742501847463245E-3"/>
              <c:y val="0.4076955862168605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73460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5403771506897"/>
          <c:y val="0.91834814226203376"/>
          <c:w val="0.72556366740565204"/>
          <c:h val="6.0146885309061093E-2"/>
        </c:manualLayout>
      </c:layout>
      <c:overlay val="0"/>
      <c:spPr>
        <a:noFill/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POTENCIA INSTALADA - GENERADORAS PARA USO PROPIO 
1 995</a:t>
            </a:r>
            <a:r>
              <a:rPr lang="es-PE" baseline="0">
                <a:solidFill>
                  <a:schemeClr val="bg1"/>
                </a:solidFill>
              </a:rPr>
              <a:t> </a:t>
            </a:r>
            <a:r>
              <a:rPr lang="es-PE">
                <a:solidFill>
                  <a:schemeClr val="bg1"/>
                </a:solidFill>
              </a:rPr>
              <a:t>- 2 023</a:t>
            </a:r>
          </a:p>
        </c:rich>
      </c:tx>
      <c:layout>
        <c:manualLayout>
          <c:xMode val="edge"/>
          <c:yMode val="edge"/>
          <c:x val="0.25602861772455954"/>
          <c:y val="3.9393939393939391E-2"/>
        </c:manualLayout>
      </c:layout>
      <c:overlay val="0"/>
      <c:spPr>
        <a:solidFill>
          <a:srgbClr val="4B4B4B"/>
        </a:solidFill>
        <a:scene3d>
          <a:camera prst="orthographicFront"/>
          <a:lightRig rig="soft" dir="t"/>
        </a:scene3d>
        <a:sp3d prstMaterial="plastic">
          <a:bevelT w="50800" h="63500"/>
        </a:sp3d>
      </c:spPr>
    </c:title>
    <c:autoTitleDeleted val="0"/>
    <c:plotArea>
      <c:layout>
        <c:manualLayout>
          <c:layoutTarget val="inner"/>
          <c:xMode val="edge"/>
          <c:yMode val="edge"/>
          <c:x val="8.8210122520110082E-2"/>
          <c:y val="0.23636427264773721"/>
          <c:w val="0.89455375264326775"/>
          <c:h val="0.50303179164237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'10.1 P Inst'!$V$75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</c:spPr>
          <c:invertIfNegative val="0"/>
          <c:cat>
            <c:numRef>
              <c:f>'10.1 P Inst'!$U$76:$U$104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 P Inst'!$V$76:$V$104</c:f>
              <c:numCache>
                <c:formatCode>#\ ##0.00</c:formatCode>
                <c:ptCount val="29"/>
                <c:pt idx="0">
                  <c:v>1276</c:v>
                </c:pt>
                <c:pt idx="1">
                  <c:v>1309.7239999999999</c:v>
                </c:pt>
                <c:pt idx="2">
                  <c:v>867.47699999999998</c:v>
                </c:pt>
                <c:pt idx="3">
                  <c:v>883.01200000000006</c:v>
                </c:pt>
                <c:pt idx="4">
                  <c:v>914.18499999999995</c:v>
                </c:pt>
                <c:pt idx="5">
                  <c:v>917.33800000000019</c:v>
                </c:pt>
                <c:pt idx="6">
                  <c:v>855.87900000000002</c:v>
                </c:pt>
                <c:pt idx="7">
                  <c:v>867.48199999999974</c:v>
                </c:pt>
                <c:pt idx="8">
                  <c:v>874.96</c:v>
                </c:pt>
                <c:pt idx="9">
                  <c:v>920.29700000000003</c:v>
                </c:pt>
                <c:pt idx="10">
                  <c:v>979.89199999999994</c:v>
                </c:pt>
                <c:pt idx="11">
                  <c:v>1033.0019999999997</c:v>
                </c:pt>
                <c:pt idx="12">
                  <c:v>1037.7919999999999</c:v>
                </c:pt>
                <c:pt idx="13">
                  <c:v>1160.9520000000007</c:v>
                </c:pt>
                <c:pt idx="14">
                  <c:v>1262.9800000000002</c:v>
                </c:pt>
                <c:pt idx="15">
                  <c:v>1303.3910000000008</c:v>
                </c:pt>
                <c:pt idx="16">
                  <c:v>1377.087</c:v>
                </c:pt>
                <c:pt idx="17">
                  <c:v>1432.2640000000001</c:v>
                </c:pt>
                <c:pt idx="18">
                  <c:v>1416.0879999999997</c:v>
                </c:pt>
                <c:pt idx="19">
                  <c:v>1463.3709999999996</c:v>
                </c:pt>
                <c:pt idx="20">
                  <c:v>1470.9139999999993</c:v>
                </c:pt>
                <c:pt idx="21">
                  <c:v>1473.241</c:v>
                </c:pt>
                <c:pt idx="22">
                  <c:v>1496.0089999999977</c:v>
                </c:pt>
                <c:pt idx="23">
                  <c:v>1494.6559999999999</c:v>
                </c:pt>
                <c:pt idx="24">
                  <c:v>1472.6450000000007</c:v>
                </c:pt>
                <c:pt idx="25">
                  <c:v>1462.9220000000009</c:v>
                </c:pt>
                <c:pt idx="26">
                  <c:v>1479.3539999999996</c:v>
                </c:pt>
                <c:pt idx="27">
                  <c:v>1511.0239999999983</c:v>
                </c:pt>
                <c:pt idx="28">
                  <c:v>1520.6420000000064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C-4396-96C8-842BB906AEA0}"/>
            </c:ext>
          </c:extLst>
        </c:ser>
        <c:ser>
          <c:idx val="1"/>
          <c:order val="1"/>
          <c:tx>
            <c:strRef>
              <c:f>'10.1 P Inst'!$W$75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'10.1 P Inst'!$U$76:$U$104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 P Inst'!$W$76:$W$104</c:f>
              <c:numCache>
                <c:formatCode>#\ ##0.00</c:formatCode>
                <c:ptCount val="29"/>
                <c:pt idx="0">
                  <c:v>289.39999999999998</c:v>
                </c:pt>
                <c:pt idx="1">
                  <c:v>292.54000000000002</c:v>
                </c:pt>
                <c:pt idx="2">
                  <c:v>101.47499999999999</c:v>
                </c:pt>
                <c:pt idx="3">
                  <c:v>104.645</c:v>
                </c:pt>
                <c:pt idx="4">
                  <c:v>86.150999999999982</c:v>
                </c:pt>
                <c:pt idx="5">
                  <c:v>77.564999999999998</c:v>
                </c:pt>
                <c:pt idx="6">
                  <c:v>76.894999999999996</c:v>
                </c:pt>
                <c:pt idx="7">
                  <c:v>78.868999999999971</c:v>
                </c:pt>
                <c:pt idx="8">
                  <c:v>85.48599999999999</c:v>
                </c:pt>
                <c:pt idx="9">
                  <c:v>86.807999999999964</c:v>
                </c:pt>
                <c:pt idx="10">
                  <c:v>87.861999999999981</c:v>
                </c:pt>
                <c:pt idx="11">
                  <c:v>88.201999999999998</c:v>
                </c:pt>
                <c:pt idx="12">
                  <c:v>88.456999999999994</c:v>
                </c:pt>
                <c:pt idx="13">
                  <c:v>89.987999999999971</c:v>
                </c:pt>
                <c:pt idx="14">
                  <c:v>94.337999999999994</c:v>
                </c:pt>
                <c:pt idx="15">
                  <c:v>92.806999999999974</c:v>
                </c:pt>
                <c:pt idx="16">
                  <c:v>93.893000000000001</c:v>
                </c:pt>
                <c:pt idx="17">
                  <c:v>103.494</c:v>
                </c:pt>
                <c:pt idx="18">
                  <c:v>105.63500000000001</c:v>
                </c:pt>
                <c:pt idx="19">
                  <c:v>103.59599999999998</c:v>
                </c:pt>
                <c:pt idx="20">
                  <c:v>103.97599999999998</c:v>
                </c:pt>
                <c:pt idx="21">
                  <c:v>116.776</c:v>
                </c:pt>
                <c:pt idx="22">
                  <c:v>130.2229999999997</c:v>
                </c:pt>
                <c:pt idx="23">
                  <c:v>130.90299999999999</c:v>
                </c:pt>
                <c:pt idx="24">
                  <c:v>130.90299999999999</c:v>
                </c:pt>
                <c:pt idx="25">
                  <c:v>130.90299999999999</c:v>
                </c:pt>
                <c:pt idx="26">
                  <c:v>129.90300000000002</c:v>
                </c:pt>
                <c:pt idx="27">
                  <c:v>129.90299999999993</c:v>
                </c:pt>
                <c:pt idx="28">
                  <c:v>129.90299999999999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C-4396-96C8-842BB906AEA0}"/>
            </c:ext>
          </c:extLst>
        </c:ser>
        <c:ser>
          <c:idx val="2"/>
          <c:order val="2"/>
          <c:tx>
            <c:strRef>
              <c:f>'10.1 P Inst'!$X$75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'10.1 P Inst'!$U$76:$U$104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 P Inst'!$X$76:$X$104</c:f>
              <c:numCache>
                <c:formatCode>#\ ##0.00</c:formatCode>
                <c:ptCount val="29"/>
                <c:pt idx="0">
                  <c:v>986.59999999999991</c:v>
                </c:pt>
                <c:pt idx="1">
                  <c:v>1017.184</c:v>
                </c:pt>
                <c:pt idx="2">
                  <c:v>766.00199999999995</c:v>
                </c:pt>
                <c:pt idx="3">
                  <c:v>778.36700000000008</c:v>
                </c:pt>
                <c:pt idx="4">
                  <c:v>828.03399999999999</c:v>
                </c:pt>
                <c:pt idx="5">
                  <c:v>839.77300000000014</c:v>
                </c:pt>
                <c:pt idx="6">
                  <c:v>778.98400000000004</c:v>
                </c:pt>
                <c:pt idx="7">
                  <c:v>788.61299999999983</c:v>
                </c:pt>
                <c:pt idx="8">
                  <c:v>789.47400000000005</c:v>
                </c:pt>
                <c:pt idx="9">
                  <c:v>833.48900000000003</c:v>
                </c:pt>
                <c:pt idx="10">
                  <c:v>892.03</c:v>
                </c:pt>
                <c:pt idx="11">
                  <c:v>944.79999999999973</c:v>
                </c:pt>
                <c:pt idx="12">
                  <c:v>949.33499999999992</c:v>
                </c:pt>
                <c:pt idx="13">
                  <c:v>1070.9640000000006</c:v>
                </c:pt>
                <c:pt idx="14">
                  <c:v>1168.6420000000003</c:v>
                </c:pt>
                <c:pt idx="15">
                  <c:v>1210.5840000000007</c:v>
                </c:pt>
                <c:pt idx="16">
                  <c:v>1283.194</c:v>
                </c:pt>
                <c:pt idx="17">
                  <c:v>1328.7700000000002</c:v>
                </c:pt>
                <c:pt idx="18">
                  <c:v>1310.4529999999997</c:v>
                </c:pt>
                <c:pt idx="19">
                  <c:v>1359.7749999999996</c:v>
                </c:pt>
                <c:pt idx="20">
                  <c:v>1366.9379999999994</c:v>
                </c:pt>
                <c:pt idx="21">
                  <c:v>1356.4649999999999</c:v>
                </c:pt>
                <c:pt idx="22">
                  <c:v>1365.785999999998</c:v>
                </c:pt>
                <c:pt idx="23">
                  <c:v>1363.7529999999999</c:v>
                </c:pt>
                <c:pt idx="24">
                  <c:v>1341.7420000000006</c:v>
                </c:pt>
                <c:pt idx="25">
                  <c:v>1332.0190000000009</c:v>
                </c:pt>
                <c:pt idx="26">
                  <c:v>1349.4509999999996</c:v>
                </c:pt>
                <c:pt idx="27">
                  <c:v>1381.1209999999983</c:v>
                </c:pt>
                <c:pt idx="28">
                  <c:v>1390.7390000000064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C-4396-96C8-842BB906A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11200"/>
        <c:axId val="47817088"/>
      </c:barChart>
      <c:catAx>
        <c:axId val="4781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81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17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1.7543886895794829E-2"/>
              <c:y val="0.45151642408335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811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55035798040038"/>
          <c:y val="0.87478278851507196"/>
          <c:w val="0.34893175335331605"/>
          <c:h val="6.060637874811103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PE"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cs typeface="Arial"/>
              </a:rPr>
              <a:t>PRECIO MEDIO DE ENERGÍA ELÉCTRICA POR SECTORES ECONÓMICOS </a:t>
            </a:r>
          </a:p>
        </c:rich>
      </c:tx>
      <c:layout>
        <c:manualLayout>
          <c:xMode val="edge"/>
          <c:yMode val="edge"/>
          <c:x val="0.21107182279785122"/>
          <c:y val="1.4250905204013675E-2"/>
        </c:manualLayout>
      </c:layout>
      <c:overlay val="0"/>
      <c:spPr>
        <a:solidFill>
          <a:srgbClr val="4B4B4B"/>
        </a:solidFill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8.1889763779527558E-2"/>
          <c:y val="0.15765800442093456"/>
          <c:w val="0.89921259842519685"/>
          <c:h val="0.68018167621603198"/>
        </c:manualLayout>
      </c:layout>
      <c:lineChart>
        <c:grouping val="standard"/>
        <c:varyColors val="0"/>
        <c:ser>
          <c:idx val="0"/>
          <c:order val="0"/>
          <c:tx>
            <c:strRef>
              <c:f>'10.11  Prec med- CIIU'!$C$5</c:f>
              <c:strCache>
                <c:ptCount val="1"/>
                <c:pt idx="0">
                  <c:v>Industrial</c:v>
                </c:pt>
              </c:strCache>
            </c:strRef>
          </c:tx>
          <c:spPr>
            <a:ln w="31750">
              <a:solidFill>
                <a:srgbClr val="002060"/>
              </a:solidFill>
            </a:ln>
          </c:spPr>
          <c:marker>
            <c:symbol val="circle"/>
            <c:size val="5"/>
            <c:spPr>
              <a:solidFill>
                <a:srgbClr val="002060"/>
              </a:solidFill>
            </c:spPr>
          </c:marker>
          <c:cat>
            <c:numRef>
              <c:f>'10.11  Prec med- CIIU'!$B$7:$B$35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'10.11  Prec med- CIIU'!$C$7:$C$35</c:f>
              <c:numCache>
                <c:formatCode>#,##0.00</c:formatCode>
                <c:ptCount val="29"/>
                <c:pt idx="0">
                  <c:v>5.7782302810253094</c:v>
                </c:pt>
                <c:pt idx="1">
                  <c:v>6.0030181909749079</c:v>
                </c:pt>
                <c:pt idx="2">
                  <c:v>5.8684121848887303</c:v>
                </c:pt>
                <c:pt idx="3">
                  <c:v>5.4203479173923501</c:v>
                </c:pt>
                <c:pt idx="4">
                  <c:v>5.3406034884593927</c:v>
                </c:pt>
                <c:pt idx="5">
                  <c:v>5.6232403935526856</c:v>
                </c:pt>
                <c:pt idx="6">
                  <c:v>5.1706818557398941</c:v>
                </c:pt>
                <c:pt idx="7">
                  <c:v>5.1015716422276212</c:v>
                </c:pt>
                <c:pt idx="8">
                  <c:v>5.0458110286969831</c:v>
                </c:pt>
                <c:pt idx="9">
                  <c:v>5.3805626846567849</c:v>
                </c:pt>
                <c:pt idx="10">
                  <c:v>5.7710451565357364</c:v>
                </c:pt>
                <c:pt idx="11">
                  <c:v>5.7321248337003379</c:v>
                </c:pt>
                <c:pt idx="12">
                  <c:v>5.5975724267146312</c:v>
                </c:pt>
                <c:pt idx="13">
                  <c:v>6.6581265067235282</c:v>
                </c:pt>
                <c:pt idx="14">
                  <c:v>6.0908442865023833</c:v>
                </c:pt>
                <c:pt idx="15">
                  <c:v>5.9118425557976728</c:v>
                </c:pt>
                <c:pt idx="16">
                  <c:v>6.7069368359999997</c:v>
                </c:pt>
                <c:pt idx="17">
                  <c:v>7.3816059640000002</c:v>
                </c:pt>
                <c:pt idx="18">
                  <c:v>7.5023070970000001</c:v>
                </c:pt>
                <c:pt idx="19">
                  <c:v>8.0312491311083765</c:v>
                </c:pt>
                <c:pt idx="20">
                  <c:v>7.7017087933678923</c:v>
                </c:pt>
                <c:pt idx="21">
                  <c:v>7.3001152641734652</c:v>
                </c:pt>
                <c:pt idx="22">
                  <c:v>6.9093560973171986</c:v>
                </c:pt>
                <c:pt idx="23">
                  <c:v>6.8268639100443682</c:v>
                </c:pt>
                <c:pt idx="24">
                  <c:v>6.7397943685643487</c:v>
                </c:pt>
                <c:pt idx="25">
                  <c:v>6.6898167227717495</c:v>
                </c:pt>
                <c:pt idx="26">
                  <c:v>6.3724182755427767</c:v>
                </c:pt>
                <c:pt idx="27">
                  <c:v>6.9971207835475351</c:v>
                </c:pt>
                <c:pt idx="28">
                  <c:v>7.4757877653652605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D-4431-8DC9-64DD30EB4B05}"/>
            </c:ext>
          </c:extLst>
        </c:ser>
        <c:ser>
          <c:idx val="1"/>
          <c:order val="1"/>
          <c:tx>
            <c:strRef>
              <c:f>'10.11  Prec med- CIIU'!$D$5</c:f>
              <c:strCache>
                <c:ptCount val="1"/>
                <c:pt idx="0">
                  <c:v>Comercial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  <a:effectLst/>
          </c:spPr>
          <c:marker>
            <c:symbol val="triangle"/>
            <c:size val="5"/>
            <c:spPr>
              <a:solidFill>
                <a:srgbClr val="0070C0"/>
              </a:solidFill>
              <a:ln w="9525">
                <a:noFill/>
              </a:ln>
            </c:spPr>
          </c:marker>
          <c:cat>
            <c:numRef>
              <c:f>'10.11  Prec med- CIIU'!$B$7:$B$35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'10.11  Prec med- CIIU'!$D$7:$D$35</c:f>
              <c:numCache>
                <c:formatCode>#,##0.00</c:formatCode>
                <c:ptCount val="29"/>
                <c:pt idx="0">
                  <c:v>8.9302367672784584</c:v>
                </c:pt>
                <c:pt idx="1">
                  <c:v>9.0694904684164612</c:v>
                </c:pt>
                <c:pt idx="2">
                  <c:v>8.9205556778745976</c:v>
                </c:pt>
                <c:pt idx="3">
                  <c:v>7.4315449474932489</c:v>
                </c:pt>
                <c:pt idx="4">
                  <c:v>7.0256874835606498</c:v>
                </c:pt>
                <c:pt idx="5">
                  <c:v>7.3207428422098104</c:v>
                </c:pt>
                <c:pt idx="6">
                  <c:v>7.3332801640044396</c:v>
                </c:pt>
                <c:pt idx="7">
                  <c:v>7.4281104644374469</c:v>
                </c:pt>
                <c:pt idx="8">
                  <c:v>7.1353528490967735</c:v>
                </c:pt>
                <c:pt idx="9">
                  <c:v>7.7661883737661785</c:v>
                </c:pt>
                <c:pt idx="10">
                  <c:v>8.4694383881362061</c:v>
                </c:pt>
                <c:pt idx="11">
                  <c:v>8.1955962043482309</c:v>
                </c:pt>
                <c:pt idx="12">
                  <c:v>8.2568829585447201</c:v>
                </c:pt>
                <c:pt idx="13">
                  <c:v>8.8890837350718002</c:v>
                </c:pt>
                <c:pt idx="14">
                  <c:v>9.4401478562870338</c:v>
                </c:pt>
                <c:pt idx="15">
                  <c:v>10.110599528616511</c:v>
                </c:pt>
                <c:pt idx="16">
                  <c:v>10.2108472</c:v>
                </c:pt>
                <c:pt idx="17">
                  <c:v>10.983012199999999</c:v>
                </c:pt>
                <c:pt idx="18">
                  <c:v>10.907997099999999</c:v>
                </c:pt>
                <c:pt idx="19">
                  <c:v>12.301411987957612</c:v>
                </c:pt>
                <c:pt idx="20">
                  <c:v>12.270698485647618</c:v>
                </c:pt>
                <c:pt idx="21">
                  <c:v>12.4</c:v>
                </c:pt>
                <c:pt idx="22">
                  <c:v>12.36150458399511</c:v>
                </c:pt>
                <c:pt idx="23">
                  <c:v>12.878542073669545</c:v>
                </c:pt>
                <c:pt idx="24">
                  <c:v>12.950614593544486</c:v>
                </c:pt>
                <c:pt idx="25">
                  <c:v>12.988429168125307</c:v>
                </c:pt>
                <c:pt idx="26">
                  <c:v>12.410461583796062</c:v>
                </c:pt>
                <c:pt idx="27">
                  <c:v>13.872790441589812</c:v>
                </c:pt>
                <c:pt idx="28">
                  <c:v>14.577624070512309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D-4431-8DC9-64DD30EB4B05}"/>
            </c:ext>
          </c:extLst>
        </c:ser>
        <c:ser>
          <c:idx val="2"/>
          <c:order val="2"/>
          <c:tx>
            <c:strRef>
              <c:f>'10.11  Prec med- CIIU'!$E$5</c:f>
              <c:strCache>
                <c:ptCount val="1"/>
                <c:pt idx="0">
                  <c:v>Residencial</c:v>
                </c:pt>
              </c:strCache>
            </c:strRef>
          </c:tx>
          <c:spPr>
            <a:ln w="3175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</c:spPr>
          </c:marker>
          <c:cat>
            <c:numRef>
              <c:f>'10.11  Prec med- CIIU'!$B$7:$B$35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'10.11  Prec med- CIIU'!$E$7:$E$35</c:f>
              <c:numCache>
                <c:formatCode>#,##0.00</c:formatCode>
                <c:ptCount val="29"/>
                <c:pt idx="0">
                  <c:v>11.283446398970833</c:v>
                </c:pt>
                <c:pt idx="1">
                  <c:v>11.700802658519068</c:v>
                </c:pt>
                <c:pt idx="2">
                  <c:v>11.582177535507025</c:v>
                </c:pt>
                <c:pt idx="3">
                  <c:v>9.9684339944200495</c:v>
                </c:pt>
                <c:pt idx="4">
                  <c:v>9.4944349046683083</c:v>
                </c:pt>
                <c:pt idx="5">
                  <c:v>10.077877207303533</c:v>
                </c:pt>
                <c:pt idx="6">
                  <c:v>10.040241931531753</c:v>
                </c:pt>
                <c:pt idx="7">
                  <c:v>8.9766906984860597</c:v>
                </c:pt>
                <c:pt idx="8">
                  <c:v>9.6710123586537318</c:v>
                </c:pt>
                <c:pt idx="9">
                  <c:v>9.9578542547562368</c:v>
                </c:pt>
                <c:pt idx="10">
                  <c:v>10.83636761874177</c:v>
                </c:pt>
                <c:pt idx="11">
                  <c:v>10.756475285056688</c:v>
                </c:pt>
                <c:pt idx="12">
                  <c:v>10.68990130553876</c:v>
                </c:pt>
                <c:pt idx="13">
                  <c:v>11.273478337353472</c:v>
                </c:pt>
                <c:pt idx="14">
                  <c:v>11.926617410595755</c:v>
                </c:pt>
                <c:pt idx="15">
                  <c:v>12.206216169236948</c:v>
                </c:pt>
                <c:pt idx="16">
                  <c:v>13.043042</c:v>
                </c:pt>
                <c:pt idx="17">
                  <c:v>14.1041095</c:v>
                </c:pt>
                <c:pt idx="18">
                  <c:v>14.170105599999999</c:v>
                </c:pt>
                <c:pt idx="19">
                  <c:v>15.78132862713845</c:v>
                </c:pt>
                <c:pt idx="20">
                  <c:v>15.568993167433268</c:v>
                </c:pt>
                <c:pt idx="21">
                  <c:v>16.075329350197936</c:v>
                </c:pt>
                <c:pt idx="22">
                  <c:v>16.498263611023503</c:v>
                </c:pt>
                <c:pt idx="23">
                  <c:v>17.262855749113854</c:v>
                </c:pt>
                <c:pt idx="24">
                  <c:v>17.695675257879802</c:v>
                </c:pt>
                <c:pt idx="25">
                  <c:v>17.378445494673276</c:v>
                </c:pt>
                <c:pt idx="26">
                  <c:v>17.357864204119331</c:v>
                </c:pt>
                <c:pt idx="27">
                  <c:v>19.220202810195573</c:v>
                </c:pt>
                <c:pt idx="28">
                  <c:v>19.722702692521839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D-4431-8DC9-64DD30EB4B05}"/>
            </c:ext>
          </c:extLst>
        </c:ser>
        <c:ser>
          <c:idx val="3"/>
          <c:order val="3"/>
          <c:tx>
            <c:strRef>
              <c:f>'10.11  Prec med- CIIU'!$F$5</c:f>
              <c:strCache>
                <c:ptCount val="1"/>
                <c:pt idx="0">
                  <c:v>Alumbrado Público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noFill/>
                <a:prstDash val="solid"/>
              </a:ln>
              <a:effectLst/>
            </c:spPr>
          </c:marker>
          <c:cat>
            <c:numRef>
              <c:f>'10.11  Prec med- CIIU'!$B$7:$B$35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'10.11  Prec med- CIIU'!$F$7:$F$35</c:f>
              <c:numCache>
                <c:formatCode>#,##0.00</c:formatCode>
                <c:ptCount val="29"/>
                <c:pt idx="0">
                  <c:v>8.4803805094420035</c:v>
                </c:pt>
                <c:pt idx="1">
                  <c:v>10.015867859658382</c:v>
                </c:pt>
                <c:pt idx="2">
                  <c:v>9.6052586075462489</c:v>
                </c:pt>
                <c:pt idx="3">
                  <c:v>8.3800249198594479</c:v>
                </c:pt>
                <c:pt idx="4">
                  <c:v>8.132461037046669</c:v>
                </c:pt>
                <c:pt idx="5">
                  <c:v>8.9205908881321658</c:v>
                </c:pt>
                <c:pt idx="6">
                  <c:v>9.3918509603971447</c:v>
                </c:pt>
                <c:pt idx="7">
                  <c:v>7.9240644839032566</c:v>
                </c:pt>
                <c:pt idx="8">
                  <c:v>7.7695003248875425</c:v>
                </c:pt>
                <c:pt idx="9">
                  <c:v>9.6732809065578866</c:v>
                </c:pt>
                <c:pt idx="10">
                  <c:v>10.285576031650301</c:v>
                </c:pt>
                <c:pt idx="11">
                  <c:v>10.825611995897283</c:v>
                </c:pt>
                <c:pt idx="12">
                  <c:v>10.292187443523428</c:v>
                </c:pt>
                <c:pt idx="13">
                  <c:v>10.670788413669451</c:v>
                </c:pt>
                <c:pt idx="14">
                  <c:v>11.525785044073674</c:v>
                </c:pt>
                <c:pt idx="15">
                  <c:v>12.072008153137142</c:v>
                </c:pt>
                <c:pt idx="16">
                  <c:v>12.7852389</c:v>
                </c:pt>
                <c:pt idx="17">
                  <c:v>13.9780652</c:v>
                </c:pt>
                <c:pt idx="18">
                  <c:v>13.259696699999999</c:v>
                </c:pt>
                <c:pt idx="19">
                  <c:v>13.303554800411794</c:v>
                </c:pt>
                <c:pt idx="20">
                  <c:v>13.669802678698016</c:v>
                </c:pt>
                <c:pt idx="21">
                  <c:v>15.225606159678609</c:v>
                </c:pt>
                <c:pt idx="22">
                  <c:v>15.901634872294261</c:v>
                </c:pt>
                <c:pt idx="23">
                  <c:v>16.094148722764423</c:v>
                </c:pt>
                <c:pt idx="24">
                  <c:v>17.231541664440272</c:v>
                </c:pt>
                <c:pt idx="25">
                  <c:v>16.968732144480366</c:v>
                </c:pt>
                <c:pt idx="26">
                  <c:v>16.479207499626959</c:v>
                </c:pt>
                <c:pt idx="27">
                  <c:v>18.389128354264717</c:v>
                </c:pt>
                <c:pt idx="28">
                  <c:v>19.618311736546843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2D-4431-8DC9-64DD30EB4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6608"/>
        <c:axId val="47722880"/>
      </c:lineChart>
      <c:catAx>
        <c:axId val="4771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72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22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Cent. US$/kW.h</a:t>
                </a:r>
              </a:p>
            </c:rich>
          </c:tx>
          <c:layout>
            <c:manualLayout>
              <c:xMode val="edge"/>
              <c:yMode val="edge"/>
              <c:x val="8.1036921323172414E-3"/>
              <c:y val="0.407658627873309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7716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90551181102362"/>
          <c:y val="0.93243435377752659"/>
          <c:w val="0.7039370078740157"/>
          <c:h val="5.40543530713368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DEL CONSUMO DE ENERGÍA ELÉCTRICA POR TIPO DE EMPRESA</a:t>
            </a:r>
          </a:p>
        </c:rich>
      </c:tx>
      <c:layout>
        <c:manualLayout>
          <c:xMode val="edge"/>
          <c:yMode val="edge"/>
          <c:x val="0.23882450703699679"/>
          <c:y val="2.8195204413007696E-2"/>
        </c:manualLayout>
      </c:layout>
      <c:overlay val="0"/>
      <c:spPr>
        <a:solidFill>
          <a:srgbClr val="4B4B4B"/>
        </a:solidFill>
        <a:ln w="3175">
          <a:noFill/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9424313032299529E-2"/>
          <c:y val="0.15820939049285507"/>
          <c:w val="0.88362997989246084"/>
          <c:h val="0.66000337677088605"/>
        </c:manualLayout>
      </c:layout>
      <c:lineChart>
        <c:grouping val="standard"/>
        <c:varyColors val="0"/>
        <c:ser>
          <c:idx val="1"/>
          <c:order val="0"/>
          <c:tx>
            <c:v>Venta de Distribuidores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'10.12 Consumo'!$B$7:$B$35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'10.12 Consumo'!$E$7:$E$35</c:f>
              <c:numCache>
                <c:formatCode>#,##0.00</c:formatCode>
                <c:ptCount val="29"/>
                <c:pt idx="0">
                  <c:v>8673.7080870000045</c:v>
                </c:pt>
                <c:pt idx="1">
                  <c:v>8770.6107359999914</c:v>
                </c:pt>
                <c:pt idx="2">
                  <c:v>9377.8946799999903</c:v>
                </c:pt>
                <c:pt idx="3">
                  <c:v>9878.6615729999976</c:v>
                </c:pt>
                <c:pt idx="4">
                  <c:v>10198.991027000011</c:v>
                </c:pt>
                <c:pt idx="5">
                  <c:v>10763.269271000014</c:v>
                </c:pt>
                <c:pt idx="6">
                  <c:v>10522.374724999987</c:v>
                </c:pt>
                <c:pt idx="7">
                  <c:v>11113.547163000001</c:v>
                </c:pt>
                <c:pt idx="8">
                  <c:v>11303.613572999999</c:v>
                </c:pt>
                <c:pt idx="9">
                  <c:v>12001.305316</c:v>
                </c:pt>
                <c:pt idx="10">
                  <c:v>12914.287800222222</c:v>
                </c:pt>
                <c:pt idx="11">
                  <c:v>14043.638326999999</c:v>
                </c:pt>
                <c:pt idx="12">
                  <c:v>15032.180854999999</c:v>
                </c:pt>
                <c:pt idx="13">
                  <c:v>16297.176545000008</c:v>
                </c:pt>
                <c:pt idx="14">
                  <c:v>17000.664145000002</c:v>
                </c:pt>
                <c:pt idx="15">
                  <c:v>18195.325098000001</c:v>
                </c:pt>
                <c:pt idx="16">
                  <c:v>19753.040698251105</c:v>
                </c:pt>
                <c:pt idx="17">
                  <c:v>20947.295381</c:v>
                </c:pt>
                <c:pt idx="18">
                  <c:v>21935.480477000001</c:v>
                </c:pt>
                <c:pt idx="19">
                  <c:v>22779.996057397198</c:v>
                </c:pt>
                <c:pt idx="20">
                  <c:v>23494.010900000001</c:v>
                </c:pt>
                <c:pt idx="21">
                  <c:v>22886.332354000002</c:v>
                </c:pt>
                <c:pt idx="22">
                  <c:v>22399.543247369966</c:v>
                </c:pt>
                <c:pt idx="23">
                  <c:v>22073.874790390117</c:v>
                </c:pt>
                <c:pt idx="24">
                  <c:v>22355.024662000003</c:v>
                </c:pt>
                <c:pt idx="25">
                  <c:v>20893.361044550002</c:v>
                </c:pt>
                <c:pt idx="26">
                  <c:v>21959.303937619599</c:v>
                </c:pt>
                <c:pt idx="27">
                  <c:v>22653.615047510018</c:v>
                </c:pt>
                <c:pt idx="28">
                  <c:v>23870.292829300852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9-4730-A4BE-021A152F0465}"/>
            </c:ext>
          </c:extLst>
        </c:ser>
        <c:ser>
          <c:idx val="2"/>
          <c:order val="1"/>
          <c:tx>
            <c:v>Venta de Generadores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numRef>
              <c:f>'10.12 Consumo'!$B$7:$B$35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'10.12 Consumo'!$F$7:$F$35</c:f>
              <c:numCache>
                <c:formatCode>#,##0.00</c:formatCode>
                <c:ptCount val="29"/>
                <c:pt idx="0">
                  <c:v>1175.548041</c:v>
                </c:pt>
                <c:pt idx="1">
                  <c:v>1560.2288619999999</c:v>
                </c:pt>
                <c:pt idx="2">
                  <c:v>3073.3354799999997</c:v>
                </c:pt>
                <c:pt idx="3">
                  <c:v>4129.9152500000009</c:v>
                </c:pt>
                <c:pt idx="4">
                  <c:v>4393.000532</c:v>
                </c:pt>
                <c:pt idx="5">
                  <c:v>4782.3261210000001</c:v>
                </c:pt>
                <c:pt idx="6">
                  <c:v>6106.3798200000001</c:v>
                </c:pt>
                <c:pt idx="7">
                  <c:v>6491.7787508479996</c:v>
                </c:pt>
                <c:pt idx="8">
                  <c:v>7071.7218369999982</c:v>
                </c:pt>
                <c:pt idx="9">
                  <c:v>7639.3457940000008</c:v>
                </c:pt>
                <c:pt idx="10">
                  <c:v>7787.095080000001</c:v>
                </c:pt>
                <c:pt idx="11">
                  <c:v>8246.4228259999982</c:v>
                </c:pt>
                <c:pt idx="12">
                  <c:v>9689.5676979999989</c:v>
                </c:pt>
                <c:pt idx="13">
                  <c:v>10667.238051000004</c:v>
                </c:pt>
                <c:pt idx="14">
                  <c:v>10086.341632</c:v>
                </c:pt>
                <c:pt idx="15">
                  <c:v>11240.850026</c:v>
                </c:pt>
                <c:pt idx="16">
                  <c:v>12067.310106999999</c:v>
                </c:pt>
                <c:pt idx="17">
                  <c:v>12700.890554</c:v>
                </c:pt>
                <c:pt idx="18">
                  <c:v>13674.172223</c:v>
                </c:pt>
                <c:pt idx="19">
                  <c:v>14545.805000799999</c:v>
                </c:pt>
                <c:pt idx="20">
                  <c:v>16280.733700000001</c:v>
                </c:pt>
                <c:pt idx="21">
                  <c:v>20480.666756700004</c:v>
                </c:pt>
                <c:pt idx="22">
                  <c:v>21823.709569899995</c:v>
                </c:pt>
                <c:pt idx="23">
                  <c:v>23793.913051799947</c:v>
                </c:pt>
                <c:pt idx="24">
                  <c:v>25065.713250000001</c:v>
                </c:pt>
                <c:pt idx="25">
                  <c:v>22857.708323600058</c:v>
                </c:pt>
                <c:pt idx="26">
                  <c:v>26094.440055399904</c:v>
                </c:pt>
                <c:pt idx="27">
                  <c:v>27779.471380399998</c:v>
                </c:pt>
                <c:pt idx="28">
                  <c:v>28752.678471000097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9-4730-A4BE-021A152F0465}"/>
            </c:ext>
          </c:extLst>
        </c:ser>
        <c:ser>
          <c:idx val="3"/>
          <c:order val="2"/>
          <c:tx>
            <c:strRef>
              <c:f>'10.12 Consumo'!$H$4:$H$5</c:f>
              <c:strCache>
                <c:ptCount val="2"/>
                <c:pt idx="0">
                  <c:v>Generación</c:v>
                </c:pt>
                <c:pt idx="1">
                  <c:v>de uso propio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'10.12 Consumo'!$B$7:$B$35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'10.12 Consumo'!$H$7:$H$35</c:f>
              <c:numCache>
                <c:formatCode>#,##0.00</c:formatCode>
                <c:ptCount val="29"/>
                <c:pt idx="0">
                  <c:v>3773.8</c:v>
                </c:pt>
                <c:pt idx="1">
                  <c:v>3972.3</c:v>
                </c:pt>
                <c:pt idx="2">
                  <c:v>2604.85</c:v>
                </c:pt>
                <c:pt idx="3">
                  <c:v>1766.6</c:v>
                </c:pt>
                <c:pt idx="4">
                  <c:v>1683</c:v>
                </c:pt>
                <c:pt idx="5">
                  <c:v>1594.7996189999999</c:v>
                </c:pt>
                <c:pt idx="6">
                  <c:v>1571.2</c:v>
                </c:pt>
                <c:pt idx="7">
                  <c:v>1562.8144990000035</c:v>
                </c:pt>
                <c:pt idx="8">
                  <c:v>1561.8909439999998</c:v>
                </c:pt>
                <c:pt idx="9">
                  <c:v>1647.0732800000003</c:v>
                </c:pt>
                <c:pt idx="10">
                  <c:v>1698.8618702072531</c:v>
                </c:pt>
                <c:pt idx="11">
                  <c:v>1756.0649376214139</c:v>
                </c:pt>
                <c:pt idx="12">
                  <c:v>1742.5560516600001</c:v>
                </c:pt>
                <c:pt idx="13">
                  <c:v>1868.6524669999999</c:v>
                </c:pt>
                <c:pt idx="14">
                  <c:v>2022.8330379999998</c:v>
                </c:pt>
                <c:pt idx="15">
                  <c:v>2362.1921340000008</c:v>
                </c:pt>
                <c:pt idx="16">
                  <c:v>2557.9289537736718</c:v>
                </c:pt>
                <c:pt idx="17">
                  <c:v>2674.953728407947</c:v>
                </c:pt>
                <c:pt idx="18">
                  <c:v>2665.5115413064059</c:v>
                </c:pt>
                <c:pt idx="19">
                  <c:v>2703.5718431337964</c:v>
                </c:pt>
                <c:pt idx="20">
                  <c:v>2559.0161803301708</c:v>
                </c:pt>
                <c:pt idx="21">
                  <c:v>2165.8930204205285</c:v>
                </c:pt>
                <c:pt idx="22">
                  <c:v>2355.1911354963022</c:v>
                </c:pt>
                <c:pt idx="23">
                  <c:v>2530.7625727270442</c:v>
                </c:pt>
                <c:pt idx="24">
                  <c:v>2519.9121636030145</c:v>
                </c:pt>
                <c:pt idx="25">
                  <c:v>2086.6893260598281</c:v>
                </c:pt>
                <c:pt idx="26">
                  <c:v>1859.2599257616707</c:v>
                </c:pt>
                <c:pt idx="27">
                  <c:v>1898.1158772272759</c:v>
                </c:pt>
                <c:pt idx="28">
                  <c:v>1923.1691984849688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79-4730-A4BE-021A152F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26432"/>
        <c:axId val="47828352"/>
      </c:lineChart>
      <c:catAx>
        <c:axId val="4782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7828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835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 sz="800"/>
                  <a:t>GW.h</a:t>
                </a:r>
              </a:p>
            </c:rich>
          </c:tx>
          <c:layout>
            <c:manualLayout>
              <c:xMode val="edge"/>
              <c:yMode val="edge"/>
              <c:x val="7.4279939711872425E-3"/>
              <c:y val="0.413027889057727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78264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908691768325277E-2"/>
          <c:y val="0.91170511580789249"/>
          <c:w val="0.8675947175459835"/>
          <c:h val="6.53874844591794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ysClr val="windowText" lastClr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DEL CONSUMO DE ENERGÍA ELÉCTRICA TIPO DE  SERVICIO</a:t>
            </a:r>
          </a:p>
        </c:rich>
      </c:tx>
      <c:layout>
        <c:manualLayout>
          <c:xMode val="edge"/>
          <c:yMode val="edge"/>
          <c:x val="0.25374379223005289"/>
          <c:y val="2.4289815982946883E-2"/>
        </c:manualLayout>
      </c:layout>
      <c:overlay val="0"/>
      <c:spPr>
        <a:solidFill>
          <a:srgbClr val="4B4B4B"/>
        </a:solidFill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9.8055744300997907E-2"/>
          <c:y val="0.18387967016186502"/>
          <c:w val="0.87309378205896837"/>
          <c:h val="0.6256230471191101"/>
        </c:manualLayout>
      </c:layout>
      <c:areaChart>
        <c:grouping val="stacked"/>
        <c:varyColors val="0"/>
        <c:ser>
          <c:idx val="0"/>
          <c:order val="0"/>
          <c:tx>
            <c:strRef>
              <c:f>'10.12 Consumo'!$D$4:$F$4</c:f>
              <c:strCache>
                <c:ptCount val="1"/>
                <c:pt idx="0">
                  <c:v>Ventas a Cliente Final</c:v>
                </c:pt>
              </c:strCache>
            </c:strRef>
          </c:tx>
          <c:spPr>
            <a:scene3d>
              <a:camera prst="orthographicFront"/>
              <a:lightRig rig="soft" dir="t"/>
            </a:scene3d>
            <a:sp3d prstMaterial="plastic">
              <a:bevelT w="50800" h="50800"/>
            </a:sp3d>
          </c:spPr>
          <c:cat>
            <c:numRef>
              <c:f>'10.12 Consumo'!$B$7:$B$35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'10.12 Consumo'!$D$7:$D$35</c:f>
              <c:numCache>
                <c:formatCode>#,##0.00</c:formatCode>
                <c:ptCount val="29"/>
                <c:pt idx="0">
                  <c:v>9849.2561280000045</c:v>
                </c:pt>
                <c:pt idx="1">
                  <c:v>10330.839597999991</c:v>
                </c:pt>
                <c:pt idx="2">
                  <c:v>12451.23015999999</c:v>
                </c:pt>
                <c:pt idx="3">
                  <c:v>14008.576822999999</c:v>
                </c:pt>
                <c:pt idx="4">
                  <c:v>14591.991559000011</c:v>
                </c:pt>
                <c:pt idx="5">
                  <c:v>15545.595392000014</c:v>
                </c:pt>
                <c:pt idx="6">
                  <c:v>16628.754544999989</c:v>
                </c:pt>
                <c:pt idx="7">
                  <c:v>17605.325913847999</c:v>
                </c:pt>
                <c:pt idx="8">
                  <c:v>18375.335409999996</c:v>
                </c:pt>
                <c:pt idx="9">
                  <c:v>19640.651109999999</c:v>
                </c:pt>
                <c:pt idx="10">
                  <c:v>20701.382880222223</c:v>
                </c:pt>
                <c:pt idx="11">
                  <c:v>22290.061152999995</c:v>
                </c:pt>
                <c:pt idx="12">
                  <c:v>24721.748552999998</c:v>
                </c:pt>
                <c:pt idx="13">
                  <c:v>26964.41459600001</c:v>
                </c:pt>
                <c:pt idx="14">
                  <c:v>27087.005777000002</c:v>
                </c:pt>
                <c:pt idx="15">
                  <c:v>29436.175124000001</c:v>
                </c:pt>
                <c:pt idx="16">
                  <c:v>31820.350805251102</c:v>
                </c:pt>
                <c:pt idx="17">
                  <c:v>33648.185935000001</c:v>
                </c:pt>
                <c:pt idx="18">
                  <c:v>35609.652699999999</c:v>
                </c:pt>
                <c:pt idx="19">
                  <c:v>37325.801058197198</c:v>
                </c:pt>
                <c:pt idx="20">
                  <c:v>39774.744600000005</c:v>
                </c:pt>
                <c:pt idx="21">
                  <c:v>43366.99911070001</c:v>
                </c:pt>
                <c:pt idx="22">
                  <c:v>44223.25281726996</c:v>
                </c:pt>
                <c:pt idx="23">
                  <c:v>45867.787842190068</c:v>
                </c:pt>
                <c:pt idx="24">
                  <c:v>47420.737912000004</c:v>
                </c:pt>
                <c:pt idx="25">
                  <c:v>43751.069368150056</c:v>
                </c:pt>
                <c:pt idx="26">
                  <c:v>48053.743993019503</c:v>
                </c:pt>
                <c:pt idx="27">
                  <c:v>50433.086427910021</c:v>
                </c:pt>
                <c:pt idx="28">
                  <c:v>52622.971300300953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B-4394-A2FD-0B9C1522230A}"/>
            </c:ext>
          </c:extLst>
        </c:ser>
        <c:ser>
          <c:idx val="3"/>
          <c:order val="1"/>
          <c:tx>
            <c:strRef>
              <c:f>'10.12 Consumo'!$H$4:$H$5</c:f>
              <c:strCache>
                <c:ptCount val="2"/>
                <c:pt idx="0">
                  <c:v>Generación</c:v>
                </c:pt>
                <c:pt idx="1">
                  <c:v>de uso propio</c:v>
                </c:pt>
              </c:strCache>
            </c:strRef>
          </c:tx>
          <c:spPr>
            <a:ln>
              <a:noFill/>
            </a:ln>
            <a:scene3d>
              <a:camera prst="orthographicFront"/>
              <a:lightRig rig="soft" dir="t"/>
            </a:scene3d>
            <a:sp3d prstMaterial="plastic">
              <a:bevelT w="50800" h="50800"/>
            </a:sp3d>
          </c:spPr>
          <c:cat>
            <c:numRef>
              <c:f>'10.12 Consumo'!$B$7:$B$35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'10.12 Consumo'!$H$7:$H$35</c:f>
              <c:numCache>
                <c:formatCode>#,##0.00</c:formatCode>
                <c:ptCount val="29"/>
                <c:pt idx="0">
                  <c:v>3773.8</c:v>
                </c:pt>
                <c:pt idx="1">
                  <c:v>3972.3</c:v>
                </c:pt>
                <c:pt idx="2">
                  <c:v>2604.85</c:v>
                </c:pt>
                <c:pt idx="3">
                  <c:v>1766.6</c:v>
                </c:pt>
                <c:pt idx="4">
                  <c:v>1683</c:v>
                </c:pt>
                <c:pt idx="5">
                  <c:v>1594.7996189999999</c:v>
                </c:pt>
                <c:pt idx="6">
                  <c:v>1571.2</c:v>
                </c:pt>
                <c:pt idx="7">
                  <c:v>1562.8144990000035</c:v>
                </c:pt>
                <c:pt idx="8">
                  <c:v>1561.8909439999998</c:v>
                </c:pt>
                <c:pt idx="9">
                  <c:v>1647.0732800000003</c:v>
                </c:pt>
                <c:pt idx="10">
                  <c:v>1698.8618702072531</c:v>
                </c:pt>
                <c:pt idx="11">
                  <c:v>1756.0649376214139</c:v>
                </c:pt>
                <c:pt idx="12">
                  <c:v>1742.5560516600001</c:v>
                </c:pt>
                <c:pt idx="13">
                  <c:v>1868.6524669999999</c:v>
                </c:pt>
                <c:pt idx="14">
                  <c:v>2022.8330379999998</c:v>
                </c:pt>
                <c:pt idx="15">
                  <c:v>2362.1921340000008</c:v>
                </c:pt>
                <c:pt idx="16">
                  <c:v>2557.9289537736718</c:v>
                </c:pt>
                <c:pt idx="17">
                  <c:v>2674.953728407947</c:v>
                </c:pt>
                <c:pt idx="18">
                  <c:v>2665.5115413064059</c:v>
                </c:pt>
                <c:pt idx="19">
                  <c:v>2703.5718431337964</c:v>
                </c:pt>
                <c:pt idx="20">
                  <c:v>2559.0161803301708</c:v>
                </c:pt>
                <c:pt idx="21">
                  <c:v>2165.8930204205285</c:v>
                </c:pt>
                <c:pt idx="22">
                  <c:v>2355.1911354963022</c:v>
                </c:pt>
                <c:pt idx="23">
                  <c:v>2530.7625727270442</c:v>
                </c:pt>
                <c:pt idx="24">
                  <c:v>2519.9121636030145</c:v>
                </c:pt>
                <c:pt idx="25">
                  <c:v>2086.6893260598281</c:v>
                </c:pt>
                <c:pt idx="26">
                  <c:v>1859.2599257616707</c:v>
                </c:pt>
                <c:pt idx="27">
                  <c:v>1898.1158772272759</c:v>
                </c:pt>
                <c:pt idx="28">
                  <c:v>1923.1691984849688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B-4394-A2FD-0B9C15222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40128"/>
        <c:axId val="48241664"/>
      </c:areaChart>
      <c:catAx>
        <c:axId val="4824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2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241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5.6854124198942131E-3"/>
              <c:y val="0.43721509811273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8240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9592489735463567"/>
          <c:y val="0.90275115610548684"/>
          <c:w val="0.41912213255500741"/>
          <c:h val="7.151556055493069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DEL NÚMERO DE CLIENTES EN EL MERCADO LIBRE </a:t>
            </a:r>
          </a:p>
        </c:rich>
      </c:tx>
      <c:layout>
        <c:manualLayout>
          <c:xMode val="edge"/>
          <c:yMode val="edge"/>
          <c:x val="0.2490211617716252"/>
          <c:y val="3.0211395989294444E-2"/>
        </c:manualLayout>
      </c:layout>
      <c:overlay val="0"/>
      <c:spPr>
        <a:solidFill>
          <a:srgbClr val="4B4B4B"/>
        </a:solidFill>
        <a:ln w="3175">
          <a:noFill/>
          <a:prstDash val="solid"/>
        </a:ln>
        <a:scene3d>
          <a:camera prst="orthographicFront"/>
          <a:lightRig rig="threePt" dir="t"/>
        </a:scene3d>
        <a:sp3d prstMaterial="plastic">
          <a:bevelT w="50800" h="63500"/>
        </a:sp3d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rgbClr val="969696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1393348138209984E-2"/>
          <c:y val="0.15427319726294672"/>
          <c:w val="0.88624366050251469"/>
          <c:h val="0.659940019238730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'10.13 Clientes'!$S$46</c:f>
              <c:strCache>
                <c:ptCount val="1"/>
                <c:pt idx="0">
                  <c:v>MAT</c:v>
                </c:pt>
              </c:strCache>
            </c:strRef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cat>
            <c:numRef>
              <c:f>'10.13 Clientes'!$R$47:$R$72</c:f>
              <c:numCache>
                <c:formatCode>#,##0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'10.13 Clientes'!$S$47:$S$72</c:f>
              <c:numCache>
                <c:formatCode>#,##0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32</c:v>
                </c:pt>
                <c:pt idx="5">
                  <c:v>37</c:v>
                </c:pt>
                <c:pt idx="6">
                  <c:v>37</c:v>
                </c:pt>
                <c:pt idx="7">
                  <c:v>36</c:v>
                </c:pt>
                <c:pt idx="8">
                  <c:v>38</c:v>
                </c:pt>
                <c:pt idx="9">
                  <c:v>43</c:v>
                </c:pt>
                <c:pt idx="10">
                  <c:v>44</c:v>
                </c:pt>
                <c:pt idx="11">
                  <c:v>42</c:v>
                </c:pt>
                <c:pt idx="12">
                  <c:v>48</c:v>
                </c:pt>
                <c:pt idx="13">
                  <c:v>48</c:v>
                </c:pt>
                <c:pt idx="14">
                  <c:v>52</c:v>
                </c:pt>
                <c:pt idx="15">
                  <c:v>57</c:v>
                </c:pt>
                <c:pt idx="16">
                  <c:v>67</c:v>
                </c:pt>
                <c:pt idx="17">
                  <c:v>61</c:v>
                </c:pt>
                <c:pt idx="18">
                  <c:v>71</c:v>
                </c:pt>
                <c:pt idx="19">
                  <c:v>134</c:v>
                </c:pt>
                <c:pt idx="20">
                  <c:v>185</c:v>
                </c:pt>
                <c:pt idx="21">
                  <c:v>230.00000000000003</c:v>
                </c:pt>
                <c:pt idx="22">
                  <c:v>255</c:v>
                </c:pt>
                <c:pt idx="23">
                  <c:v>263</c:v>
                </c:pt>
                <c:pt idx="24">
                  <c:v>187</c:v>
                </c:pt>
                <c:pt idx="25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7-4EA4-9784-973F2C86B531}"/>
            </c:ext>
          </c:extLst>
        </c:ser>
        <c:ser>
          <c:idx val="1"/>
          <c:order val="1"/>
          <c:tx>
            <c:strRef>
              <c:f>'10.13 Clientes'!$T$46</c:f>
              <c:strCache>
                <c:ptCount val="1"/>
                <c:pt idx="0">
                  <c:v>AT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'10.13 Clientes'!$R$47:$R$72</c:f>
              <c:numCache>
                <c:formatCode>#,##0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'10.13 Clientes'!$T$47:$T$72</c:f>
              <c:numCache>
                <c:formatCode>#,##0</c:formatCode>
                <c:ptCount val="26"/>
                <c:pt idx="0">
                  <c:v>37</c:v>
                </c:pt>
                <c:pt idx="1">
                  <c:v>41</c:v>
                </c:pt>
                <c:pt idx="2">
                  <c:v>40</c:v>
                </c:pt>
                <c:pt idx="3">
                  <c:v>38</c:v>
                </c:pt>
                <c:pt idx="4">
                  <c:v>41</c:v>
                </c:pt>
                <c:pt idx="5">
                  <c:v>35</c:v>
                </c:pt>
                <c:pt idx="6">
                  <c:v>33</c:v>
                </c:pt>
                <c:pt idx="7">
                  <c:v>36</c:v>
                </c:pt>
                <c:pt idx="8">
                  <c:v>36</c:v>
                </c:pt>
                <c:pt idx="9">
                  <c:v>34</c:v>
                </c:pt>
                <c:pt idx="10">
                  <c:v>34</c:v>
                </c:pt>
                <c:pt idx="11">
                  <c:v>40</c:v>
                </c:pt>
                <c:pt idx="12">
                  <c:v>39</c:v>
                </c:pt>
                <c:pt idx="13">
                  <c:v>45</c:v>
                </c:pt>
                <c:pt idx="14">
                  <c:v>46</c:v>
                </c:pt>
                <c:pt idx="15">
                  <c:v>57</c:v>
                </c:pt>
                <c:pt idx="16">
                  <c:v>60</c:v>
                </c:pt>
                <c:pt idx="17">
                  <c:v>53</c:v>
                </c:pt>
                <c:pt idx="18">
                  <c:v>52</c:v>
                </c:pt>
                <c:pt idx="19">
                  <c:v>56</c:v>
                </c:pt>
                <c:pt idx="20">
                  <c:v>59</c:v>
                </c:pt>
                <c:pt idx="21">
                  <c:v>62.000000000000021</c:v>
                </c:pt>
                <c:pt idx="22">
                  <c:v>63</c:v>
                </c:pt>
                <c:pt idx="23">
                  <c:v>71</c:v>
                </c:pt>
                <c:pt idx="24">
                  <c:v>75</c:v>
                </c:pt>
                <c:pt idx="2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7-4EA4-9784-973F2C86B531}"/>
            </c:ext>
          </c:extLst>
        </c:ser>
        <c:ser>
          <c:idx val="2"/>
          <c:order val="2"/>
          <c:tx>
            <c:strRef>
              <c:f>'10.13 Clientes'!$U$46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rgbClr val="0070C0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 w="6350" h="88900"/>
            </a:sp3d>
          </c:spPr>
          <c:invertIfNegative val="0"/>
          <c:cat>
            <c:numRef>
              <c:f>'10.13 Clientes'!$R$47:$R$72</c:f>
              <c:numCache>
                <c:formatCode>#,##0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'10.13 Clientes'!$U$47:$U$72</c:f>
              <c:numCache>
                <c:formatCode>#,##0</c:formatCode>
                <c:ptCount val="26"/>
                <c:pt idx="0">
                  <c:v>163</c:v>
                </c:pt>
                <c:pt idx="1">
                  <c:v>168</c:v>
                </c:pt>
                <c:pt idx="2">
                  <c:v>174</c:v>
                </c:pt>
                <c:pt idx="3">
                  <c:v>180</c:v>
                </c:pt>
                <c:pt idx="4">
                  <c:v>188</c:v>
                </c:pt>
                <c:pt idx="5">
                  <c:v>175</c:v>
                </c:pt>
                <c:pt idx="6">
                  <c:v>175</c:v>
                </c:pt>
                <c:pt idx="7">
                  <c:v>172</c:v>
                </c:pt>
                <c:pt idx="8">
                  <c:v>163</c:v>
                </c:pt>
                <c:pt idx="9">
                  <c:v>173</c:v>
                </c:pt>
                <c:pt idx="10">
                  <c:v>180</c:v>
                </c:pt>
                <c:pt idx="11">
                  <c:v>187</c:v>
                </c:pt>
                <c:pt idx="12">
                  <c:v>171</c:v>
                </c:pt>
                <c:pt idx="13">
                  <c:v>168</c:v>
                </c:pt>
                <c:pt idx="14">
                  <c:v>164</c:v>
                </c:pt>
                <c:pt idx="15">
                  <c:v>166</c:v>
                </c:pt>
                <c:pt idx="16">
                  <c:v>172.00000000000003</c:v>
                </c:pt>
                <c:pt idx="17">
                  <c:v>232</c:v>
                </c:pt>
                <c:pt idx="18">
                  <c:v>810</c:v>
                </c:pt>
                <c:pt idx="19">
                  <c:v>1225</c:v>
                </c:pt>
                <c:pt idx="20">
                  <c:v>1588</c:v>
                </c:pt>
                <c:pt idx="21">
                  <c:v>1953.0000000000032</c:v>
                </c:pt>
                <c:pt idx="22">
                  <c:v>2242</c:v>
                </c:pt>
                <c:pt idx="23">
                  <c:v>2596</c:v>
                </c:pt>
                <c:pt idx="24">
                  <c:v>2934</c:v>
                </c:pt>
                <c:pt idx="25">
                  <c:v>2930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37-4EA4-9784-973F2C86B531}"/>
            </c:ext>
          </c:extLst>
        </c:ser>
        <c:ser>
          <c:idx val="3"/>
          <c:order val="3"/>
          <c:tx>
            <c:strRef>
              <c:f>'10.13 Clientes'!$V$46</c:f>
              <c:strCache>
                <c:ptCount val="1"/>
                <c:pt idx="0">
                  <c:v>BT</c:v>
                </c:pt>
              </c:strCache>
            </c:strRef>
          </c:tx>
          <c:invertIfNegative val="0"/>
          <c:cat>
            <c:numRef>
              <c:f>'10.13 Clientes'!$R$47:$R$72</c:f>
              <c:numCache>
                <c:formatCode>#,##0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'10.13 Clientes'!$V$47:$V$72</c:f>
              <c:numCache>
                <c:formatCode>#,##0</c:formatCode>
                <c:ptCount val="26"/>
                <c:pt idx="0">
                  <c:v>1</c:v>
                </c:pt>
                <c:pt idx="1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2-4B0C-9980-0965B20CB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292608"/>
        <c:axId val="48294144"/>
        <c:axId val="0"/>
      </c:bar3DChart>
      <c:catAx>
        <c:axId val="482926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algn="ctr">
              <a:defRPr lang="es-PE" sz="9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829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294144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</a:t>
                </a: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de Clientes</a:t>
                </a:r>
              </a:p>
            </c:rich>
          </c:tx>
          <c:layout>
            <c:manualLayout>
              <c:xMode val="edge"/>
              <c:yMode val="edge"/>
              <c:x val="1.2098093569837248E-2"/>
              <c:y val="0.306191381249757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829260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906980443842072"/>
          <c:y val="0.88537285276608568"/>
          <c:w val="0.49006272259898809"/>
          <c:h val="6.22129797235102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  <a:scene3d>
      <a:camera prst="orthographicFront"/>
      <a:lightRig rig="threePt" dir="t"/>
    </a:scene3d>
    <a:sp3d prstMaterial="plastic">
      <a:bevelT w="0" h="0"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DEL NÚMERO DE CLIENTES EN EL MERCADO REGULADO </a:t>
            </a:r>
          </a:p>
        </c:rich>
      </c:tx>
      <c:layout>
        <c:manualLayout>
          <c:xMode val="edge"/>
          <c:yMode val="edge"/>
          <c:x val="0.22997437618032374"/>
          <c:y val="3.1152836664647687E-2"/>
        </c:manualLayout>
      </c:layout>
      <c:overlay val="0"/>
      <c:spPr>
        <a:solidFill>
          <a:srgbClr val="4B4B4B"/>
        </a:solidFill>
        <a:ln w="3175">
          <a:noFill/>
          <a:prstDash val="solid"/>
        </a:ln>
        <a:scene3d>
          <a:camera prst="orthographicFront"/>
          <a:lightRig rig="threePt" dir="t"/>
        </a:scene3d>
        <a:sp3d prstMaterial="plastic">
          <a:bevelT w="50800" h="50800"/>
        </a:sp3d>
      </c:sp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rgbClr val="969696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135695821193871"/>
          <c:y val="0.16178429396296104"/>
          <c:w val="0.88094035171169949"/>
          <c:h val="0.64174650064039573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'10.13 Clientes'!$AB$46</c:f>
              <c:strCache>
                <c:ptCount val="1"/>
                <c:pt idx="0">
                  <c:v>BT</c:v>
                </c:pt>
              </c:strCache>
            </c:strRef>
          </c:tx>
          <c:spPr>
            <a:solidFill>
              <a:srgbClr val="0070C0"/>
            </a:solidFill>
            <a:ln w="12700">
              <a:noFill/>
              <a:prstDash val="solid"/>
            </a:ln>
          </c:spPr>
          <c:invertIfNegative val="0"/>
          <c:cat>
            <c:numRef>
              <c:f>'10.13 Clientes'!$R$47:$R$72</c:f>
              <c:numCache>
                <c:formatCode>#,##0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'10.13 Clientes'!$AB$47:$AB$72</c:f>
              <c:numCache>
                <c:formatCode>#,##0</c:formatCode>
                <c:ptCount val="26"/>
                <c:pt idx="0">
                  <c:v>3051717</c:v>
                </c:pt>
                <c:pt idx="1">
                  <c:v>3211041</c:v>
                </c:pt>
                <c:pt idx="2">
                  <c:v>3345712</c:v>
                </c:pt>
                <c:pt idx="3">
                  <c:v>3455849</c:v>
                </c:pt>
                <c:pt idx="4">
                  <c:v>3607046</c:v>
                </c:pt>
                <c:pt idx="5">
                  <c:v>3719409</c:v>
                </c:pt>
                <c:pt idx="6">
                  <c:v>3852131</c:v>
                </c:pt>
                <c:pt idx="7">
                  <c:v>3968111</c:v>
                </c:pt>
                <c:pt idx="8">
                  <c:v>4155561</c:v>
                </c:pt>
                <c:pt idx="9">
                  <c:v>4349273</c:v>
                </c:pt>
                <c:pt idx="10">
                  <c:v>4613088</c:v>
                </c:pt>
                <c:pt idx="11">
                  <c:v>4866305</c:v>
                </c:pt>
                <c:pt idx="12">
                  <c:v>5157284</c:v>
                </c:pt>
                <c:pt idx="13">
                  <c:v>5480527</c:v>
                </c:pt>
                <c:pt idx="14">
                  <c:v>5818719</c:v>
                </c:pt>
                <c:pt idx="15">
                  <c:v>6139072</c:v>
                </c:pt>
                <c:pt idx="16">
                  <c:v>6414727</c:v>
                </c:pt>
                <c:pt idx="17">
                  <c:v>6662868</c:v>
                </c:pt>
                <c:pt idx="18">
                  <c:v>6916853</c:v>
                </c:pt>
                <c:pt idx="19">
                  <c:v>7147546</c:v>
                </c:pt>
                <c:pt idx="20">
                  <c:v>7356035.9999999925</c:v>
                </c:pt>
                <c:pt idx="21">
                  <c:v>7544567.9999999637</c:v>
                </c:pt>
                <c:pt idx="22">
                  <c:v>7757339.9999999981</c:v>
                </c:pt>
                <c:pt idx="23">
                  <c:v>8121860.9999999981</c:v>
                </c:pt>
                <c:pt idx="24">
                  <c:v>8326946</c:v>
                </c:pt>
                <c:pt idx="25">
                  <c:v>8561380.9999999925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C-45D0-AC5D-C4BF575E4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5"/>
        <c:gapDepth val="127"/>
        <c:shape val="box"/>
        <c:axId val="58477952"/>
        <c:axId val="58487936"/>
        <c:axId val="0"/>
      </c:bar3DChart>
      <c:catAx>
        <c:axId val="5847795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48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879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 rot="-534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</a:t>
                </a:r>
                <a:r>
                  <a:rPr lang="es-PE" sz="1025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s-PE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de Clientes</a:t>
                </a:r>
              </a:p>
            </c:rich>
          </c:tx>
          <c:layout>
            <c:manualLayout>
              <c:xMode val="edge"/>
              <c:yMode val="edge"/>
              <c:x val="2.372794015634777E-3"/>
              <c:y val="0.293578033515041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47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PORCENTAJE DE PÉRDIDAS DE ENERGÍA ELÉCTRICA EN  DISTRIBUCIÓN (%)</a:t>
            </a:r>
          </a:p>
        </c:rich>
      </c:tx>
      <c:layout>
        <c:manualLayout>
          <c:xMode val="edge"/>
          <c:yMode val="edge"/>
          <c:x val="0.22060337720400813"/>
          <c:y val="1.8660652855286293E-2"/>
        </c:manualLayout>
      </c:layout>
      <c:overlay val="0"/>
      <c:spPr>
        <a:solidFill>
          <a:srgbClr val="4B4B4B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50421219895429E-2"/>
          <c:y val="0.10195780139133094"/>
          <c:w val="0.91851444161362572"/>
          <c:h val="0.79464388553372578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5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31750"/>
              </a:sp3d>
            </c:spPr>
          </c:marker>
          <c:dLbls>
            <c:dLbl>
              <c:idx val="28"/>
              <c:layout>
                <c:manualLayout>
                  <c:x val="-2.059732234809495E-2"/>
                  <c:y val="-7.1197411003236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9A-474F-943E-5A85D09722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'10.15 Perd y MD'!$B$38:$B$67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'10.15 Perd y MD'!$C$38:$C$67</c:f>
              <c:numCache>
                <c:formatCode>0.00</c:formatCode>
                <c:ptCount val="30"/>
                <c:pt idx="0">
                  <c:v>19.7</c:v>
                </c:pt>
                <c:pt idx="1">
                  <c:v>17</c:v>
                </c:pt>
                <c:pt idx="2">
                  <c:v>14.5</c:v>
                </c:pt>
                <c:pt idx="3">
                  <c:v>12.4</c:v>
                </c:pt>
                <c:pt idx="4">
                  <c:v>11.3</c:v>
                </c:pt>
                <c:pt idx="5">
                  <c:v>10.4</c:v>
                </c:pt>
                <c:pt idx="6">
                  <c:v>9.6999999999999993</c:v>
                </c:pt>
                <c:pt idx="7">
                  <c:v>9.1</c:v>
                </c:pt>
                <c:pt idx="8">
                  <c:v>9.07</c:v>
                </c:pt>
                <c:pt idx="9">
                  <c:v>8.6999999999999993</c:v>
                </c:pt>
                <c:pt idx="10">
                  <c:v>8.4</c:v>
                </c:pt>
                <c:pt idx="11">
                  <c:v>8.5519999999999996</c:v>
                </c:pt>
                <c:pt idx="12">
                  <c:v>8.1739999999999995</c:v>
                </c:pt>
                <c:pt idx="13">
                  <c:v>8.0039999999999996</c:v>
                </c:pt>
                <c:pt idx="14">
                  <c:v>7.85</c:v>
                </c:pt>
                <c:pt idx="15">
                  <c:v>7.81</c:v>
                </c:pt>
                <c:pt idx="16">
                  <c:v>7.5990000000000002</c:v>
                </c:pt>
                <c:pt idx="17">
                  <c:v>7.7190000000000003</c:v>
                </c:pt>
                <c:pt idx="18">
                  <c:v>7.468</c:v>
                </c:pt>
                <c:pt idx="19">
                  <c:v>7.468</c:v>
                </c:pt>
                <c:pt idx="20">
                  <c:v>7.6669999999999998</c:v>
                </c:pt>
                <c:pt idx="21">
                  <c:v>8.0868298841374706</c:v>
                </c:pt>
                <c:pt idx="22">
                  <c:v>8.3132160624575295</c:v>
                </c:pt>
                <c:pt idx="23">
                  <c:v>8.3628766338051097</c:v>
                </c:pt>
                <c:pt idx="24">
                  <c:v>9.8285884259999996</c:v>
                </c:pt>
                <c:pt idx="25">
                  <c:v>9.5966758321755492</c:v>
                </c:pt>
                <c:pt idx="26">
                  <c:v>9.8759261542055405</c:v>
                </c:pt>
                <c:pt idx="27">
                  <c:v>9.7630849467818326</c:v>
                </c:pt>
                <c:pt idx="28">
                  <c:v>9.7311987508417896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23-45DD-A001-5DC2E0C4A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63968"/>
        <c:axId val="58569856"/>
      </c:lineChart>
      <c:catAx>
        <c:axId val="5856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s-PE"/>
          </a:p>
        </c:txPr>
        <c:crossAx val="58569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56985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(%)</a:t>
                </a:r>
              </a:p>
            </c:rich>
          </c:tx>
          <c:layout>
            <c:manualLayout>
              <c:xMode val="edge"/>
              <c:yMode val="edge"/>
              <c:x val="6.0127962892383043E-3"/>
              <c:y val="0.46440919399638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563968"/>
        <c:crosses val="autoZero"/>
        <c:crossBetween val="midCat"/>
        <c:majorUnit val="5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EVOLUCIÓN DE LA MÁXIMA DEMANDA</a:t>
            </a:r>
          </a:p>
        </c:rich>
      </c:tx>
      <c:layout>
        <c:manualLayout>
          <c:xMode val="edge"/>
          <c:yMode val="edge"/>
          <c:x val="0.34938170101330762"/>
          <c:y val="1.8456104201928031E-2"/>
        </c:manualLayout>
      </c:layout>
      <c:overlay val="0"/>
      <c:spPr>
        <a:solidFill>
          <a:srgbClr val="4B4B4B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327500729075512E-2"/>
          <c:y val="9.6894413548408817E-2"/>
          <c:w val="0.90024894615445794"/>
          <c:h val="0.77220064034358338"/>
        </c:manualLayout>
      </c:layout>
      <c:lineChart>
        <c:grouping val="standard"/>
        <c:varyColors val="0"/>
        <c:ser>
          <c:idx val="1"/>
          <c:order val="0"/>
          <c:tx>
            <c:strRef>
              <c:f>'10.15 Perd y MD'!$B$71:$D$71</c:f>
              <c:strCache>
                <c:ptCount val="1"/>
                <c:pt idx="0">
                  <c:v>Año Máxima Demanda (MW) </c:v>
                </c:pt>
              </c:strCache>
            </c:strRef>
          </c:tx>
          <c:spPr>
            <a:ln w="12700">
              <a:solidFill>
                <a:srgbClr val="92D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</c:spPr>
          </c:marker>
          <c:dLbls>
            <c:dLbl>
              <c:idx val="27"/>
              <c:layout>
                <c:manualLayout>
                  <c:x val="-2.2650056625141562E-2"/>
                  <c:y val="-3.11235605353252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7-4014-B0B9-30C71507BD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'10.15 Perd y MD'!$B$73:$B$101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1997*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'10.15 Perd y MD'!$T$73:$T$101</c:f>
              <c:numCache>
                <c:formatCode>#,##0</c:formatCode>
                <c:ptCount val="29"/>
                <c:pt idx="0">
                  <c:v>2052.1</c:v>
                </c:pt>
                <c:pt idx="1">
                  <c:v>2024.93</c:v>
                </c:pt>
                <c:pt idx="2">
                  <c:v>2400.9</c:v>
                </c:pt>
                <c:pt idx="3">
                  <c:v>2520.6</c:v>
                </c:pt>
                <c:pt idx="4">
                  <c:v>2580.3000000000002</c:v>
                </c:pt>
                <c:pt idx="5">
                  <c:v>2620.6999999999998</c:v>
                </c:pt>
                <c:pt idx="6">
                  <c:v>2792.22</c:v>
                </c:pt>
                <c:pt idx="7">
                  <c:v>2908.2</c:v>
                </c:pt>
                <c:pt idx="8">
                  <c:v>2964.7548999999999</c:v>
                </c:pt>
                <c:pt idx="9">
                  <c:v>3130.8466199999993</c:v>
                </c:pt>
                <c:pt idx="10">
                  <c:v>3305.0140500000002</c:v>
                </c:pt>
                <c:pt idx="11">
                  <c:v>3580</c:v>
                </c:pt>
                <c:pt idx="12">
                  <c:v>3965.6038100000005</c:v>
                </c:pt>
                <c:pt idx="13">
                  <c:v>4198.6589700000004</c:v>
                </c:pt>
                <c:pt idx="14">
                  <c:v>4322.3748300000007</c:v>
                </c:pt>
                <c:pt idx="15">
                  <c:v>4578.9431199999999</c:v>
                </c:pt>
                <c:pt idx="16">
                  <c:v>4961.1929899999996</c:v>
                </c:pt>
                <c:pt idx="17">
                  <c:v>5291</c:v>
                </c:pt>
                <c:pt idx="18">
                  <c:v>5575.2435699999996</c:v>
                </c:pt>
                <c:pt idx="19">
                  <c:v>5737.27</c:v>
                </c:pt>
                <c:pt idx="20">
                  <c:v>6275</c:v>
                </c:pt>
                <c:pt idx="21">
                  <c:v>6492.4099800000004</c:v>
                </c:pt>
                <c:pt idx="22">
                  <c:v>6559.0633399999997</c:v>
                </c:pt>
                <c:pt idx="23">
                  <c:v>6884.5910000000003</c:v>
                </c:pt>
                <c:pt idx="24">
                  <c:v>7017.5709999999999</c:v>
                </c:pt>
                <c:pt idx="25">
                  <c:v>7125.2993800000004</c:v>
                </c:pt>
                <c:pt idx="26">
                  <c:v>7173.03</c:v>
                </c:pt>
                <c:pt idx="27">
                  <c:v>7467.4497399999982</c:v>
                </c:pt>
                <c:pt idx="28">
                  <c:v>7605.5060000000003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D-4D9E-8820-B125B3F4E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62272"/>
        <c:axId val="58664064"/>
      </c:lineChart>
      <c:catAx>
        <c:axId val="5866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664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66406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4.9505533212651932E-3"/>
              <c:y val="0.45553756714990068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662272"/>
        <c:crosses val="autoZero"/>
        <c:crossBetween val="midCat"/>
        <c:majorUnit val="500"/>
        <c:minorUnit val="5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EVOLUCIÓN DE NÚMERO DE TRABAJADORES POR ACTIVIDAD</a:t>
            </a:r>
          </a:p>
        </c:rich>
      </c:tx>
      <c:overlay val="0"/>
      <c:spPr>
        <a:solidFill>
          <a:srgbClr val="008080"/>
        </a:solidFill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'10.15 Perd y MD'!$C$5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'10.15 Perd y MD'!$B$7:$B$28</c:f>
            </c:multiLvlStrRef>
          </c:cat>
          <c:val>
            <c:numRef>
              <c:f>'10.15 Perd y MD'!$C$7:$C$28</c:f>
            </c:numRef>
          </c:val>
          <c:smooth val="0"/>
          <c:extLst>
            <c:ext xmlns:c16="http://schemas.microsoft.com/office/drawing/2014/chart" uri="{C3380CC4-5D6E-409C-BE32-E72D297353CC}">
              <c16:uniqueId val="{00000000-FEFB-446B-920C-AE1A29A418AD}"/>
            </c:ext>
          </c:extLst>
        </c:ser>
        <c:ser>
          <c:idx val="1"/>
          <c:order val="1"/>
          <c:tx>
            <c:strRef>
              <c:f>'10.15 Perd y MD'!$D$5</c:f>
              <c:strCache>
                <c:ptCount val="1"/>
                <c:pt idx="0">
                  <c:v>Generadoras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'10.15 Perd y MD'!$B$7:$B$28</c:f>
            </c:multiLvlStrRef>
          </c:cat>
          <c:val>
            <c:numRef>
              <c:f>'10.15 Perd y MD'!$D$7:$D$28</c:f>
            </c:numRef>
          </c:val>
          <c:smooth val="0"/>
          <c:extLst>
            <c:ext xmlns:c16="http://schemas.microsoft.com/office/drawing/2014/chart" uri="{C3380CC4-5D6E-409C-BE32-E72D297353CC}">
              <c16:uniqueId val="{00000001-FEFB-446B-920C-AE1A29A418AD}"/>
            </c:ext>
          </c:extLst>
        </c:ser>
        <c:ser>
          <c:idx val="2"/>
          <c:order val="2"/>
          <c:tx>
            <c:strRef>
              <c:f>'10.15 Perd y MD'!$E$5</c:f>
              <c:strCache>
                <c:ptCount val="1"/>
                <c:pt idx="0">
                  <c:v>Transmisoras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'10.15 Perd y MD'!$B$7:$B$28</c:f>
            </c:multiLvlStrRef>
          </c:cat>
          <c:val>
            <c:numRef>
              <c:f>'10.15 Perd y MD'!$E$7:$E$28</c:f>
            </c:numRef>
          </c:val>
          <c:smooth val="0"/>
          <c:extLst>
            <c:ext xmlns:c16="http://schemas.microsoft.com/office/drawing/2014/chart" uri="{C3380CC4-5D6E-409C-BE32-E72D297353CC}">
              <c16:uniqueId val="{00000002-FEFB-446B-920C-AE1A29A418AD}"/>
            </c:ext>
          </c:extLst>
        </c:ser>
        <c:ser>
          <c:idx val="3"/>
          <c:order val="3"/>
          <c:tx>
            <c:strRef>
              <c:f>'10.15 Perd y MD'!$F$5</c:f>
              <c:strCache>
                <c:ptCount val="1"/>
                <c:pt idx="0">
                  <c:v>Distribuidoras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multiLvlStrRef>
              <c:f>'10.15 Perd y MD'!$B$7:$B$28</c:f>
            </c:multiLvlStrRef>
          </c:cat>
          <c:val>
            <c:numRef>
              <c:f>'10.15 Perd y MD'!$F$7:$F$28</c:f>
            </c:numRef>
          </c:val>
          <c:smooth val="0"/>
          <c:extLst>
            <c:ext xmlns:c16="http://schemas.microsoft.com/office/drawing/2014/chart" uri="{C3380CC4-5D6E-409C-BE32-E72D297353CC}">
              <c16:uniqueId val="{00000003-FEFB-446B-920C-AE1A29A4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87872"/>
        <c:axId val="58689792"/>
      </c:lineChart>
      <c:catAx>
        <c:axId val="586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68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6897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\ ##0" sourceLinked="0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8687872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EVOLUCIÓN DE LAS INVERSIONES EJECUTADAS EN EL SECTOR ELÉCTRICO POR EMPRESA ESTATAL* Y PRIVADA  1995 - 2022  </a:t>
            </a:r>
          </a:p>
        </c:rich>
      </c:tx>
      <c:layout>
        <c:manualLayout>
          <c:xMode val="edge"/>
          <c:yMode val="edge"/>
          <c:x val="0.23529044091163484"/>
          <c:y val="3.3878760979512215E-2"/>
        </c:manualLayout>
      </c:layout>
      <c:overlay val="0"/>
      <c:spPr>
        <a:solidFill>
          <a:srgbClr val="4B4B4B"/>
        </a:solidFill>
        <a:scene3d>
          <a:camera prst="orthographicFront"/>
          <a:lightRig rig="soft" dir="t"/>
        </a:scene3d>
        <a:sp3d prstMaterial="plastic">
          <a:bevelT w="4445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5.7842198571883531E-2"/>
          <c:y val="0.14529994135931326"/>
          <c:w val="0.92951910775834923"/>
          <c:h val="0.69444294278549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'10.17.1Inversiones'!$T$7</c:f>
              <c:strCache>
                <c:ptCount val="1"/>
                <c:pt idx="0">
                  <c:v>Estatal (*)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'10.17.1Inversiones'!$R$9:$R$37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'10.17.1Inversiones'!$T$9:$T$37</c:f>
              <c:numCache>
                <c:formatCode>#\ ##0.00</c:formatCode>
                <c:ptCount val="29"/>
                <c:pt idx="0">
                  <c:v>154.712999</c:v>
                </c:pt>
                <c:pt idx="1">
                  <c:v>176.97620699999999</c:v>
                </c:pt>
                <c:pt idx="2">
                  <c:v>207.88996599999999</c:v>
                </c:pt>
                <c:pt idx="3">
                  <c:v>202.79134299999998</c:v>
                </c:pt>
                <c:pt idx="4">
                  <c:v>201.72455901183432</c:v>
                </c:pt>
                <c:pt idx="5">
                  <c:v>165.994</c:v>
                </c:pt>
                <c:pt idx="6">
                  <c:v>95.058679999999995</c:v>
                </c:pt>
                <c:pt idx="7">
                  <c:v>109.85599999999999</c:v>
                </c:pt>
                <c:pt idx="8">
                  <c:v>110.83199999999999</c:v>
                </c:pt>
                <c:pt idx="9">
                  <c:v>116.143</c:v>
                </c:pt>
                <c:pt idx="10">
                  <c:v>117.43026999999999</c:v>
                </c:pt>
                <c:pt idx="11">
                  <c:v>95.745000000000005</c:v>
                </c:pt>
                <c:pt idx="12">
                  <c:v>139.72556</c:v>
                </c:pt>
                <c:pt idx="13">
                  <c:v>128.88</c:v>
                </c:pt>
                <c:pt idx="14">
                  <c:v>250.28899999999999</c:v>
                </c:pt>
                <c:pt idx="15">
                  <c:v>165.61058222614841</c:v>
                </c:pt>
                <c:pt idx="16">
                  <c:v>107</c:v>
                </c:pt>
                <c:pt idx="17">
                  <c:v>121.623</c:v>
                </c:pt>
                <c:pt idx="18">
                  <c:v>209.3229</c:v>
                </c:pt>
                <c:pt idx="19">
                  <c:v>178.33149350396769</c:v>
                </c:pt>
                <c:pt idx="20">
                  <c:v>122.07089438088975</c:v>
                </c:pt>
                <c:pt idx="21">
                  <c:v>127</c:v>
                </c:pt>
                <c:pt idx="22">
                  <c:v>52</c:v>
                </c:pt>
                <c:pt idx="23">
                  <c:v>78.454342463223497</c:v>
                </c:pt>
                <c:pt idx="24">
                  <c:v>170.00447599202266</c:v>
                </c:pt>
                <c:pt idx="25">
                  <c:v>174.2730185157626</c:v>
                </c:pt>
                <c:pt idx="26">
                  <c:v>135.66263258426929</c:v>
                </c:pt>
                <c:pt idx="27">
                  <c:v>161.280893828318</c:v>
                </c:pt>
                <c:pt idx="28">
                  <c:v>177.88548039451314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2-4138-8899-CC90ABA8F816}"/>
            </c:ext>
          </c:extLst>
        </c:ser>
        <c:ser>
          <c:idx val="1"/>
          <c:order val="1"/>
          <c:tx>
            <c:strRef>
              <c:f>'10.17.1Inversiones'!$U$7</c:f>
              <c:strCache>
                <c:ptCount val="1"/>
                <c:pt idx="0">
                  <c:v>Privada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'10.17.1Inversiones'!$R$9:$R$37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'10.17.1Inversiones'!$U$9:$U$37</c:f>
              <c:numCache>
                <c:formatCode>#\ ##0.00</c:formatCode>
                <c:ptCount val="29"/>
                <c:pt idx="0">
                  <c:v>66.165630000000007</c:v>
                </c:pt>
                <c:pt idx="1">
                  <c:v>195.92117000000002</c:v>
                </c:pt>
                <c:pt idx="2">
                  <c:v>339.73591500000003</c:v>
                </c:pt>
                <c:pt idx="3">
                  <c:v>358.72008800000003</c:v>
                </c:pt>
                <c:pt idx="4">
                  <c:v>507.81466899999998</c:v>
                </c:pt>
                <c:pt idx="5">
                  <c:v>439.80900000000003</c:v>
                </c:pt>
                <c:pt idx="6">
                  <c:v>210.83829</c:v>
                </c:pt>
                <c:pt idx="7">
                  <c:v>132.34300000000002</c:v>
                </c:pt>
                <c:pt idx="8">
                  <c:v>81.125</c:v>
                </c:pt>
                <c:pt idx="9">
                  <c:v>168.55199999999999</c:v>
                </c:pt>
                <c:pt idx="10">
                  <c:v>231.06162000000003</c:v>
                </c:pt>
                <c:pt idx="11">
                  <c:v>350.459</c:v>
                </c:pt>
                <c:pt idx="12">
                  <c:v>399.34757000000002</c:v>
                </c:pt>
                <c:pt idx="13">
                  <c:v>633.64</c:v>
                </c:pt>
                <c:pt idx="14">
                  <c:v>741.83071999999993</c:v>
                </c:pt>
                <c:pt idx="15">
                  <c:v>978.75120000000004</c:v>
                </c:pt>
                <c:pt idx="16">
                  <c:v>1641.7</c:v>
                </c:pt>
                <c:pt idx="17">
                  <c:v>2467.42086045</c:v>
                </c:pt>
                <c:pt idx="18">
                  <c:v>2230.2925</c:v>
                </c:pt>
                <c:pt idx="19">
                  <c:v>2488.2811065848164</c:v>
                </c:pt>
                <c:pt idx="20">
                  <c:v>2364.2373654698185</c:v>
                </c:pt>
                <c:pt idx="21">
                  <c:v>1601.9</c:v>
                </c:pt>
                <c:pt idx="22">
                  <c:v>1365.25</c:v>
                </c:pt>
                <c:pt idx="23">
                  <c:v>580.74200391718</c:v>
                </c:pt>
                <c:pt idx="24">
                  <c:v>448.37901411371558</c:v>
                </c:pt>
                <c:pt idx="25">
                  <c:v>243.05274221103721</c:v>
                </c:pt>
                <c:pt idx="26">
                  <c:v>976.28252589129215</c:v>
                </c:pt>
                <c:pt idx="27">
                  <c:v>975.22183798624508</c:v>
                </c:pt>
                <c:pt idx="28">
                  <c:v>881.57588472381508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2-4138-8899-CC90ABA8F816}"/>
            </c:ext>
          </c:extLst>
        </c:ser>
        <c:ser>
          <c:idx val="2"/>
          <c:order val="2"/>
          <c:tx>
            <c:strRef>
              <c:f>'10.17.1Inversiones'!$S$7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'10.17.1Inversiones'!$R$9:$R$37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'10.17.1Inversiones'!$S$9:$S$37</c:f>
              <c:numCache>
                <c:formatCode>#,##0.0</c:formatCode>
                <c:ptCount val="29"/>
                <c:pt idx="0">
                  <c:v>220.87862899999999</c:v>
                </c:pt>
                <c:pt idx="1">
                  <c:v>372.89737700000001</c:v>
                </c:pt>
                <c:pt idx="2">
                  <c:v>547.62588100000005</c:v>
                </c:pt>
                <c:pt idx="3">
                  <c:v>561.51143100000002</c:v>
                </c:pt>
                <c:pt idx="4">
                  <c:v>709.53922801183433</c:v>
                </c:pt>
                <c:pt idx="5">
                  <c:v>605.803</c:v>
                </c:pt>
                <c:pt idx="6">
                  <c:v>305.89697000000001</c:v>
                </c:pt>
                <c:pt idx="7">
                  <c:v>242.19900000000001</c:v>
                </c:pt>
                <c:pt idx="8">
                  <c:v>191.95699999999999</c:v>
                </c:pt>
                <c:pt idx="9">
                  <c:v>284.69499999999999</c:v>
                </c:pt>
                <c:pt idx="10">
                  <c:v>348.49189000000001</c:v>
                </c:pt>
                <c:pt idx="11">
                  <c:v>446.20400000000001</c:v>
                </c:pt>
                <c:pt idx="12">
                  <c:v>539.07312999999999</c:v>
                </c:pt>
                <c:pt idx="13">
                  <c:v>762.52</c:v>
                </c:pt>
                <c:pt idx="14">
                  <c:v>992.11971999999992</c:v>
                </c:pt>
                <c:pt idx="15">
                  <c:v>1144.3617822261485</c:v>
                </c:pt>
                <c:pt idx="16">
                  <c:v>1748.7</c:v>
                </c:pt>
                <c:pt idx="17">
                  <c:v>2589.04386045</c:v>
                </c:pt>
                <c:pt idx="18">
                  <c:v>2439.6154000000001</c:v>
                </c:pt>
                <c:pt idx="19">
                  <c:v>2666.6126000887839</c:v>
                </c:pt>
                <c:pt idx="20">
                  <c:v>2486.3082598507085</c:v>
                </c:pt>
                <c:pt idx="21">
                  <c:v>1728.9</c:v>
                </c:pt>
                <c:pt idx="22">
                  <c:v>1417.25</c:v>
                </c:pt>
                <c:pt idx="23">
                  <c:v>659.1963463804035</c:v>
                </c:pt>
                <c:pt idx="24">
                  <c:v>618.38349010573825</c:v>
                </c:pt>
                <c:pt idx="25">
                  <c:v>417.32576072679979</c:v>
                </c:pt>
                <c:pt idx="26">
                  <c:v>1111.9451584755614</c:v>
                </c:pt>
                <c:pt idx="27">
                  <c:v>1136.502731814563</c:v>
                </c:pt>
                <c:pt idx="28">
                  <c:v>1059.4613651183281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2-4138-8899-CC90ABA8F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13600"/>
        <c:axId val="58715136"/>
      </c:barChart>
      <c:catAx>
        <c:axId val="5871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71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715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millones US $</a:t>
                </a:r>
              </a:p>
            </c:rich>
          </c:tx>
          <c:layout>
            <c:manualLayout>
              <c:xMode val="edge"/>
              <c:yMode val="edge"/>
              <c:x val="8.8981734426053886E-3"/>
              <c:y val="0.40961583351141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713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607010330605229"/>
          <c:y val="0.92006180855785513"/>
          <c:w val="0.30717712010136661"/>
          <c:h val="5.9770409700875105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 sz="1000">
                <a:solidFill>
                  <a:schemeClr val="bg1"/>
                </a:solidFill>
              </a:rPr>
              <a:t>EVOLUCIÓN DE LAS INVERSIONES  EJECUTADAS EN EL SECTOR ELÉCTRICO 1995-2022  </a:t>
            </a:r>
          </a:p>
        </c:rich>
      </c:tx>
      <c:layout>
        <c:manualLayout>
          <c:xMode val="edge"/>
          <c:yMode val="edge"/>
          <c:x val="0.290555892995844"/>
          <c:y val="2.658865677796822E-2"/>
        </c:manualLayout>
      </c:layout>
      <c:overlay val="0"/>
      <c:spPr>
        <a:solidFill>
          <a:srgbClr val="4B4B4B"/>
        </a:solidFill>
      </c:spPr>
    </c:title>
    <c:autoTitleDeleted val="0"/>
    <c:plotArea>
      <c:layout>
        <c:manualLayout>
          <c:layoutTarget val="inner"/>
          <c:xMode val="edge"/>
          <c:yMode val="edge"/>
          <c:x val="7.446898939713556E-2"/>
          <c:y val="0.14988730010619394"/>
          <c:w val="0.87673507726313882"/>
          <c:h val="0.70121945099247263"/>
        </c:manualLayout>
      </c:layout>
      <c:lineChart>
        <c:grouping val="standard"/>
        <c:varyColors val="0"/>
        <c:ser>
          <c:idx val="0"/>
          <c:order val="0"/>
          <c:tx>
            <c:strRef>
              <c:f>'10.17.1Inversiones'!$S$103</c:f>
              <c:strCache>
                <c:ptCount val="1"/>
                <c:pt idx="0">
                  <c:v>Generadoras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1.5453773761031219E-3"/>
                  <c:y val="-1.4862521218478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5E-42F1-9B02-BCE0B6CC21BB}"/>
                </c:ext>
              </c:extLst>
            </c:dLbl>
            <c:dLbl>
              <c:idx val="2"/>
              <c:layout>
                <c:manualLayout>
                  <c:x val="7.8950494145545093E-4"/>
                  <c:y val="1.5857844454474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E-42F1-9B02-BCE0B6CC21BB}"/>
                </c:ext>
              </c:extLst>
            </c:dLbl>
            <c:dLbl>
              <c:idx val="3"/>
              <c:layout>
                <c:manualLayout>
                  <c:x val="-1.8106963463702167E-2"/>
                  <c:y val="-3.1186356195215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E-42F1-9B02-BCE0B6CC21BB}"/>
                </c:ext>
              </c:extLst>
            </c:dLbl>
            <c:dLbl>
              <c:idx val="6"/>
              <c:layout>
                <c:manualLayout>
                  <c:x val="-6.5239372759786926E-3"/>
                  <c:y val="1.2697161340953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E-42F1-9B02-BCE0B6CC21BB}"/>
                </c:ext>
              </c:extLst>
            </c:dLbl>
            <c:dLbl>
              <c:idx val="7"/>
              <c:layout>
                <c:manualLayout>
                  <c:x val="-7.524876118079454E-3"/>
                  <c:y val="-2.5470707652608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5E-42F1-9B02-BCE0B6CC21BB}"/>
                </c:ext>
              </c:extLst>
            </c:dLbl>
            <c:dLbl>
              <c:idx val="9"/>
              <c:layout>
                <c:manualLayout>
                  <c:x val="-1.9618625402421253E-2"/>
                  <c:y val="-5.7365172491346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5E-42F1-9B02-BCE0B6CC21BB}"/>
                </c:ext>
              </c:extLst>
            </c:dLbl>
            <c:dLbl>
              <c:idx val="12"/>
              <c:layout>
                <c:manualLayout>
                  <c:x val="-1.2060061802960324E-2"/>
                  <c:y val="-3.1023662215017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5E-42F1-9B02-BCE0B6CC21BB}"/>
                </c:ext>
              </c:extLst>
            </c:dLbl>
            <c:dLbl>
              <c:idx val="13"/>
              <c:layout>
                <c:manualLayout>
                  <c:x val="-1.465319472876964E-2"/>
                  <c:y val="-3.9678541047164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5E-42F1-9B02-BCE0B6CC21BB}"/>
                </c:ext>
              </c:extLst>
            </c:dLbl>
            <c:dLbl>
              <c:idx val="17"/>
              <c:layout>
                <c:manualLayout>
                  <c:x val="-2.5348542458808626E-3"/>
                  <c:y val="-2.14621059691482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5E-42F1-9B02-BCE0B6CC21BB}"/>
                </c:ext>
              </c:extLst>
            </c:dLbl>
            <c:dLbl>
              <c:idx val="18"/>
              <c:layout>
                <c:manualLayout>
                  <c:x val="-1.4211886304909559E-2"/>
                  <c:y val="-2.9510395707578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E-42F1-9B02-BCE0B6CC21B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'10.17.1Inversiones'!$R$104:$R$132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'10.17.1Inversiones'!$S$104:$S$132</c:f>
              <c:numCache>
                <c:formatCode>#,##0</c:formatCode>
                <c:ptCount val="29"/>
                <c:pt idx="0">
                  <c:v>46.066738999999991</c:v>
                </c:pt>
                <c:pt idx="1">
                  <c:v>163.01889699999998</c:v>
                </c:pt>
                <c:pt idx="2">
                  <c:v>343.44413100000003</c:v>
                </c:pt>
                <c:pt idx="3">
                  <c:v>365.36324100000002</c:v>
                </c:pt>
                <c:pt idx="4">
                  <c:v>417.232328</c:v>
                </c:pt>
                <c:pt idx="5">
                  <c:v>337.65800000000002</c:v>
                </c:pt>
                <c:pt idx="6">
                  <c:v>109.77217999999999</c:v>
                </c:pt>
                <c:pt idx="7">
                  <c:v>107.84</c:v>
                </c:pt>
                <c:pt idx="8">
                  <c:v>87.165000000000006</c:v>
                </c:pt>
                <c:pt idx="9">
                  <c:v>159.566</c:v>
                </c:pt>
                <c:pt idx="10">
                  <c:v>193.49135000000001</c:v>
                </c:pt>
                <c:pt idx="11">
                  <c:v>289.57499999999999</c:v>
                </c:pt>
                <c:pt idx="12">
                  <c:v>318.03030000000001</c:v>
                </c:pt>
                <c:pt idx="13">
                  <c:v>483.51</c:v>
                </c:pt>
                <c:pt idx="14">
                  <c:v>448.38329999999996</c:v>
                </c:pt>
                <c:pt idx="15">
                  <c:v>558.63338222614846</c:v>
                </c:pt>
                <c:pt idx="16">
                  <c:v>1240.8</c:v>
                </c:pt>
                <c:pt idx="17">
                  <c:v>1781.40966045</c:v>
                </c:pt>
                <c:pt idx="18">
                  <c:v>1829.8335</c:v>
                </c:pt>
                <c:pt idx="19">
                  <c:v>2021.3049047048166</c:v>
                </c:pt>
                <c:pt idx="20">
                  <c:v>1773.8894952016162</c:v>
                </c:pt>
                <c:pt idx="21">
                  <c:v>965.9</c:v>
                </c:pt>
                <c:pt idx="22">
                  <c:v>855.91</c:v>
                </c:pt>
                <c:pt idx="23">
                  <c:v>270.7029896800878</c:v>
                </c:pt>
                <c:pt idx="24">
                  <c:v>197.33050129443214</c:v>
                </c:pt>
                <c:pt idx="25">
                  <c:v>211.5453484929939</c:v>
                </c:pt>
                <c:pt idx="26">
                  <c:v>203.8835508769663</c:v>
                </c:pt>
                <c:pt idx="27">
                  <c:v>602.25133748775704</c:v>
                </c:pt>
                <c:pt idx="28">
                  <c:v>380.82791096872825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85E-42F1-9B02-BCE0B6CC21BB}"/>
            </c:ext>
          </c:extLst>
        </c:ser>
        <c:ser>
          <c:idx val="1"/>
          <c:order val="1"/>
          <c:tx>
            <c:strRef>
              <c:f>'10.17.1Inversiones'!$T$103</c:f>
              <c:strCache>
                <c:ptCount val="1"/>
                <c:pt idx="0">
                  <c:v>Transmisoras</c:v>
                </c:pt>
              </c:strCache>
            </c:strRef>
          </c:tx>
          <c:spPr>
            <a:ln w="31750">
              <a:solidFill>
                <a:srgbClr val="FF00FF"/>
              </a:solidFill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7.2219799383570031E-4"/>
                  <c:y val="-3.139245248901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5E-42F1-9B02-BCE0B6CC21BB}"/>
                </c:ext>
              </c:extLst>
            </c:dLbl>
            <c:dLbl>
              <c:idx val="1"/>
              <c:layout>
                <c:manualLayout>
                  <c:x val="-1.5083515659115683E-2"/>
                  <c:y val="-2.7829333747506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5E-42F1-9B02-BCE0B6CC21BB}"/>
                </c:ext>
              </c:extLst>
            </c:dLbl>
            <c:dLbl>
              <c:idx val="2"/>
              <c:layout>
                <c:manualLayout>
                  <c:x val="-5.2573627117147503E-3"/>
                  <c:y val="-1.5669693241501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5E-42F1-9B02-BCE0B6CC21BB}"/>
                </c:ext>
              </c:extLst>
            </c:dLbl>
            <c:dLbl>
              <c:idx val="3"/>
              <c:layout>
                <c:manualLayout>
                  <c:x val="-1.7391847217580698E-2"/>
                  <c:y val="-2.493697845683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5E-42F1-9B02-BCE0B6CC21BB}"/>
                </c:ext>
              </c:extLst>
            </c:dLbl>
            <c:dLbl>
              <c:idx val="4"/>
              <c:layout>
                <c:manualLayout>
                  <c:x val="-5.2573766897161464E-3"/>
                  <c:y val="1.4874285842704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5E-42F1-9B02-BCE0B6CC21BB}"/>
                </c:ext>
              </c:extLst>
            </c:dLbl>
            <c:dLbl>
              <c:idx val="5"/>
              <c:layout>
                <c:manualLayout>
                  <c:x val="-9.0366759619482217E-3"/>
                  <c:y val="-1.85694979131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5E-42F1-9B02-BCE0B6CC21BB}"/>
                </c:ext>
              </c:extLst>
            </c:dLbl>
            <c:dLbl>
              <c:idx val="6"/>
              <c:layout>
                <c:manualLayout>
                  <c:x val="-6.258460090711025E-3"/>
                  <c:y val="-1.53137774222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85E-42F1-9B02-BCE0B6CC21BB}"/>
                </c:ext>
              </c:extLst>
            </c:dLbl>
            <c:dLbl>
              <c:idx val="7"/>
              <c:layout>
                <c:manualLayout>
                  <c:x val="-8.0559660213137731E-3"/>
                  <c:y val="-1.199853399859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5E-42F1-9B02-BCE0B6CC21BB}"/>
                </c:ext>
              </c:extLst>
            </c:dLbl>
            <c:dLbl>
              <c:idx val="8"/>
              <c:layout>
                <c:manualLayout>
                  <c:x val="-2.9897597810441519E-3"/>
                  <c:y val="-1.4286147938468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85E-42F1-9B02-BCE0B6CC21BB}"/>
                </c:ext>
              </c:extLst>
            </c:dLbl>
            <c:dLbl>
              <c:idx val="9"/>
              <c:layout>
                <c:manualLayout>
                  <c:x val="-1.20600408359585E-2"/>
                  <c:y val="-3.8420615102675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85E-42F1-9B02-BCE0B6CC21BB}"/>
                </c:ext>
              </c:extLst>
            </c:dLbl>
            <c:dLbl>
              <c:idx val="12"/>
              <c:layout>
                <c:manualLayout>
                  <c:x val="-1.2570773554842233E-2"/>
                  <c:y val="2.1160596346513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5E-42F1-9B02-BCE0B6CC21BB}"/>
                </c:ext>
              </c:extLst>
            </c:dLbl>
            <c:dLbl>
              <c:idx val="13"/>
              <c:layout>
                <c:manualLayout>
                  <c:x val="-1.5430498225743447E-2"/>
                  <c:y val="-3.8655932625020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85E-42F1-9B02-BCE0B6CC21BB}"/>
                </c:ext>
              </c:extLst>
            </c:dLbl>
            <c:dLbl>
              <c:idx val="22"/>
              <c:layout>
                <c:manualLayout>
                  <c:x val="0"/>
                  <c:y val="1.483836777954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85E-42F1-9B02-BCE0B6CC21B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00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'10.17.1Inversiones'!$R$104:$R$132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'10.17.1Inversiones'!$T$104:$T$132</c:f>
              <c:numCache>
                <c:formatCode>#,##0</c:formatCode>
                <c:ptCount val="29"/>
                <c:pt idx="0">
                  <c:v>11.412649999999999</c:v>
                </c:pt>
                <c:pt idx="1">
                  <c:v>16.600999999999999</c:v>
                </c:pt>
                <c:pt idx="2">
                  <c:v>32.720779999999998</c:v>
                </c:pt>
                <c:pt idx="3">
                  <c:v>59.643269999999994</c:v>
                </c:pt>
                <c:pt idx="4">
                  <c:v>170.80662000000001</c:v>
                </c:pt>
                <c:pt idx="5">
                  <c:v>128.93899999999999</c:v>
                </c:pt>
                <c:pt idx="6">
                  <c:v>61.743000000000002</c:v>
                </c:pt>
                <c:pt idx="7">
                  <c:v>37.657000000000004</c:v>
                </c:pt>
                <c:pt idx="8">
                  <c:v>12.826000000000001</c:v>
                </c:pt>
                <c:pt idx="9">
                  <c:v>24.366</c:v>
                </c:pt>
                <c:pt idx="10">
                  <c:v>20.633900000000001</c:v>
                </c:pt>
                <c:pt idx="11">
                  <c:v>16.542999999999999</c:v>
                </c:pt>
                <c:pt idx="12">
                  <c:v>69.635899999999992</c:v>
                </c:pt>
                <c:pt idx="13">
                  <c:v>43.1</c:v>
                </c:pt>
                <c:pt idx="14">
                  <c:v>254.363</c:v>
                </c:pt>
                <c:pt idx="15">
                  <c:v>332.55720000000002</c:v>
                </c:pt>
                <c:pt idx="16">
                  <c:v>278.5</c:v>
                </c:pt>
                <c:pt idx="17">
                  <c:v>470.27</c:v>
                </c:pt>
                <c:pt idx="18">
                  <c:v>188.4134</c:v>
                </c:pt>
                <c:pt idx="19">
                  <c:v>244.01244188000001</c:v>
                </c:pt>
                <c:pt idx="20">
                  <c:v>354.97169140999995</c:v>
                </c:pt>
                <c:pt idx="21">
                  <c:v>398.3</c:v>
                </c:pt>
                <c:pt idx="22">
                  <c:v>269</c:v>
                </c:pt>
                <c:pt idx="23">
                  <c:v>81.554137765000007</c:v>
                </c:pt>
                <c:pt idx="24">
                  <c:v>152.23425350425475</c:v>
                </c:pt>
                <c:pt idx="25">
                  <c:v>7.0730336626471999</c:v>
                </c:pt>
                <c:pt idx="26">
                  <c:v>506.98487</c:v>
                </c:pt>
                <c:pt idx="27">
                  <c:v>157.39741952</c:v>
                </c:pt>
                <c:pt idx="28">
                  <c:v>243.04454286608248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85E-42F1-9B02-BCE0B6CC21BB}"/>
            </c:ext>
          </c:extLst>
        </c:ser>
        <c:ser>
          <c:idx val="2"/>
          <c:order val="2"/>
          <c:tx>
            <c:strRef>
              <c:f>'10.17.1Inversiones'!$U$103</c:f>
              <c:strCache>
                <c:ptCount val="1"/>
                <c:pt idx="0">
                  <c:v>Distribuidoras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6.0132071903596556E-3"/>
                  <c:y val="-1.7123999881462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85E-42F1-9B02-BCE0B6CC21BB}"/>
                </c:ext>
              </c:extLst>
            </c:dLbl>
            <c:dLbl>
              <c:idx val="2"/>
              <c:layout>
                <c:manualLayout>
                  <c:x val="-2.2339288851296506E-3"/>
                  <c:y val="1.5145354449116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85E-42F1-9B02-BCE0B6CC21BB}"/>
                </c:ext>
              </c:extLst>
            </c:dLbl>
            <c:dLbl>
              <c:idx val="3"/>
              <c:layout>
                <c:manualLayout>
                  <c:x val="-9.792520440593094E-3"/>
                  <c:y val="-1.4611711970812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85E-42F1-9B02-BCE0B6CC21BB}"/>
                </c:ext>
              </c:extLst>
            </c:dLbl>
            <c:dLbl>
              <c:idx val="5"/>
              <c:layout>
                <c:manualLayout>
                  <c:x val="-4.5015252220705132E-3"/>
                  <c:y val="1.8230476590165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85E-42F1-9B02-BCE0B6CC21BB}"/>
                </c:ext>
              </c:extLst>
            </c:dLbl>
            <c:dLbl>
              <c:idx val="6"/>
              <c:layout>
                <c:manualLayout>
                  <c:x val="-1.1406844106463837E-2"/>
                  <c:y val="-2.6809651474530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85E-42F1-9B02-BCE0B6CC21BB}"/>
                </c:ext>
              </c:extLst>
            </c:dLbl>
            <c:dLbl>
              <c:idx val="7"/>
              <c:layout>
                <c:manualLayout>
                  <c:x val="-3.7996546802022144E-3"/>
                  <c:y val="1.4173430108472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85E-42F1-9B02-BCE0B6CC21BB}"/>
                </c:ext>
              </c:extLst>
            </c:dLbl>
            <c:dLbl>
              <c:idx val="8"/>
              <c:layout>
                <c:manualLayout>
                  <c:x val="-1.8998273401011071E-2"/>
                  <c:y val="-1.984280215186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85E-42F1-9B02-BCE0B6CC21BB}"/>
                </c:ext>
              </c:extLst>
            </c:dLbl>
            <c:dLbl>
              <c:idx val="9"/>
              <c:layout>
                <c:manualLayout>
                  <c:x val="-1.4780224429104373E-3"/>
                  <c:y val="1.0760257142197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85E-42F1-9B02-BCE0B6CC21BB}"/>
                </c:ext>
              </c:extLst>
            </c:dLbl>
            <c:dLbl>
              <c:idx val="12"/>
              <c:layout>
                <c:manualLayout>
                  <c:x val="-5.2573356931440779E-3"/>
                  <c:y val="1.8280155920119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85E-42F1-9B02-BCE0B6CC21BB}"/>
                </c:ext>
              </c:extLst>
            </c:dLbl>
            <c:dLbl>
              <c:idx val="13"/>
              <c:layout>
                <c:manualLayout>
                  <c:x val="-1.0766677243900749E-2"/>
                  <c:y val="-2.922281156173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85E-42F1-9B02-BCE0B6CC21BB}"/>
                </c:ext>
              </c:extLst>
            </c:dLbl>
            <c:dLbl>
              <c:idx val="17"/>
              <c:layout>
                <c:manualLayout>
                  <c:x val="-1.0139416983523438E-2"/>
                  <c:y val="2.682763246143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85E-42F1-9B02-BCE0B6CC21BB}"/>
                </c:ext>
              </c:extLst>
            </c:dLbl>
            <c:dLbl>
              <c:idx val="18"/>
              <c:layout>
                <c:manualLayout>
                  <c:x val="-1.5209125475285178E-2"/>
                  <c:y val="2.9510184466378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85E-42F1-9B02-BCE0B6CC21BB}"/>
                </c:ext>
              </c:extLst>
            </c:dLbl>
            <c:dLbl>
              <c:idx val="22"/>
              <c:layout>
                <c:manualLayout>
                  <c:x val="-2.0012507028999145E-3"/>
                  <c:y val="-1.2718600953895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85E-42F1-9B02-BCE0B6CC21B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9999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'10.17.1Inversiones'!$R$104:$R$132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'10.17.1Inversiones'!$U$104:$U$132</c:f>
              <c:numCache>
                <c:formatCode>#,##0</c:formatCode>
                <c:ptCount val="29"/>
                <c:pt idx="0">
                  <c:v>163.39924000000002</c:v>
                </c:pt>
                <c:pt idx="1">
                  <c:v>193.27748000000003</c:v>
                </c:pt>
                <c:pt idx="2">
                  <c:v>171.46097</c:v>
                </c:pt>
                <c:pt idx="3">
                  <c:v>136.50492</c:v>
                </c:pt>
                <c:pt idx="4">
                  <c:v>121.50028001183432</c:v>
                </c:pt>
                <c:pt idx="5">
                  <c:v>139.20599999999999</c:v>
                </c:pt>
                <c:pt idx="6">
                  <c:v>134.38179</c:v>
                </c:pt>
                <c:pt idx="7">
                  <c:v>96.701999999999998</c:v>
                </c:pt>
                <c:pt idx="8">
                  <c:v>91.965999999999994</c:v>
                </c:pt>
                <c:pt idx="9">
                  <c:v>100.76300000000001</c:v>
                </c:pt>
                <c:pt idx="10">
                  <c:v>134.36663999999999</c:v>
                </c:pt>
                <c:pt idx="11">
                  <c:v>140.08600000000001</c:v>
                </c:pt>
                <c:pt idx="12">
                  <c:v>151.40692999999999</c:v>
                </c:pt>
                <c:pt idx="13">
                  <c:v>235.91</c:v>
                </c:pt>
                <c:pt idx="14">
                  <c:v>289.37342000000001</c:v>
                </c:pt>
                <c:pt idx="15">
                  <c:v>253.1712</c:v>
                </c:pt>
                <c:pt idx="16">
                  <c:v>229.4</c:v>
                </c:pt>
                <c:pt idx="17">
                  <c:v>337.36420000000004</c:v>
                </c:pt>
                <c:pt idx="18">
                  <c:v>421.36850000000004</c:v>
                </c:pt>
                <c:pt idx="19">
                  <c:v>401.29525350396761</c:v>
                </c:pt>
                <c:pt idx="20">
                  <c:v>357.44707323909199</c:v>
                </c:pt>
                <c:pt idx="21">
                  <c:v>364.7</c:v>
                </c:pt>
                <c:pt idx="22">
                  <c:v>292.34000000000003</c:v>
                </c:pt>
                <c:pt idx="23">
                  <c:v>306.93921893531569</c:v>
                </c:pt>
                <c:pt idx="24">
                  <c:v>268.81873530705138</c:v>
                </c:pt>
                <c:pt idx="25">
                  <c:v>198.7073785711587</c:v>
                </c:pt>
                <c:pt idx="26">
                  <c:v>401.07673759859517</c:v>
                </c:pt>
                <c:pt idx="27">
                  <c:v>376.85397480680604</c:v>
                </c:pt>
                <c:pt idx="28">
                  <c:v>435.58891128351752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85E-42F1-9B02-BCE0B6CC21BB}"/>
            </c:ext>
          </c:extLst>
        </c:ser>
        <c:ser>
          <c:idx val="3"/>
          <c:order val="3"/>
          <c:tx>
            <c:strRef>
              <c:f>'10.17.1Inversiones'!$V$103</c:f>
              <c:strCache>
                <c:ptCount val="1"/>
                <c:pt idx="0">
                  <c:v>DGER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989773363774555E-3"/>
                  <c:y val="-4.4827461221743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85E-42F1-9B02-BCE0B6CC21BB}"/>
                </c:ext>
              </c:extLst>
            </c:dLbl>
            <c:dLbl>
              <c:idx val="2"/>
              <c:layout>
                <c:manualLayout>
                  <c:x val="-9.7925134515924502E-3"/>
                  <c:y val="-2.0977370911669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85E-42F1-9B02-BCE0B6CC21BB}"/>
                </c:ext>
              </c:extLst>
            </c:dLbl>
            <c:dLbl>
              <c:idx val="3"/>
              <c:layout>
                <c:manualLayout>
                  <c:x val="-2.9897943307766245E-3"/>
                  <c:y val="2.789384344524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85E-42F1-9B02-BCE0B6CC21BB}"/>
                </c:ext>
              </c:extLst>
            </c:dLbl>
            <c:dLbl>
              <c:idx val="4"/>
              <c:layout>
                <c:manualLayout>
                  <c:x val="-7.2222594983844439E-4"/>
                  <c:y val="1.143473613608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85E-42F1-9B02-BCE0B6CC21BB}"/>
                </c:ext>
              </c:extLst>
            </c:dLbl>
            <c:dLbl>
              <c:idx val="5"/>
              <c:layout>
                <c:manualLayout>
                  <c:x val="-2.989808308777913E-3"/>
                  <c:y val="1.1720813096324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85E-42F1-9B02-BCE0B6CC21BB}"/>
                </c:ext>
              </c:extLst>
            </c:dLbl>
            <c:dLbl>
              <c:idx val="6"/>
              <c:layout>
                <c:manualLayout>
                  <c:x val="-7.5249660376564241E-3"/>
                  <c:y val="1.9126633396737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85E-42F1-9B02-BCE0B6CC21BB}"/>
                </c:ext>
              </c:extLst>
            </c:dLbl>
            <c:dLbl>
              <c:idx val="7"/>
              <c:layout>
                <c:manualLayout>
                  <c:x val="-3.2552369663118239E-3"/>
                  <c:y val="2.1869491055561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85E-42F1-9B02-BCE0B6CC21BB}"/>
                </c:ext>
              </c:extLst>
            </c:dLbl>
            <c:dLbl>
              <c:idx val="8"/>
              <c:layout>
                <c:manualLayout>
                  <c:x val="-5.0662062402696195E-3"/>
                  <c:y val="-1.4173430108472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85E-42F1-9B02-BCE0B6CC21BB}"/>
                </c:ext>
              </c:extLst>
            </c:dLbl>
            <c:dLbl>
              <c:idx val="9"/>
              <c:layout>
                <c:manualLayout>
                  <c:x val="-1.3571757749250945E-2"/>
                  <c:y val="-3.7713405976268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85E-42F1-9B02-BCE0B6CC21BB}"/>
                </c:ext>
              </c:extLst>
            </c:dLbl>
            <c:dLbl>
              <c:idx val="10"/>
              <c:layout>
                <c:manualLayout>
                  <c:x val="-1.013241248053914E-2"/>
                  <c:y val="-2.2677488173555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85E-42F1-9B02-BCE0B6CC21BB}"/>
                </c:ext>
              </c:extLst>
            </c:dLbl>
            <c:dLbl>
              <c:idx val="11"/>
              <c:layout>
                <c:manualLayout>
                  <c:x val="-1.6465170280876264E-2"/>
                  <c:y val="-1.7008116130166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85E-42F1-9B02-BCE0B6CC21BB}"/>
                </c:ext>
              </c:extLst>
            </c:dLbl>
            <c:dLbl>
              <c:idx val="12"/>
              <c:layout>
                <c:manualLayout>
                  <c:x val="-5.7679954787101164E-3"/>
                  <c:y val="-1.2259682238393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85E-42F1-9B02-BCE0B6CC21BB}"/>
                </c:ext>
              </c:extLst>
            </c:dLbl>
            <c:dLbl>
              <c:idx val="13"/>
              <c:layout>
                <c:manualLayout>
                  <c:x val="-9.2120702499529188E-3"/>
                  <c:y val="-2.8947830339809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85E-42F1-9B02-BCE0B6CC21BB}"/>
                </c:ext>
              </c:extLst>
            </c:dLbl>
            <c:dLbl>
              <c:idx val="14"/>
              <c:layout>
                <c:manualLayout>
                  <c:x val="-1.3941698352344644E-2"/>
                  <c:y val="3.219315895372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85E-42F1-9B02-BCE0B6CC21BB}"/>
                </c:ext>
              </c:extLst>
            </c:dLbl>
            <c:dLbl>
              <c:idx val="15"/>
              <c:layout>
                <c:manualLayout>
                  <c:x val="-1.3941698352344833E-2"/>
                  <c:y val="4.0241448692152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85E-42F1-9B02-BCE0B6CC21BB}"/>
                </c:ext>
              </c:extLst>
            </c:dLbl>
            <c:dLbl>
              <c:idx val="16"/>
              <c:layout>
                <c:manualLayout>
                  <c:x val="-1.2674271229404403E-2"/>
                  <c:y val="2.4144869215291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85E-42F1-9B02-BCE0B6CC21BB}"/>
                </c:ext>
              </c:extLst>
            </c:dLbl>
            <c:dLbl>
              <c:idx val="17"/>
              <c:layout>
                <c:manualLayout>
                  <c:x val="-1.2674271229404309E-2"/>
                  <c:y val="3.219315895372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85E-42F1-9B02-BCE0B6CC21BB}"/>
                </c:ext>
              </c:extLst>
            </c:dLbl>
            <c:dLbl>
              <c:idx val="18"/>
              <c:layout>
                <c:manualLayout>
                  <c:x val="-1.5209125475285178E-2"/>
                  <c:y val="2.9510395707578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85E-42F1-9B02-BCE0B6CC21BB}"/>
                </c:ext>
              </c:extLst>
            </c:dLbl>
            <c:dLbl>
              <c:idx val="19"/>
              <c:layout>
                <c:manualLayout>
                  <c:x val="-2.5348542458808626E-3"/>
                  <c:y val="2.1461894727947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85E-42F1-9B02-BCE0B6CC21B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80C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'10.17.1Inversiones'!$R$104:$R$132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'10.17.1Inversiones'!$V$104:$V$132</c:f>
              <c:numCache>
                <c:formatCode>#,##0</c:formatCode>
                <c:ptCount val="29"/>
                <c:pt idx="0">
                  <c:v>74.287999999999997</c:v>
                </c:pt>
                <c:pt idx="1">
                  <c:v>135.94999999999999</c:v>
                </c:pt>
                <c:pt idx="2">
                  <c:v>46.558</c:v>
                </c:pt>
                <c:pt idx="3">
                  <c:v>51.488</c:v>
                </c:pt>
                <c:pt idx="4">
                  <c:v>54.64</c:v>
                </c:pt>
                <c:pt idx="5">
                  <c:v>53.411000000000001</c:v>
                </c:pt>
                <c:pt idx="6">
                  <c:v>45.167000000000002</c:v>
                </c:pt>
                <c:pt idx="7">
                  <c:v>17.329999999999998</c:v>
                </c:pt>
                <c:pt idx="8">
                  <c:v>43.427999999999997</c:v>
                </c:pt>
                <c:pt idx="9">
                  <c:v>39.078000000000003</c:v>
                </c:pt>
                <c:pt idx="10">
                  <c:v>45.244</c:v>
                </c:pt>
                <c:pt idx="11">
                  <c:v>33.953000000000003</c:v>
                </c:pt>
                <c:pt idx="12">
                  <c:v>89.927000000000007</c:v>
                </c:pt>
                <c:pt idx="13">
                  <c:v>99.486999999999995</c:v>
                </c:pt>
                <c:pt idx="14">
                  <c:v>184.72200000000001</c:v>
                </c:pt>
                <c:pt idx="15">
                  <c:v>223.376</c:v>
                </c:pt>
                <c:pt idx="16">
                  <c:v>131.30000000000001</c:v>
                </c:pt>
                <c:pt idx="17">
                  <c:v>149.8812093018218</c:v>
                </c:pt>
                <c:pt idx="18">
                  <c:v>149.41353189887735</c:v>
                </c:pt>
                <c:pt idx="19">
                  <c:v>111.02398648648649</c:v>
                </c:pt>
                <c:pt idx="20">
                  <c:v>107.14969696969698</c:v>
                </c:pt>
                <c:pt idx="21">
                  <c:v>69.400000000000006</c:v>
                </c:pt>
                <c:pt idx="22">
                  <c:v>101.8</c:v>
                </c:pt>
                <c:pt idx="23">
                  <c:v>106.963153496122</c:v>
                </c:pt>
                <c:pt idx="24">
                  <c:v>91.252862507112198</c:v>
                </c:pt>
                <c:pt idx="25">
                  <c:v>45.161673595505597</c:v>
                </c:pt>
                <c:pt idx="26">
                  <c:v>85.825031179775266</c:v>
                </c:pt>
                <c:pt idx="27">
                  <c:v>103.07435081279498</c:v>
                </c:pt>
                <c:pt idx="28">
                  <c:v>97.232983184219037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885E-42F1-9B02-BCE0B6CC2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72864"/>
        <c:axId val="58774656"/>
      </c:lineChart>
      <c:catAx>
        <c:axId val="5877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77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774656"/>
        <c:scaling>
          <c:orientation val="minMax"/>
          <c:max val="2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millones US $</a:t>
                </a:r>
              </a:p>
            </c:rich>
          </c:tx>
          <c:layout>
            <c:manualLayout>
              <c:xMode val="edge"/>
              <c:yMode val="edge"/>
              <c:x val="1.8277950179088766E-2"/>
              <c:y val="0.42391089002581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8772864"/>
        <c:crosses val="autoZero"/>
        <c:crossBetween val="between"/>
        <c:majorUnit val="200"/>
        <c:minorUnit val="50"/>
      </c:valAx>
    </c:plotArea>
    <c:legend>
      <c:legendPos val="r"/>
      <c:layout>
        <c:manualLayout>
          <c:xMode val="edge"/>
          <c:yMode val="edge"/>
          <c:x val="0.13403039907529091"/>
          <c:y val="0.94164997787715166"/>
          <c:w val="0.74904941230172306"/>
          <c:h val="4.024141826788840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EVOLUCIÓN DE POTENCIA INSTALADA 1 995 - 2 023</a:t>
            </a:r>
          </a:p>
        </c:rich>
      </c:tx>
      <c:layout>
        <c:manualLayout>
          <c:xMode val="edge"/>
          <c:yMode val="edge"/>
          <c:x val="0.30348082229366297"/>
          <c:y val="7.4315310586176728E-2"/>
        </c:manualLayout>
      </c:layout>
      <c:overlay val="0"/>
      <c:spPr>
        <a:solidFill>
          <a:srgbClr val="4B4B4B"/>
        </a:solidFill>
        <a:scene3d>
          <a:camera prst="orthographicFront"/>
          <a:lightRig rig="balanced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9.0114832713655987E-2"/>
          <c:y val="0.24666746962066935"/>
          <c:w val="0.88120623445830648"/>
          <c:h val="0.4666681857688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'10.1 P Inst'!$V$4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</c:spPr>
          <c:invertIfNegative val="0"/>
          <c:cat>
            <c:numRef>
              <c:f>'10.1 P Inst'!$U$5:$U$33</c:f>
              <c:numCache>
                <c:formatCode>0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 formatCode="General">
                  <c:v>2021</c:v>
                </c:pt>
                <c:pt idx="27" formatCode="General">
                  <c:v>2022</c:v>
                </c:pt>
                <c:pt idx="28" formatCode="General">
                  <c:v>2023</c:v>
                </c:pt>
              </c:numCache>
            </c:numRef>
          </c:cat>
          <c:val>
            <c:numRef>
              <c:f>'10.1 P Inst'!$V$5:$V$33</c:f>
              <c:numCache>
                <c:formatCode>#\ ##0.00</c:formatCode>
                <c:ptCount val="29"/>
                <c:pt idx="0" formatCode="General">
                  <c:v>4461.7</c:v>
                </c:pt>
                <c:pt idx="1">
                  <c:v>4662.6049999999996</c:v>
                </c:pt>
                <c:pt idx="2">
                  <c:v>5192.4979999999996</c:v>
                </c:pt>
                <c:pt idx="3">
                  <c:v>5515.29</c:v>
                </c:pt>
                <c:pt idx="4">
                  <c:v>5742.4279999999999</c:v>
                </c:pt>
                <c:pt idx="5">
                  <c:v>6066.1890000000003</c:v>
                </c:pt>
                <c:pt idx="6">
                  <c:v>5906.6930000000002</c:v>
                </c:pt>
                <c:pt idx="7">
                  <c:v>5935.5330000000004</c:v>
                </c:pt>
                <c:pt idx="8">
                  <c:v>5970.0630000000001</c:v>
                </c:pt>
                <c:pt idx="9">
                  <c:v>6016.3186000000023</c:v>
                </c:pt>
                <c:pt idx="10">
                  <c:v>6200.5255999999999</c:v>
                </c:pt>
                <c:pt idx="11">
                  <c:v>6658.1435999999994</c:v>
                </c:pt>
                <c:pt idx="12">
                  <c:v>7027.5172000000002</c:v>
                </c:pt>
                <c:pt idx="13">
                  <c:v>7157.9350000000031</c:v>
                </c:pt>
                <c:pt idx="14">
                  <c:v>7986.4960000000019</c:v>
                </c:pt>
                <c:pt idx="15">
                  <c:v>8612.5569999999971</c:v>
                </c:pt>
                <c:pt idx="16">
                  <c:v>8691.3240000000005</c:v>
                </c:pt>
                <c:pt idx="17">
                  <c:v>9699.4349999999995</c:v>
                </c:pt>
                <c:pt idx="18">
                  <c:v>11050.719000000003</c:v>
                </c:pt>
                <c:pt idx="19">
                  <c:v>11202.619000000002</c:v>
                </c:pt>
                <c:pt idx="20">
                  <c:v>12188.627</c:v>
                </c:pt>
                <c:pt idx="21">
                  <c:v>14517.715000000004</c:v>
                </c:pt>
                <c:pt idx="22">
                  <c:v>14734.771000000197</c:v>
                </c:pt>
                <c:pt idx="23">
                  <c:v>15144.58600000001</c:v>
                </c:pt>
                <c:pt idx="24">
                  <c:v>15122.840000000011</c:v>
                </c:pt>
                <c:pt idx="25">
                  <c:v>15186.97000000001</c:v>
                </c:pt>
                <c:pt idx="26">
                  <c:v>15340.308999999972</c:v>
                </c:pt>
                <c:pt idx="27">
                  <c:v>15759.502000000102</c:v>
                </c:pt>
                <c:pt idx="28">
                  <c:v>16363.45200000001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FA-487F-A514-FC3C164B75D7}"/>
            </c:ext>
          </c:extLst>
        </c:ser>
        <c:ser>
          <c:idx val="1"/>
          <c:order val="1"/>
          <c:tx>
            <c:strRef>
              <c:f>'10.1 P Inst'!$W$4</c:f>
              <c:strCache>
                <c:ptCount val="1"/>
                <c:pt idx="0">
                  <c:v>Hidro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cat>
            <c:numRef>
              <c:f>'10.1 P Inst'!$U$5:$U$33</c:f>
              <c:numCache>
                <c:formatCode>0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 formatCode="General">
                  <c:v>2021</c:v>
                </c:pt>
                <c:pt idx="27" formatCode="General">
                  <c:v>2022</c:v>
                </c:pt>
                <c:pt idx="28" formatCode="General">
                  <c:v>2023</c:v>
                </c:pt>
              </c:numCache>
            </c:numRef>
          </c:cat>
          <c:val>
            <c:numRef>
              <c:f>'10.1 P Inst'!$W$5:$W$33</c:f>
              <c:numCache>
                <c:formatCode>#\ ##0.00</c:formatCode>
                <c:ptCount val="29"/>
                <c:pt idx="0">
                  <c:v>2479.4</c:v>
                </c:pt>
                <c:pt idx="1">
                  <c:v>2492.7239999999997</c:v>
                </c:pt>
                <c:pt idx="2">
                  <c:v>2512.9939999999997</c:v>
                </c:pt>
                <c:pt idx="3">
                  <c:v>2572.0610000000001</c:v>
                </c:pt>
                <c:pt idx="4">
                  <c:v>2673.2799999999997</c:v>
                </c:pt>
                <c:pt idx="5">
                  <c:v>2856.8250000000003</c:v>
                </c:pt>
                <c:pt idx="6">
                  <c:v>2966.328</c:v>
                </c:pt>
                <c:pt idx="7">
                  <c:v>2996.4710000000014</c:v>
                </c:pt>
                <c:pt idx="8">
                  <c:v>3032.3070000000002</c:v>
                </c:pt>
                <c:pt idx="9">
                  <c:v>3055.8676000000023</c:v>
                </c:pt>
                <c:pt idx="10">
                  <c:v>3207.0616000000005</c:v>
                </c:pt>
                <c:pt idx="11">
                  <c:v>3216.0025999999998</c:v>
                </c:pt>
                <c:pt idx="12">
                  <c:v>3233.5982000000004</c:v>
                </c:pt>
                <c:pt idx="13">
                  <c:v>3242.0260000000017</c:v>
                </c:pt>
                <c:pt idx="14">
                  <c:v>3277.4640000000018</c:v>
                </c:pt>
                <c:pt idx="15">
                  <c:v>3437.6019999999994</c:v>
                </c:pt>
                <c:pt idx="16">
                  <c:v>3450.9529999999986</c:v>
                </c:pt>
                <c:pt idx="17">
                  <c:v>3484.3239999999983</c:v>
                </c:pt>
                <c:pt idx="18">
                  <c:v>3556.1819999999998</c:v>
                </c:pt>
                <c:pt idx="19">
                  <c:v>3661.8649999999961</c:v>
                </c:pt>
                <c:pt idx="20">
                  <c:v>4151.8429999999962</c:v>
                </c:pt>
                <c:pt idx="21">
                  <c:v>5189.2449999999972</c:v>
                </c:pt>
                <c:pt idx="22">
                  <c:v>5245.930000000023</c:v>
                </c:pt>
                <c:pt idx="23">
                  <c:v>5363.3650000000007</c:v>
                </c:pt>
                <c:pt idx="24">
                  <c:v>5397.2050000000027</c:v>
                </c:pt>
                <c:pt idx="25">
                  <c:v>5416.5830000000033</c:v>
                </c:pt>
                <c:pt idx="26">
                  <c:v>5513.7740000000113</c:v>
                </c:pt>
                <c:pt idx="27">
                  <c:v>5514.3140000000194</c:v>
                </c:pt>
                <c:pt idx="28">
                  <c:v>5529.7020000000111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FA-487F-A514-FC3C164B75D7}"/>
            </c:ext>
          </c:extLst>
        </c:ser>
        <c:ser>
          <c:idx val="2"/>
          <c:order val="2"/>
          <c:tx>
            <c:strRef>
              <c:f>'10.1 P Inst'!$X$4</c:f>
              <c:strCache>
                <c:ptCount val="1"/>
                <c:pt idx="0">
                  <c:v>Termo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'10.1 P Inst'!$U$5:$U$33</c:f>
              <c:numCache>
                <c:formatCode>0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 formatCode="General">
                  <c:v>2021</c:v>
                </c:pt>
                <c:pt idx="27" formatCode="General">
                  <c:v>2022</c:v>
                </c:pt>
                <c:pt idx="28" formatCode="General">
                  <c:v>2023</c:v>
                </c:pt>
              </c:numCache>
            </c:numRef>
          </c:cat>
          <c:val>
            <c:numRef>
              <c:f>'10.1 P Inst'!$X$5:$X$33</c:f>
              <c:numCache>
                <c:formatCode>#\ ##0.00</c:formatCode>
                <c:ptCount val="29"/>
                <c:pt idx="0">
                  <c:v>1982.3</c:v>
                </c:pt>
                <c:pt idx="1">
                  <c:v>2169.6310000000003</c:v>
                </c:pt>
                <c:pt idx="2">
                  <c:v>2679.2539999999999</c:v>
                </c:pt>
                <c:pt idx="3">
                  <c:v>2942.9789999999998</c:v>
                </c:pt>
                <c:pt idx="4">
                  <c:v>3068.4480000000003</c:v>
                </c:pt>
                <c:pt idx="5">
                  <c:v>3208.6640000000002</c:v>
                </c:pt>
                <c:pt idx="6">
                  <c:v>2939.665</c:v>
                </c:pt>
                <c:pt idx="7">
                  <c:v>2938.3619999999996</c:v>
                </c:pt>
                <c:pt idx="8">
                  <c:v>2937.056</c:v>
                </c:pt>
                <c:pt idx="9">
                  <c:v>2959.7510000000002</c:v>
                </c:pt>
                <c:pt idx="10">
                  <c:v>2992.7639999999992</c:v>
                </c:pt>
                <c:pt idx="11">
                  <c:v>3441.4409999999998</c:v>
                </c:pt>
                <c:pt idx="12">
                  <c:v>3793.2190000000001</c:v>
                </c:pt>
                <c:pt idx="13">
                  <c:v>3915.2090000000017</c:v>
                </c:pt>
                <c:pt idx="14">
                  <c:v>4708.3320000000003</c:v>
                </c:pt>
                <c:pt idx="15">
                  <c:v>5174.2549999999974</c:v>
                </c:pt>
                <c:pt idx="16">
                  <c:v>5239.6710000000003</c:v>
                </c:pt>
                <c:pt idx="17">
                  <c:v>6134.4110000000001</c:v>
                </c:pt>
                <c:pt idx="18">
                  <c:v>7413.8370000000023</c:v>
                </c:pt>
                <c:pt idx="19">
                  <c:v>7302.0540000000055</c:v>
                </c:pt>
                <c:pt idx="20">
                  <c:v>7700.9840000000049</c:v>
                </c:pt>
                <c:pt idx="21">
                  <c:v>8988.5200000000059</c:v>
                </c:pt>
                <c:pt idx="22">
                  <c:v>9004.407000000172</c:v>
                </c:pt>
                <c:pt idx="23">
                  <c:v>9124.4870000000083</c:v>
                </c:pt>
                <c:pt idx="24">
                  <c:v>9064.3510000000097</c:v>
                </c:pt>
                <c:pt idx="25">
                  <c:v>9072.3630000000085</c:v>
                </c:pt>
                <c:pt idx="26">
                  <c:v>9131.0349999999617</c:v>
                </c:pt>
                <c:pt idx="27">
                  <c:v>9419.688000000082</c:v>
                </c:pt>
                <c:pt idx="28">
                  <c:v>9416.6190000000006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FA-487F-A514-FC3C164B75D7}"/>
            </c:ext>
          </c:extLst>
        </c:ser>
        <c:ser>
          <c:idx val="3"/>
          <c:order val="3"/>
          <c:tx>
            <c:strRef>
              <c:f>'10.1 P Inst'!$Y$4</c:f>
              <c:strCache>
                <c:ptCount val="1"/>
                <c:pt idx="0">
                  <c:v>Solar</c:v>
                </c:pt>
              </c:strCache>
            </c:strRef>
          </c:tx>
          <c:invertIfNegative val="0"/>
          <c:cat>
            <c:numRef>
              <c:f>'10.1 P Inst'!$U$5:$U$33</c:f>
              <c:numCache>
                <c:formatCode>0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 formatCode="General">
                  <c:v>2021</c:v>
                </c:pt>
                <c:pt idx="27" formatCode="General">
                  <c:v>2022</c:v>
                </c:pt>
                <c:pt idx="28" formatCode="General">
                  <c:v>2023</c:v>
                </c:pt>
              </c:numCache>
            </c:numRef>
          </c:cat>
          <c:val>
            <c:numRef>
              <c:f>'10.1 P Inst'!$Y$5:$Y$33</c:f>
              <c:numCache>
                <c:formatCode>General</c:formatCode>
                <c:ptCount val="29"/>
                <c:pt idx="17" formatCode="#\ ##0.00">
                  <c:v>80</c:v>
                </c:pt>
                <c:pt idx="18" formatCode="#\ ##0.00">
                  <c:v>80</c:v>
                </c:pt>
                <c:pt idx="19" formatCode="#\ ##0.00">
                  <c:v>96</c:v>
                </c:pt>
                <c:pt idx="20" formatCode="#\ ##0.00">
                  <c:v>96</c:v>
                </c:pt>
                <c:pt idx="21" formatCode="#\ ##0.00">
                  <c:v>100</c:v>
                </c:pt>
                <c:pt idx="22" formatCode="#\ ##0.00">
                  <c:v>244.48399999999998</c:v>
                </c:pt>
                <c:pt idx="23" formatCode="#\ ##0.00">
                  <c:v>284.48400000000004</c:v>
                </c:pt>
                <c:pt idx="24" formatCode="#\ ##0.00">
                  <c:v>289.03399999999999</c:v>
                </c:pt>
                <c:pt idx="25" formatCode="#\ ##0.00">
                  <c:v>289.03399999999999</c:v>
                </c:pt>
                <c:pt idx="26" formatCode="#\ ##0.00">
                  <c:v>286.51000000000022</c:v>
                </c:pt>
                <c:pt idx="27" formatCode="#\ ##0.00">
                  <c:v>286.51</c:v>
                </c:pt>
                <c:pt idx="28" formatCode="#\ ##0.00">
                  <c:v>401.4409999999998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FA-487F-A514-FC3C164B75D7}"/>
            </c:ext>
          </c:extLst>
        </c:ser>
        <c:ser>
          <c:idx val="4"/>
          <c:order val="4"/>
          <c:tx>
            <c:strRef>
              <c:f>'10.1 P Inst'!$Z$4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'10.1 P Inst'!$U$5:$U$33</c:f>
              <c:numCache>
                <c:formatCode>0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 formatCode="General">
                  <c:v>2021</c:v>
                </c:pt>
                <c:pt idx="27" formatCode="General">
                  <c:v>2022</c:v>
                </c:pt>
                <c:pt idx="28" formatCode="General">
                  <c:v>2023</c:v>
                </c:pt>
              </c:numCache>
            </c:numRef>
          </c:cat>
          <c:val>
            <c:numRef>
              <c:f>'10.1 P Inst'!$Z$5:$Z$33</c:f>
              <c:numCache>
                <c:formatCode>#\ ##0.00</c:formatCode>
                <c:ptCount val="29"/>
                <c:pt idx="19">
                  <c:v>142.69999999999999</c:v>
                </c:pt>
                <c:pt idx="20">
                  <c:v>239.79999999999998</c:v>
                </c:pt>
                <c:pt idx="21">
                  <c:v>239.95</c:v>
                </c:pt>
                <c:pt idx="22">
                  <c:v>239.94999999999985</c:v>
                </c:pt>
                <c:pt idx="23">
                  <c:v>372.24999999999994</c:v>
                </c:pt>
                <c:pt idx="24">
                  <c:v>372.24999999999994</c:v>
                </c:pt>
                <c:pt idx="25">
                  <c:v>408.98999999999995</c:v>
                </c:pt>
                <c:pt idx="26">
                  <c:v>408.98999999999995</c:v>
                </c:pt>
                <c:pt idx="27">
                  <c:v>538.98999999999967</c:v>
                </c:pt>
                <c:pt idx="28">
                  <c:v>1015.6900000000012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FA-487F-A514-FC3C164B7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88032"/>
        <c:axId val="60589952"/>
      </c:barChart>
      <c:catAx>
        <c:axId val="605880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058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589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1.0662690832285018E-2"/>
              <c:y val="0.44000139982502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0588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93195007428804"/>
          <c:y val="0.82452283464566933"/>
          <c:w val="0.5667375897539435"/>
          <c:h val="8.7343832020997381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EVOLUCIÓN DE INVERSIONES EN EL SECTOR ELÉCTRICO (ESTATAL, PRIVADA Y ELECTRIFICACIÓN RURAL)
PERÍODO 1995- 2023</a:t>
            </a:r>
          </a:p>
        </c:rich>
      </c:tx>
      <c:layout>
        <c:manualLayout>
          <c:xMode val="edge"/>
          <c:yMode val="edge"/>
          <c:x val="0.28463152004476594"/>
          <c:y val="1.7110907648171886E-2"/>
        </c:manualLayout>
      </c:layout>
      <c:overlay val="0"/>
      <c:spPr>
        <a:solidFill>
          <a:srgbClr val="4B4B4B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6.0727899777699289E-2"/>
          <c:y val="0.16433836178211511"/>
          <c:w val="0.92249353527378997"/>
          <c:h val="0.62529298891416851"/>
        </c:manualLayout>
      </c:layout>
      <c:lineChart>
        <c:grouping val="standard"/>
        <c:varyColors val="0"/>
        <c:ser>
          <c:idx val="1"/>
          <c:order val="0"/>
          <c:tx>
            <c:strRef>
              <c:f>'10.17.5 Evo.Graficos'!$A$13</c:f>
              <c:strCache>
                <c:ptCount val="1"/>
                <c:pt idx="0">
                  <c:v>Estatal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  <a:effectLst>
              <a:outerShdw blurRad="50800" dist="38100" dir="2700000" algn="tl" rotWithShape="0">
                <a:srgbClr val="00B050">
                  <a:alpha val="40000"/>
                </a:srgbClr>
              </a:outerShdw>
            </a:effectLst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00B050"/>
                </a:solidFill>
                <a:prstDash val="solid"/>
              </a:ln>
              <a:effectLst>
                <a:outerShdw blurRad="50800" dist="38100" dir="2700000" algn="tl" rotWithShape="0">
                  <a:srgbClr val="00B050">
                    <a:alpha val="40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'10.17.5 Evo.Graficos'!$G$12:$AI$12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Evo.Graficos'!$G$13:$AI$13</c:f>
              <c:numCache>
                <c:formatCode>_-* #,##0.0\ _€_-;\-* #,##0.0\ _€_-;_-* "-"\ _€_-;_-@_-</c:formatCode>
                <c:ptCount val="29"/>
                <c:pt idx="0">
                  <c:v>154.71299900000002</c:v>
                </c:pt>
                <c:pt idx="1">
                  <c:v>176.97620699999999</c:v>
                </c:pt>
                <c:pt idx="2">
                  <c:v>207.88996600000002</c:v>
                </c:pt>
                <c:pt idx="3">
                  <c:v>202.79134300000001</c:v>
                </c:pt>
                <c:pt idx="4">
                  <c:v>201.72455901183429</c:v>
                </c:pt>
                <c:pt idx="5">
                  <c:v>165.989</c:v>
                </c:pt>
                <c:pt idx="6">
                  <c:v>95.058679999999995</c:v>
                </c:pt>
                <c:pt idx="7">
                  <c:v>109.855</c:v>
                </c:pt>
                <c:pt idx="8">
                  <c:v>110.83204000000001</c:v>
                </c:pt>
                <c:pt idx="9">
                  <c:v>116.11542999999999</c:v>
                </c:pt>
                <c:pt idx="10">
                  <c:v>117.40603</c:v>
                </c:pt>
                <c:pt idx="11">
                  <c:v>95.741500000000002</c:v>
                </c:pt>
                <c:pt idx="12">
                  <c:v>139.71519999999998</c:v>
                </c:pt>
                <c:pt idx="13">
                  <c:v>128.88200000000001</c:v>
                </c:pt>
                <c:pt idx="14">
                  <c:v>249.98099999999999</c:v>
                </c:pt>
                <c:pt idx="15">
                  <c:v>165.61099999999999</c:v>
                </c:pt>
                <c:pt idx="16">
                  <c:v>106.97369999999999</c:v>
                </c:pt>
                <c:pt idx="17">
                  <c:v>121.623</c:v>
                </c:pt>
                <c:pt idx="18">
                  <c:v>209.32290000000003</c:v>
                </c:pt>
                <c:pt idx="19">
                  <c:v>159.26756419362286</c:v>
                </c:pt>
                <c:pt idx="20">
                  <c:v>122.07089438088974</c:v>
                </c:pt>
                <c:pt idx="21">
                  <c:v>126.97435578393939</c:v>
                </c:pt>
                <c:pt idx="22">
                  <c:v>52.007961756063978</c:v>
                </c:pt>
                <c:pt idx="23">
                  <c:v>78.45434246322354</c:v>
                </c:pt>
                <c:pt idx="24">
                  <c:v>170.00447599202272</c:v>
                </c:pt>
                <c:pt idx="25">
                  <c:v>174.27301851576257</c:v>
                </c:pt>
                <c:pt idx="26">
                  <c:v>135.66263258426969</c:v>
                </c:pt>
                <c:pt idx="27">
                  <c:v>161.280893828318</c:v>
                </c:pt>
                <c:pt idx="28">
                  <c:v>177.88548039451314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7-4E21-B952-83A73027814B}"/>
            </c:ext>
          </c:extLst>
        </c:ser>
        <c:ser>
          <c:idx val="3"/>
          <c:order val="1"/>
          <c:tx>
            <c:strRef>
              <c:f>'10.17.5 Evo.Graficos'!$A$14</c:f>
              <c:strCache>
                <c:ptCount val="1"/>
                <c:pt idx="0">
                  <c:v>Privada</c:v>
                </c:pt>
              </c:strCache>
            </c:strRef>
          </c:tx>
          <c:spPr>
            <a:ln w="12700">
              <a:solidFill>
                <a:srgbClr val="0000CC"/>
              </a:solidFill>
              <a:prstDash val="solid"/>
            </a:ln>
            <a:effectLst/>
          </c:spPr>
          <c:marker>
            <c:symbol val="x"/>
            <c:size val="5"/>
            <c:spPr>
              <a:solidFill>
                <a:srgbClr val="0070C0"/>
              </a:solidFill>
              <a:ln>
                <a:solidFill>
                  <a:srgbClr val="0000CC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'10.17.5 Evo.Graficos'!$G$12:$AI$12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Evo.Graficos'!$G$14:$AI$14</c:f>
              <c:numCache>
                <c:formatCode>_-* #,##0.0\ _€_-;\-* #,##0.0\ _€_-;_-* "-"\ _€_-;_-@_-</c:formatCode>
                <c:ptCount val="29"/>
                <c:pt idx="0">
                  <c:v>66.151630000000011</c:v>
                </c:pt>
                <c:pt idx="1">
                  <c:v>195.77716999999998</c:v>
                </c:pt>
                <c:pt idx="2">
                  <c:v>339.06891500000006</c:v>
                </c:pt>
                <c:pt idx="3">
                  <c:v>358.24208799999997</c:v>
                </c:pt>
                <c:pt idx="4">
                  <c:v>507.36566899999997</c:v>
                </c:pt>
                <c:pt idx="5">
                  <c:v>433.589</c:v>
                </c:pt>
                <c:pt idx="6">
                  <c:v>196.17129</c:v>
                </c:pt>
                <c:pt idx="7">
                  <c:v>120.021</c:v>
                </c:pt>
                <c:pt idx="8">
                  <c:v>72.152110000000008</c:v>
                </c:pt>
                <c:pt idx="9">
                  <c:v>165.06376</c:v>
                </c:pt>
                <c:pt idx="10">
                  <c:v>229.88297999999998</c:v>
                </c:pt>
                <c:pt idx="11">
                  <c:v>340.19845000000004</c:v>
                </c:pt>
                <c:pt idx="12">
                  <c:v>388.50857000000002</c:v>
                </c:pt>
                <c:pt idx="13">
                  <c:v>619.20600000000002</c:v>
                </c:pt>
                <c:pt idx="14">
                  <c:v>719.57899999999995</c:v>
                </c:pt>
                <c:pt idx="15">
                  <c:v>978.75199999999995</c:v>
                </c:pt>
                <c:pt idx="16">
                  <c:v>1641.7509652000001</c:v>
                </c:pt>
                <c:pt idx="17">
                  <c:v>2467.4208604500004</c:v>
                </c:pt>
                <c:pt idx="18">
                  <c:v>2230.2925</c:v>
                </c:pt>
                <c:pt idx="19">
                  <c:v>2296.2370017137027</c:v>
                </c:pt>
                <c:pt idx="20">
                  <c:v>2364.2373654698199</c:v>
                </c:pt>
                <c:pt idx="21">
                  <c:v>1601.816670612709</c:v>
                </c:pt>
                <c:pt idx="22">
                  <c:v>1365.2733862215043</c:v>
                </c:pt>
                <c:pt idx="23">
                  <c:v>580.74200391718091</c:v>
                </c:pt>
                <c:pt idx="24">
                  <c:v>448.37901411371553</c:v>
                </c:pt>
                <c:pt idx="25">
                  <c:v>243.05274221103738</c:v>
                </c:pt>
                <c:pt idx="26">
                  <c:v>969.87332959129219</c:v>
                </c:pt>
                <c:pt idx="27">
                  <c:v>975.22183798624508</c:v>
                </c:pt>
                <c:pt idx="28">
                  <c:v>881.57588472381508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7-4E21-B952-83A73027814B}"/>
            </c:ext>
          </c:extLst>
        </c:ser>
        <c:ser>
          <c:idx val="2"/>
          <c:order val="2"/>
          <c:tx>
            <c:strRef>
              <c:f>'10.17.5 Evo.Graficos'!$A$15</c:f>
              <c:strCache>
                <c:ptCount val="1"/>
                <c:pt idx="0">
                  <c:v>Rural (*)</c:v>
                </c:pt>
              </c:strCache>
            </c:strRef>
          </c:tx>
          <c:spPr>
            <a:ln w="12700">
              <a:solidFill>
                <a:schemeClr val="accent6"/>
              </a:solidFill>
              <a:prstDash val="solid"/>
            </a:ln>
            <a:effectLst/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chemeClr val="accent6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'10.17.5 Evo.Graficos'!$G$12:$AI$12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Evo.Graficos'!$G$15:$AI$15</c:f>
              <c:numCache>
                <c:formatCode>_-* #,##0.0\ _€_-;\-* #,##0.0\ _€_-;_-* "-"\ _€_-;_-@_-</c:formatCode>
                <c:ptCount val="29"/>
                <c:pt idx="0">
                  <c:v>74.287999999999997</c:v>
                </c:pt>
                <c:pt idx="1">
                  <c:v>135.94999999999999</c:v>
                </c:pt>
                <c:pt idx="2">
                  <c:v>46.558</c:v>
                </c:pt>
                <c:pt idx="3">
                  <c:v>51.488</c:v>
                </c:pt>
                <c:pt idx="4">
                  <c:v>54.64</c:v>
                </c:pt>
                <c:pt idx="5">
                  <c:v>53.411000000000001</c:v>
                </c:pt>
                <c:pt idx="6">
                  <c:v>45.167000000000002</c:v>
                </c:pt>
                <c:pt idx="7">
                  <c:v>17.329999999999998</c:v>
                </c:pt>
                <c:pt idx="8">
                  <c:v>43.427714000000002</c:v>
                </c:pt>
                <c:pt idx="9">
                  <c:v>39.078000000000003</c:v>
                </c:pt>
                <c:pt idx="10">
                  <c:v>45.244</c:v>
                </c:pt>
                <c:pt idx="11">
                  <c:v>33.953000000000003</c:v>
                </c:pt>
                <c:pt idx="12">
                  <c:v>89.927000000000007</c:v>
                </c:pt>
                <c:pt idx="13">
                  <c:v>99.486999999999995</c:v>
                </c:pt>
                <c:pt idx="14">
                  <c:v>184.72200000000001</c:v>
                </c:pt>
                <c:pt idx="15">
                  <c:v>223.376</c:v>
                </c:pt>
                <c:pt idx="16">
                  <c:v>131.27500000000001</c:v>
                </c:pt>
                <c:pt idx="17">
                  <c:v>149.881209301822</c:v>
                </c:pt>
                <c:pt idx="18">
                  <c:v>149.41353189887735</c:v>
                </c:pt>
                <c:pt idx="19">
                  <c:v>111.02398648648649</c:v>
                </c:pt>
                <c:pt idx="20">
                  <c:v>107.14969696969698</c:v>
                </c:pt>
                <c:pt idx="21">
                  <c:v>69.370544918998519</c:v>
                </c:pt>
                <c:pt idx="22">
                  <c:v>101.764751705972</c:v>
                </c:pt>
                <c:pt idx="23">
                  <c:v>106.96315349612163</c:v>
                </c:pt>
                <c:pt idx="24">
                  <c:v>91.252862507112226</c:v>
                </c:pt>
                <c:pt idx="25">
                  <c:v>45.161673595505611</c:v>
                </c:pt>
                <c:pt idx="26">
                  <c:v>85.825031179775266</c:v>
                </c:pt>
                <c:pt idx="27">
                  <c:v>103.07435081279498</c:v>
                </c:pt>
                <c:pt idx="28">
                  <c:v>97.232983184219037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7-4E21-B952-83A73027814B}"/>
            </c:ext>
          </c:extLst>
        </c:ser>
        <c:ser>
          <c:idx val="4"/>
          <c:order val="3"/>
          <c:tx>
            <c:strRef>
              <c:f>'10.17.5 Evo.Graficos'!$AJ$12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  <a:effectLst/>
          </c:spPr>
          <c:marker>
            <c:symbol val="star"/>
            <c:size val="5"/>
            <c:spPr>
              <a:solidFill>
                <a:srgbClr val="FF0000"/>
              </a:solidFill>
              <a:ln>
                <a:solidFill>
                  <a:srgbClr val="80008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'10.17.5 Evo.Graficos'!$G$12:$AI$12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Evo.Graficos'!$G$6:$AI$6</c:f>
              <c:numCache>
                <c:formatCode>#,##0.0</c:formatCode>
                <c:ptCount val="29"/>
                <c:pt idx="0">
                  <c:v>295.15262900000005</c:v>
                </c:pt>
                <c:pt idx="1">
                  <c:v>508.70337699999999</c:v>
                </c:pt>
                <c:pt idx="2">
                  <c:v>593.51688100000001</c:v>
                </c:pt>
                <c:pt idx="3">
                  <c:v>612.52143099999989</c:v>
                </c:pt>
                <c:pt idx="4">
                  <c:v>763.73022801183424</c:v>
                </c:pt>
                <c:pt idx="5">
                  <c:v>652.98900000000003</c:v>
                </c:pt>
                <c:pt idx="6">
                  <c:v>336.39697000000001</c:v>
                </c:pt>
                <c:pt idx="7">
                  <c:v>247.20600000000002</c:v>
                </c:pt>
                <c:pt idx="8">
                  <c:v>226.41186400000001</c:v>
                </c:pt>
                <c:pt idx="9">
                  <c:v>320.25719000000004</c:v>
                </c:pt>
                <c:pt idx="10">
                  <c:v>392.53300999999999</c:v>
                </c:pt>
                <c:pt idx="11">
                  <c:v>469.89295000000004</c:v>
                </c:pt>
                <c:pt idx="12">
                  <c:v>618.15077000000008</c:v>
                </c:pt>
                <c:pt idx="13">
                  <c:v>847.57499999999993</c:v>
                </c:pt>
                <c:pt idx="14">
                  <c:v>1154.2819999999999</c:v>
                </c:pt>
                <c:pt idx="15">
                  <c:v>1367.7389999999998</c:v>
                </c:pt>
                <c:pt idx="16">
                  <c:v>1879.9996652000002</c:v>
                </c:pt>
                <c:pt idx="17">
                  <c:v>2738.9250697518223</c:v>
                </c:pt>
                <c:pt idx="18">
                  <c:v>2589.0289318988775</c:v>
                </c:pt>
                <c:pt idx="19">
                  <c:v>2566.5285523938123</c:v>
                </c:pt>
                <c:pt idx="20">
                  <c:v>2593.4579568204067</c:v>
                </c:pt>
                <c:pt idx="21">
                  <c:v>1798.1615713156471</c:v>
                </c:pt>
                <c:pt idx="22">
                  <c:v>1519.0460996835402</c:v>
                </c:pt>
                <c:pt idx="23">
                  <c:v>766.15949987652607</c:v>
                </c:pt>
                <c:pt idx="24">
                  <c:v>709.63635261285049</c:v>
                </c:pt>
                <c:pt idx="25">
                  <c:v>462.48743432230555</c:v>
                </c:pt>
                <c:pt idx="26">
                  <c:v>1191.3609933553373</c:v>
                </c:pt>
                <c:pt idx="27">
                  <c:v>1239.5770826273581</c:v>
                </c:pt>
                <c:pt idx="28">
                  <c:v>1156.694348302547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37-4E21-B952-83A730278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3824"/>
        <c:axId val="60415360"/>
      </c:lineChart>
      <c:catAx>
        <c:axId val="6041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041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153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millones US$
</a:t>
                </a:r>
              </a:p>
            </c:rich>
          </c:tx>
          <c:layout>
            <c:manualLayout>
              <c:xMode val="edge"/>
              <c:yMode val="edge"/>
              <c:x val="7.6335584955433871E-3"/>
              <c:y val="0.43517206860770308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.0\ _€_-;\-* #,##0.0\ _€_-;_-* &quot;-&quot;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0413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096563944735334"/>
          <c:y val="0.92500079350546305"/>
          <c:w val="0.54683773665347668"/>
          <c:h val="4.9999877922236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EVOLUCIÓN DE INVERSIONES EJECUTADAS POR LA DIRECCIÓN GENERAL DE ELECTRIFICACIÓN RURAL
PERÍODO 1995 - 2023</a:t>
            </a:r>
          </a:p>
        </c:rich>
      </c:tx>
      <c:layout>
        <c:manualLayout>
          <c:xMode val="edge"/>
          <c:yMode val="edge"/>
          <c:x val="0.29057315509979859"/>
          <c:y val="1.6621411532191571E-2"/>
        </c:manualLayout>
      </c:layout>
      <c:overlay val="0"/>
      <c:spPr>
        <a:solidFill>
          <a:srgbClr val="4B4B4B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6.3123281881061491E-2"/>
          <c:y val="0.18225462346050533"/>
          <c:w val="0.92403203672058076"/>
          <c:h val="0.685852925127690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'10.17.5 Evo.Graficos'!$A$15</c:f>
              <c:strCache>
                <c:ptCount val="1"/>
                <c:pt idx="0">
                  <c:v>Rural (*)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'10.17.5 Evo.Graficos'!$G$12:$AI$12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Evo.Graficos'!$G$15:$AI$15</c:f>
              <c:numCache>
                <c:formatCode>_-* #,##0.0\ _€_-;\-* #,##0.0\ _€_-;_-* "-"\ _€_-;_-@_-</c:formatCode>
                <c:ptCount val="29"/>
                <c:pt idx="0">
                  <c:v>74.287999999999997</c:v>
                </c:pt>
                <c:pt idx="1">
                  <c:v>135.94999999999999</c:v>
                </c:pt>
                <c:pt idx="2">
                  <c:v>46.558</c:v>
                </c:pt>
                <c:pt idx="3">
                  <c:v>51.488</c:v>
                </c:pt>
                <c:pt idx="4">
                  <c:v>54.64</c:v>
                </c:pt>
                <c:pt idx="5">
                  <c:v>53.411000000000001</c:v>
                </c:pt>
                <c:pt idx="6">
                  <c:v>45.167000000000002</c:v>
                </c:pt>
                <c:pt idx="7">
                  <c:v>17.329999999999998</c:v>
                </c:pt>
                <c:pt idx="8">
                  <c:v>43.427714000000002</c:v>
                </c:pt>
                <c:pt idx="9">
                  <c:v>39.078000000000003</c:v>
                </c:pt>
                <c:pt idx="10">
                  <c:v>45.244</c:v>
                </c:pt>
                <c:pt idx="11">
                  <c:v>33.953000000000003</c:v>
                </c:pt>
                <c:pt idx="12">
                  <c:v>89.927000000000007</c:v>
                </c:pt>
                <c:pt idx="13">
                  <c:v>99.486999999999995</c:v>
                </c:pt>
                <c:pt idx="14">
                  <c:v>184.72200000000001</c:v>
                </c:pt>
                <c:pt idx="15">
                  <c:v>223.376</c:v>
                </c:pt>
                <c:pt idx="16">
                  <c:v>131.27500000000001</c:v>
                </c:pt>
                <c:pt idx="17">
                  <c:v>149.881209301822</c:v>
                </c:pt>
                <c:pt idx="18">
                  <c:v>149.41353189887735</c:v>
                </c:pt>
                <c:pt idx="19">
                  <c:v>111.02398648648649</c:v>
                </c:pt>
                <c:pt idx="20">
                  <c:v>107.14969696969698</c:v>
                </c:pt>
                <c:pt idx="21">
                  <c:v>69.370544918998519</c:v>
                </c:pt>
                <c:pt idx="22">
                  <c:v>101.764751705972</c:v>
                </c:pt>
                <c:pt idx="23">
                  <c:v>106.96315349612163</c:v>
                </c:pt>
                <c:pt idx="24">
                  <c:v>91.252862507112226</c:v>
                </c:pt>
                <c:pt idx="25">
                  <c:v>45.161673595505611</c:v>
                </c:pt>
                <c:pt idx="26">
                  <c:v>85.825031179775266</c:v>
                </c:pt>
                <c:pt idx="27">
                  <c:v>103.07435081279498</c:v>
                </c:pt>
                <c:pt idx="28">
                  <c:v>97.232983184219037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6-4FB6-BAA0-3ACC33460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53632"/>
        <c:axId val="60455168"/>
      </c:barChart>
      <c:catAx>
        <c:axId val="6045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04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551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Millones de US$</a:t>
                </a:r>
              </a:p>
            </c:rich>
          </c:tx>
          <c:layout>
            <c:manualLayout>
              <c:xMode val="edge"/>
              <c:yMode val="edge"/>
              <c:x val="9.1908632755587048E-3"/>
              <c:y val="0.32125833191714348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.0\ _€_-;\-* #,##0.0\ _€_-;_-* &quot;-&quot;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0453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EVOLUCIÓN DE LAS INVERSIONES DE LAS </a:t>
            </a:r>
            <a:r>
              <a:rPr lang="es-PE">
                <a:solidFill>
                  <a:schemeClr val="bg1"/>
                </a:solidFill>
              </a:rPr>
              <a:t>EMPRESAS</a:t>
            </a:r>
            <a:r>
              <a:rPr lang="es-PE"/>
              <a:t> GENERADORAS
PERÍODO 1995 - 2023</a:t>
            </a:r>
          </a:p>
        </c:rich>
      </c:tx>
      <c:layout>
        <c:manualLayout>
          <c:xMode val="edge"/>
          <c:yMode val="edge"/>
          <c:x val="0.31364434569353744"/>
          <c:y val="5.2998119329571998E-2"/>
        </c:manualLayout>
      </c:layout>
      <c:overlay val="0"/>
      <c:spPr>
        <a:solidFill>
          <a:srgbClr val="4B4B4B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4.8280696518027751E-2"/>
          <c:y val="0.17126006527051185"/>
          <c:w val="0.94162845331636802"/>
          <c:h val="0.67126046252092508"/>
        </c:manualLayout>
      </c:layout>
      <c:lineChart>
        <c:grouping val="standard"/>
        <c:varyColors val="0"/>
        <c:ser>
          <c:idx val="1"/>
          <c:order val="0"/>
          <c:tx>
            <c:strRef>
              <c:f>'10.17.5 Evo.Graficos'!$AO$30</c:f>
              <c:strCache>
                <c:ptCount val="1"/>
                <c:pt idx="0">
                  <c:v>Privada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  <a:effectLst>
              <a:outerShdw blurRad="50800" dist="38100" dir="2700000" algn="tl" rotWithShape="0">
                <a:srgbClr val="00B050">
                  <a:alpha val="40000"/>
                </a:srgbClr>
              </a:outerShdw>
            </a:effectLst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00B050"/>
                </a:solidFill>
                <a:prstDash val="solid"/>
              </a:ln>
              <a:effectLst>
                <a:outerShdw blurRad="50800" dist="38100" dir="2700000" algn="tl" rotWithShape="0">
                  <a:srgbClr val="00B050">
                    <a:alpha val="40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'10.17.5 Evo.Graficos'!$AP$28:$BR$28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Evo.Graficos'!$AP$30:$BR$30</c:f>
              <c:numCache>
                <c:formatCode>#,##0</c:formatCode>
                <c:ptCount val="29"/>
                <c:pt idx="0">
                  <c:v>7.6486299999999998</c:v>
                </c:pt>
                <c:pt idx="1">
                  <c:v>97.751459999999994</c:v>
                </c:pt>
                <c:pt idx="2">
                  <c:v>240.20695500000002</c:v>
                </c:pt>
                <c:pt idx="3">
                  <c:v>250.80912799999999</c:v>
                </c:pt>
                <c:pt idx="4">
                  <c:v>280.83041900000001</c:v>
                </c:pt>
                <c:pt idx="5">
                  <c:v>212.40199999999999</c:v>
                </c:pt>
                <c:pt idx="6">
                  <c:v>33.4861</c:v>
                </c:pt>
                <c:pt idx="7">
                  <c:v>30.042000000000002</c:v>
                </c:pt>
                <c:pt idx="8">
                  <c:v>20.0596</c:v>
                </c:pt>
                <c:pt idx="9">
                  <c:v>92.56519999999999</c:v>
                </c:pt>
                <c:pt idx="10">
                  <c:v>139.72464000000002</c:v>
                </c:pt>
                <c:pt idx="11">
                  <c:v>260.3766</c:v>
                </c:pt>
                <c:pt idx="12">
                  <c:v>244.53100000000001</c:v>
                </c:pt>
                <c:pt idx="13">
                  <c:v>457.017</c:v>
                </c:pt>
                <c:pt idx="14">
                  <c:v>359.53399999999999</c:v>
                </c:pt>
                <c:pt idx="15">
                  <c:v>533.52</c:v>
                </c:pt>
                <c:pt idx="16">
                  <c:v>1212.1923652</c:v>
                </c:pt>
                <c:pt idx="17">
                  <c:v>1746.1386604500001</c:v>
                </c:pt>
                <c:pt idx="18">
                  <c:v>1764.6187</c:v>
                </c:pt>
                <c:pt idx="19">
                  <c:v>1767.1702798337028</c:v>
                </c:pt>
                <c:pt idx="20">
                  <c:v>1730.862904511961</c:v>
                </c:pt>
                <c:pt idx="21">
                  <c:v>938.85761860395303</c:v>
                </c:pt>
                <c:pt idx="22">
                  <c:v>835.50714964695146</c:v>
                </c:pt>
                <c:pt idx="23">
                  <c:v>252.78270118165941</c:v>
                </c:pt>
                <c:pt idx="24">
                  <c:v>177.58205255853528</c:v>
                </c:pt>
                <c:pt idx="25">
                  <c:v>117.39807155026494</c:v>
                </c:pt>
                <c:pt idx="26">
                  <c:v>184.79889614999999</c:v>
                </c:pt>
                <c:pt idx="27">
                  <c:v>587.1724976500002</c:v>
                </c:pt>
                <c:pt idx="28">
                  <c:v>369.31667198090616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1-40D3-91D8-6CA4335D6CA0}"/>
            </c:ext>
          </c:extLst>
        </c:ser>
        <c:ser>
          <c:idx val="0"/>
          <c:order val="1"/>
          <c:tx>
            <c:strRef>
              <c:f>'10.17.5 Evo.Graficos'!$AO$31</c:f>
              <c:strCache>
                <c:ptCount val="1"/>
                <c:pt idx="0">
                  <c:v>Pública</c:v>
                </c:pt>
              </c:strCache>
            </c:strRef>
          </c:tx>
          <c:spPr>
            <a:ln>
              <a:solidFill>
                <a:srgbClr val="0000CC"/>
              </a:solidFill>
            </a:ln>
            <a:effectLst/>
          </c:spPr>
          <c:marker>
            <c:spPr>
              <a:gradFill flip="none" rotWithShape="1">
                <a:gsLst>
                  <a:gs pos="0">
                    <a:srgbClr val="000082"/>
                  </a:gs>
                  <a:gs pos="13000">
                    <a:srgbClr val="0047FF"/>
                  </a:gs>
                  <a:gs pos="28000">
                    <a:srgbClr val="000082"/>
                  </a:gs>
                  <a:gs pos="42999">
                    <a:srgbClr val="0047FF"/>
                  </a:gs>
                  <a:gs pos="58000">
                    <a:srgbClr val="000082"/>
                  </a:gs>
                  <a:gs pos="72000">
                    <a:srgbClr val="0047FF"/>
                  </a:gs>
                  <a:gs pos="87000">
                    <a:srgbClr val="000082"/>
                  </a:gs>
                  <a:gs pos="100000">
                    <a:srgbClr val="0047FF"/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solidFill>
                  <a:srgbClr val="0000CC"/>
                </a:solidFill>
              </a:ln>
              <a:effectLst/>
            </c:spPr>
          </c:marker>
          <c:cat>
            <c:numRef>
              <c:f>'10.17.5 Evo.Graficos'!$AP$28:$BR$28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Evo.Graficos'!$AP$31:$BR$31</c:f>
              <c:numCache>
                <c:formatCode>#,##0</c:formatCode>
                <c:ptCount val="29"/>
                <c:pt idx="0">
                  <c:v>38.418108999999994</c:v>
                </c:pt>
                <c:pt idx="1">
                  <c:v>65.267437000000001</c:v>
                </c:pt>
                <c:pt idx="2">
                  <c:v>103.23717600000001</c:v>
                </c:pt>
                <c:pt idx="3">
                  <c:v>114.53911300000001</c:v>
                </c:pt>
                <c:pt idx="4">
                  <c:v>136.331909</c:v>
                </c:pt>
                <c:pt idx="5">
                  <c:v>123.21599999999999</c:v>
                </c:pt>
                <c:pt idx="6">
                  <c:v>76.277079999999998</c:v>
                </c:pt>
                <c:pt idx="7">
                  <c:v>77.798000000000002</c:v>
                </c:pt>
                <c:pt idx="8">
                  <c:v>67.105500000000006</c:v>
                </c:pt>
                <c:pt idx="9">
                  <c:v>67.001220000000004</c:v>
                </c:pt>
                <c:pt idx="10">
                  <c:v>53.766709999999996</c:v>
                </c:pt>
                <c:pt idx="11">
                  <c:v>29.19792</c:v>
                </c:pt>
                <c:pt idx="12">
                  <c:v>73.499299999999991</c:v>
                </c:pt>
                <c:pt idx="13">
                  <c:v>26.513000000000002</c:v>
                </c:pt>
                <c:pt idx="14">
                  <c:v>88.849000000000004</c:v>
                </c:pt>
                <c:pt idx="15">
                  <c:v>25.114000000000001</c:v>
                </c:pt>
                <c:pt idx="16">
                  <c:v>28.595700000000001</c:v>
                </c:pt>
                <c:pt idx="17">
                  <c:v>35.28</c:v>
                </c:pt>
                <c:pt idx="18">
                  <c:v>65.214799999999997</c:v>
                </c:pt>
                <c:pt idx="19">
                  <c:v>62.090520000000005</c:v>
                </c:pt>
                <c:pt idx="20">
                  <c:v>43.026590689655173</c:v>
                </c:pt>
                <c:pt idx="21">
                  <c:v>26.982600426796537</c:v>
                </c:pt>
                <c:pt idx="22">
                  <c:v>20.363104461214196</c:v>
                </c:pt>
                <c:pt idx="23">
                  <c:v>17.920288498428814</c:v>
                </c:pt>
                <c:pt idx="24">
                  <c:v>19.748448735896876</c:v>
                </c:pt>
                <c:pt idx="25">
                  <c:v>94.14727694272888</c:v>
                </c:pt>
                <c:pt idx="26">
                  <c:v>12.675458426966292</c:v>
                </c:pt>
                <c:pt idx="27">
                  <c:v>15.078839837756901</c:v>
                </c:pt>
                <c:pt idx="28">
                  <c:v>11.511238987822059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1-40D3-91D8-6CA4335D6CA0}"/>
            </c:ext>
          </c:extLst>
        </c:ser>
        <c:ser>
          <c:idx val="2"/>
          <c:order val="2"/>
          <c:tx>
            <c:strRef>
              <c:f>'10.17.5 Evo.Graficos'!$AO$29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solidFill>
                  <a:srgbClr val="FF0000"/>
                </a:solidFill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dLbls>
            <c:dLbl>
              <c:idx val="3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0F2-4EC1-9CAC-874C4E75A8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808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'10.17.5 Evo.Graficos'!$AP$28:$BR$28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Evo.Graficos'!$AP$29:$BR$29</c:f>
              <c:numCache>
                <c:formatCode>#,##0</c:formatCode>
                <c:ptCount val="29"/>
                <c:pt idx="0">
                  <c:v>46.066738999999991</c:v>
                </c:pt>
                <c:pt idx="1">
                  <c:v>163.01889700000001</c:v>
                </c:pt>
                <c:pt idx="2">
                  <c:v>343.44413100000003</c:v>
                </c:pt>
                <c:pt idx="3">
                  <c:v>365.34824100000003</c:v>
                </c:pt>
                <c:pt idx="4">
                  <c:v>417.162328</c:v>
                </c:pt>
                <c:pt idx="5">
                  <c:v>335.61799999999999</c:v>
                </c:pt>
                <c:pt idx="6">
                  <c:v>109.76317999999999</c:v>
                </c:pt>
                <c:pt idx="7">
                  <c:v>107.84</c:v>
                </c:pt>
                <c:pt idx="8">
                  <c:v>87.16510000000001</c:v>
                </c:pt>
                <c:pt idx="9">
                  <c:v>159.56641999999999</c:v>
                </c:pt>
                <c:pt idx="10">
                  <c:v>193.49135000000001</c:v>
                </c:pt>
                <c:pt idx="11">
                  <c:v>289.57452000000001</c:v>
                </c:pt>
                <c:pt idx="12">
                  <c:v>318.03030000000001</c:v>
                </c:pt>
                <c:pt idx="13">
                  <c:v>483.53</c:v>
                </c:pt>
                <c:pt idx="14">
                  <c:v>448.38299999999998</c:v>
                </c:pt>
                <c:pt idx="15">
                  <c:v>558.63400000000001</c:v>
                </c:pt>
                <c:pt idx="16">
                  <c:v>1240.7880652000001</c:v>
                </c:pt>
                <c:pt idx="17">
                  <c:v>1781.4186604500001</c:v>
                </c:pt>
                <c:pt idx="18">
                  <c:v>1829.8335</c:v>
                </c:pt>
                <c:pt idx="19">
                  <c:v>1829.2607998337028</c:v>
                </c:pt>
                <c:pt idx="20">
                  <c:v>1773.8894952016162</c:v>
                </c:pt>
                <c:pt idx="21">
                  <c:v>965.84021903074961</c:v>
                </c:pt>
                <c:pt idx="22">
                  <c:v>855.87025410816568</c:v>
                </c:pt>
                <c:pt idx="23">
                  <c:v>270.70298968008819</c:v>
                </c:pt>
                <c:pt idx="24">
                  <c:v>197.33050129443217</c:v>
                </c:pt>
                <c:pt idx="25">
                  <c:v>211.54534849299381</c:v>
                </c:pt>
                <c:pt idx="26">
                  <c:v>197.47435457696628</c:v>
                </c:pt>
                <c:pt idx="27">
                  <c:v>602.25133748775704</c:v>
                </c:pt>
                <c:pt idx="28">
                  <c:v>380.82791096872825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91-40D3-91D8-6CA4335D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79360"/>
        <c:axId val="60480896"/>
      </c:lineChart>
      <c:catAx>
        <c:axId val="604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048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808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millones US$
</a:t>
                </a:r>
              </a:p>
            </c:rich>
          </c:tx>
          <c:layout>
            <c:manualLayout>
              <c:xMode val="edge"/>
              <c:yMode val="edge"/>
              <c:x val="7.3446826213861074E-3"/>
              <c:y val="0.37208403083472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0479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285070373270482"/>
          <c:y val="0.91251307169281004"/>
          <c:w val="0.36986309573494125"/>
          <c:h val="6.0606154545642443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44" r="0.75000000000000044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RESUMEN - TOTAL DE INVERSIÓN HISTÓRICA ACUMULADA </a:t>
            </a:r>
          </a:p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PERIODO 1995 - 2023</a:t>
            </a:r>
          </a:p>
        </c:rich>
      </c:tx>
      <c:layout>
        <c:manualLayout>
          <c:xMode val="edge"/>
          <c:yMode val="edge"/>
          <c:x val="0.20777026887387109"/>
          <c:y val="4.1766725799591259E-2"/>
        </c:manualLayout>
      </c:layout>
      <c:overlay val="0"/>
      <c:spPr>
        <a:solidFill>
          <a:srgbClr val="4B4B4B"/>
        </a:solidFill>
        <a:scene3d>
          <a:camera prst="orthographicFront"/>
          <a:lightRig rig="threePt" dir="t"/>
        </a:scene3d>
        <a:sp3d prstMaterial="plastic">
          <a:bevelT w="50800" h="50800"/>
        </a:sp3d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066663911105602"/>
          <c:y val="0.2747155913811169"/>
          <c:w val="0.48295134368046505"/>
          <c:h val="0.4538978971502080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3A7-496E-BD4C-E90DCCC0FED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33A7-496E-BD4C-E90DCCC0FED2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33A7-496E-BD4C-E90DCCC0FED2}"/>
              </c:ext>
            </c:extLst>
          </c:dPt>
          <c:dLbls>
            <c:dLbl>
              <c:idx val="0"/>
              <c:layout>
                <c:manualLayout>
                  <c:x val="0.18684660480432072"/>
                  <c:y val="-3.8282862863485939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Estatal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13,8%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3A7-496E-BD4C-E90DCCC0FED2}"/>
                </c:ext>
              </c:extLst>
            </c:dLbl>
            <c:dLbl>
              <c:idx val="1"/>
              <c:layout>
                <c:manualLayout>
                  <c:x val="-0.20728708124082915"/>
                  <c:y val="-8.462938180158310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Privada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77,7%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3A7-496E-BD4C-E90DCCC0FED2}"/>
                </c:ext>
              </c:extLst>
            </c:dLbl>
            <c:dLbl>
              <c:idx val="2"/>
              <c:layout>
                <c:manualLayout>
                  <c:x val="-0.15896418459503586"/>
                  <c:y val="4.092911310987312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Rural *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6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8,5%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3A7-496E-BD4C-E90DCCC0F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'10.17.5 Evo.Graficos'!$A$13:$A$15</c:f>
              <c:strCache>
                <c:ptCount val="3"/>
                <c:pt idx="0">
                  <c:v>Estatal</c:v>
                </c:pt>
                <c:pt idx="1">
                  <c:v>Privada</c:v>
                </c:pt>
                <c:pt idx="2">
                  <c:v>Rural (*)</c:v>
                </c:pt>
              </c:strCache>
            </c:strRef>
          </c:cat>
          <c:val>
            <c:numRef>
              <c:f>'10.17.5 Evo.Graficos'!$AQ$71:$AQ$73</c:f>
              <c:numCache>
                <c:formatCode>0.0%</c:formatCode>
                <c:ptCount val="3"/>
                <c:pt idx="0">
                  <c:v>0.1383194956738992</c:v>
                </c:pt>
                <c:pt idx="1">
                  <c:v>0.77717383530039374</c:v>
                </c:pt>
                <c:pt idx="2">
                  <c:v>8.4506669025707096E-2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A7-496E-BD4C-E90DCCC0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EVOLUCIÓN DE LAS INVERSIONES DE LAS EMPRESAS DISTRIBUIDORAS
PERÍODO 1995- 2023</a:t>
            </a:r>
          </a:p>
        </c:rich>
      </c:tx>
      <c:layout>
        <c:manualLayout>
          <c:xMode val="edge"/>
          <c:yMode val="edge"/>
          <c:x val="0.31227032943367633"/>
          <c:y val="2.1547581750788431E-2"/>
        </c:manualLayout>
      </c:layout>
      <c:overlay val="0"/>
      <c:spPr>
        <a:solidFill>
          <a:srgbClr val="4B4B4B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4.5991906829334871E-2"/>
          <c:y val="0.14886176759466913"/>
          <c:w val="0.95220381745475535"/>
          <c:h val="0.70811497074249252"/>
        </c:manualLayout>
      </c:layout>
      <c:lineChart>
        <c:grouping val="standard"/>
        <c:varyColors val="0"/>
        <c:ser>
          <c:idx val="1"/>
          <c:order val="0"/>
          <c:tx>
            <c:strRef>
              <c:f>'10.17.5 Evo.Graficos'!$AO$59</c:f>
              <c:strCache>
                <c:ptCount val="1"/>
                <c:pt idx="0">
                  <c:v>Privada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  <a:effectLst>
              <a:outerShdw blurRad="50800" dist="38100" dir="2700000" algn="tl" rotWithShape="0">
                <a:srgbClr val="00B050">
                  <a:alpha val="40000"/>
                </a:srgbClr>
              </a:outerShdw>
            </a:effectLst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00B050"/>
                </a:solidFill>
                <a:prstDash val="solid"/>
              </a:ln>
              <a:effectLst>
                <a:outerShdw blurRad="50800" dist="38100" dir="2700000" algn="tl" rotWithShape="0">
                  <a:srgbClr val="00B050">
                    <a:alpha val="40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'10.17.5 Evo.Graficos'!$AP$57:$BR$57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Evo.Graficos'!$AP$59:$BR$59</c:f>
              <c:numCache>
                <c:formatCode>#,##0</c:formatCode>
                <c:ptCount val="29"/>
                <c:pt idx="0">
                  <c:v>58.517000000000003</c:v>
                </c:pt>
                <c:pt idx="1">
                  <c:v>98.169709999999995</c:v>
                </c:pt>
                <c:pt idx="2">
                  <c:v>99.528959999999998</c:v>
                </c:pt>
                <c:pt idx="3">
                  <c:v>94.407959999999989</c:v>
                </c:pt>
                <c:pt idx="4">
                  <c:v>87.425529999999995</c:v>
                </c:pt>
                <c:pt idx="5">
                  <c:v>123.11799999999999</c:v>
                </c:pt>
                <c:pt idx="6">
                  <c:v>118.71619</c:v>
                </c:pt>
                <c:pt idx="7">
                  <c:v>65.021000000000001</c:v>
                </c:pt>
                <c:pt idx="8">
                  <c:v>48.238500000000002</c:v>
                </c:pt>
                <c:pt idx="9">
                  <c:v>51.620899999999999</c:v>
                </c:pt>
                <c:pt idx="10">
                  <c:v>70.70308</c:v>
                </c:pt>
                <c:pt idx="11">
                  <c:v>73.539000000000001</c:v>
                </c:pt>
                <c:pt idx="12">
                  <c:v>85.180669999999992</c:v>
                </c:pt>
                <c:pt idx="13">
                  <c:v>133.536</c:v>
                </c:pt>
                <c:pt idx="14">
                  <c:v>127.93300000000001</c:v>
                </c:pt>
                <c:pt idx="15">
                  <c:v>112.675</c:v>
                </c:pt>
                <c:pt idx="16">
                  <c:v>151.01259999999999</c:v>
                </c:pt>
                <c:pt idx="17">
                  <c:v>251.02120000000002</c:v>
                </c:pt>
                <c:pt idx="18">
                  <c:v>277.2604</c:v>
                </c:pt>
                <c:pt idx="19">
                  <c:v>285.05428000000001</c:v>
                </c:pt>
                <c:pt idx="20">
                  <c:v>278.40276954785736</c:v>
                </c:pt>
                <c:pt idx="21">
                  <c:v>264.67293591875591</c:v>
                </c:pt>
                <c:pt idx="22">
                  <c:v>260.74247630621966</c:v>
                </c:pt>
                <c:pt idx="23">
                  <c:v>246.4051649705215</c:v>
                </c:pt>
                <c:pt idx="24">
                  <c:v>118.56270805092555</c:v>
                </c:pt>
                <c:pt idx="25">
                  <c:v>118.58163699812522</c:v>
                </c:pt>
                <c:pt idx="26">
                  <c:v>278.08956344129217</c:v>
                </c:pt>
                <c:pt idx="27">
                  <c:v>230.65192081624491</c:v>
                </c:pt>
                <c:pt idx="28">
                  <c:v>268.51926532626129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2-4A87-9EB6-85F8E76B5458}"/>
            </c:ext>
          </c:extLst>
        </c:ser>
        <c:ser>
          <c:idx val="0"/>
          <c:order val="1"/>
          <c:tx>
            <c:strRef>
              <c:f>'10.17.5 Evo.Graficos'!$AO$60</c:f>
              <c:strCache>
                <c:ptCount val="1"/>
                <c:pt idx="0">
                  <c:v>Pública</c:v>
                </c:pt>
              </c:strCache>
            </c:strRef>
          </c:tx>
          <c:spPr>
            <a:ln>
              <a:solidFill>
                <a:srgbClr val="0000CC"/>
              </a:solidFill>
            </a:ln>
            <a:effectLst/>
          </c:spPr>
          <c:marker>
            <c:spPr>
              <a:gradFill flip="none" rotWithShape="1">
                <a:gsLst>
                  <a:gs pos="0">
                    <a:srgbClr val="000082"/>
                  </a:gs>
                  <a:gs pos="13000">
                    <a:srgbClr val="0047FF"/>
                  </a:gs>
                  <a:gs pos="28000">
                    <a:srgbClr val="000082"/>
                  </a:gs>
                  <a:gs pos="42999">
                    <a:srgbClr val="0047FF"/>
                  </a:gs>
                  <a:gs pos="58000">
                    <a:srgbClr val="000082"/>
                  </a:gs>
                  <a:gs pos="72000">
                    <a:srgbClr val="0047FF"/>
                  </a:gs>
                  <a:gs pos="87000">
                    <a:srgbClr val="000082"/>
                  </a:gs>
                  <a:gs pos="100000">
                    <a:srgbClr val="0047FF"/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solidFill>
                  <a:srgbClr val="0000CC"/>
                </a:solidFill>
              </a:ln>
              <a:effectLst/>
            </c:spPr>
          </c:marker>
          <c:cat>
            <c:numRef>
              <c:f>'10.17.5 Evo.Graficos'!$AP$57:$BR$57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Evo.Graficos'!$AP$60:$BR$60</c:f>
              <c:numCache>
                <c:formatCode>0</c:formatCode>
                <c:ptCount val="29"/>
                <c:pt idx="0">
                  <c:v>104.88224000000001</c:v>
                </c:pt>
                <c:pt idx="1">
                  <c:v>95.107770000000002</c:v>
                </c:pt>
                <c:pt idx="2">
                  <c:v>71.932009999999991</c:v>
                </c:pt>
                <c:pt idx="3">
                  <c:v>42.096959999999989</c:v>
                </c:pt>
                <c:pt idx="4">
                  <c:v>34.074750011834318</c:v>
                </c:pt>
                <c:pt idx="5">
                  <c:v>16.082999999999998</c:v>
                </c:pt>
                <c:pt idx="6">
                  <c:v>15.665599999999998</c:v>
                </c:pt>
                <c:pt idx="7">
                  <c:v>31.68</c:v>
                </c:pt>
                <c:pt idx="8">
                  <c:v>43.72654</c:v>
                </c:pt>
                <c:pt idx="9">
                  <c:v>49.11421</c:v>
                </c:pt>
                <c:pt idx="10">
                  <c:v>63.639319999999998</c:v>
                </c:pt>
                <c:pt idx="11">
                  <c:v>66.543580000000006</c:v>
                </c:pt>
                <c:pt idx="12">
                  <c:v>66.215899999999991</c:v>
                </c:pt>
                <c:pt idx="13">
                  <c:v>102.369</c:v>
                </c:pt>
                <c:pt idx="14">
                  <c:v>161.13200000000001</c:v>
                </c:pt>
                <c:pt idx="15">
                  <c:v>140.49700000000001</c:v>
                </c:pt>
                <c:pt idx="16">
                  <c:v>78.378</c:v>
                </c:pt>
                <c:pt idx="17">
                  <c:v>86.343000000000004</c:v>
                </c:pt>
                <c:pt idx="18">
                  <c:v>144.10810000000001</c:v>
                </c:pt>
                <c:pt idx="19">
                  <c:v>116.24097350396769</c:v>
                </c:pt>
                <c:pt idx="20">
                  <c:v>79.044303691234575</c:v>
                </c:pt>
                <c:pt idx="21">
                  <c:v>99.991755357142864</c:v>
                </c:pt>
                <c:pt idx="22">
                  <c:v>31.644857294849782</c:v>
                </c:pt>
                <c:pt idx="23">
                  <c:v>60.534053964794722</c:v>
                </c:pt>
                <c:pt idx="24">
                  <c:v>150.25602725612583</c:v>
                </c:pt>
                <c:pt idx="25">
                  <c:v>80.125741573033707</c:v>
                </c:pt>
                <c:pt idx="26">
                  <c:v>122.98717415730339</c:v>
                </c:pt>
                <c:pt idx="27">
                  <c:v>146.20205399056107</c:v>
                </c:pt>
                <c:pt idx="28">
                  <c:v>166.81408272183523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2-4A87-9EB6-85F8E76B5458}"/>
            </c:ext>
          </c:extLst>
        </c:ser>
        <c:ser>
          <c:idx val="2"/>
          <c:order val="2"/>
          <c:tx>
            <c:strRef>
              <c:f>'10.17.5 Evo.Graficos'!$AO$58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solidFill>
                  <a:srgbClr val="FF0000"/>
                </a:solidFill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'10.17.5 Evo.Graficos'!$AP$57:$BR$57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Evo.Graficos'!$AP$58:$BR$58</c:f>
              <c:numCache>
                <c:formatCode>#,##0</c:formatCode>
                <c:ptCount val="29"/>
                <c:pt idx="0">
                  <c:v>163.39924000000002</c:v>
                </c:pt>
                <c:pt idx="1">
                  <c:v>193.27748</c:v>
                </c:pt>
                <c:pt idx="2">
                  <c:v>171.46096999999997</c:v>
                </c:pt>
                <c:pt idx="3">
                  <c:v>136.50491999999997</c:v>
                </c:pt>
                <c:pt idx="4">
                  <c:v>121.50028001183432</c:v>
                </c:pt>
                <c:pt idx="5">
                  <c:v>139.20099999999999</c:v>
                </c:pt>
                <c:pt idx="6">
                  <c:v>134.38179</c:v>
                </c:pt>
                <c:pt idx="7">
                  <c:v>96.700999999999993</c:v>
                </c:pt>
                <c:pt idx="8">
                  <c:v>91.965040000000002</c:v>
                </c:pt>
                <c:pt idx="9">
                  <c:v>100.73510999999999</c:v>
                </c:pt>
                <c:pt idx="10">
                  <c:v>134.3424</c:v>
                </c:pt>
                <c:pt idx="11">
                  <c:v>140.08258000000001</c:v>
                </c:pt>
                <c:pt idx="12">
                  <c:v>151.39657</c:v>
                </c:pt>
                <c:pt idx="13">
                  <c:v>235.905</c:v>
                </c:pt>
                <c:pt idx="14">
                  <c:v>289.065</c:v>
                </c:pt>
                <c:pt idx="15">
                  <c:v>253.17200000000003</c:v>
                </c:pt>
                <c:pt idx="16">
                  <c:v>229.39060000000001</c:v>
                </c:pt>
                <c:pt idx="17">
                  <c:v>337.36420000000004</c:v>
                </c:pt>
                <c:pt idx="18">
                  <c:v>421.36850000000004</c:v>
                </c:pt>
                <c:pt idx="19">
                  <c:v>401.29525350396773</c:v>
                </c:pt>
                <c:pt idx="20">
                  <c:v>357.44707323909194</c:v>
                </c:pt>
                <c:pt idx="21">
                  <c:v>364.6646912758988</c:v>
                </c:pt>
                <c:pt idx="22">
                  <c:v>292.38733360106943</c:v>
                </c:pt>
                <c:pt idx="23">
                  <c:v>306.93921893531621</c:v>
                </c:pt>
                <c:pt idx="24">
                  <c:v>268.81873530705138</c:v>
                </c:pt>
                <c:pt idx="25">
                  <c:v>198.70737857115893</c:v>
                </c:pt>
                <c:pt idx="26">
                  <c:v>401.07673759859557</c:v>
                </c:pt>
                <c:pt idx="27">
                  <c:v>376.85397480680598</c:v>
                </c:pt>
                <c:pt idx="28">
                  <c:v>435.33334804809652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2-4A87-9EB6-85F8E76B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03392"/>
        <c:axId val="60605184"/>
      </c:lineChart>
      <c:catAx>
        <c:axId val="606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060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051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millones US$
</a:t>
                </a:r>
              </a:p>
            </c:rich>
          </c:tx>
          <c:layout>
            <c:manualLayout>
              <c:xMode val="edge"/>
              <c:yMode val="edge"/>
              <c:x val="2.5822540444409184E-3"/>
              <c:y val="0.317914603931951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0603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739357517338037"/>
          <c:y val="0.91924725696503351"/>
          <c:w val="0.36986305427186839"/>
          <c:h val="6.0606294615975109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78" r="0.75000000000000078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EVOLUCIÓN DE LAS INVERSIONES DE LAS EMPRESAS TRANSMISORAS</a:t>
            </a:r>
          </a:p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PERÍODO 1995 - 2023</a:t>
            </a:r>
          </a:p>
        </c:rich>
      </c:tx>
      <c:layout>
        <c:manualLayout>
          <c:xMode val="edge"/>
          <c:yMode val="edge"/>
          <c:x val="0.31540040744130604"/>
          <c:y val="6.4813398616778317E-2"/>
        </c:manualLayout>
      </c:layout>
      <c:overlay val="0"/>
      <c:spPr>
        <a:solidFill>
          <a:srgbClr val="4B4B4B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4.7465806931613869E-2"/>
          <c:y val="0.15631277820560868"/>
          <c:w val="0.94573671991788433"/>
          <c:h val="0.68871138602664639"/>
        </c:manualLayout>
      </c:layout>
      <c:lineChart>
        <c:grouping val="standard"/>
        <c:varyColors val="0"/>
        <c:ser>
          <c:idx val="1"/>
          <c:order val="0"/>
          <c:tx>
            <c:strRef>
              <c:f>'10.17.5 Evo.Graficos'!$AO$42</c:f>
              <c:strCache>
                <c:ptCount val="1"/>
                <c:pt idx="0">
                  <c:v>Privada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  <a:effectLst>
              <a:outerShdw blurRad="50800" dist="38100" dir="2700000" algn="tl" rotWithShape="0">
                <a:srgbClr val="00B050">
                  <a:alpha val="40000"/>
                </a:srgbClr>
              </a:outerShdw>
            </a:effectLst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00B050"/>
                </a:solidFill>
                <a:prstDash val="solid"/>
              </a:ln>
              <a:effectLst>
                <a:outerShdw blurRad="50800" dist="38100" dir="2700000" algn="tl" rotWithShape="0">
                  <a:srgbClr val="00B050">
                    <a:alpha val="40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'10.17.5 Evo.Graficos'!$AP$40:$BR$40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Evo.Graficos'!$AP$42:$BR$42</c:f>
              <c:numCache>
                <c:formatCode>#,##0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13.488</c:v>
                </c:pt>
                <c:pt idx="4">
                  <c:v>139.48872</c:v>
                </c:pt>
                <c:pt idx="5">
                  <c:v>102.249</c:v>
                </c:pt>
                <c:pt idx="6">
                  <c:v>58.627000000000002</c:v>
                </c:pt>
                <c:pt idx="7">
                  <c:v>37.28</c:v>
                </c:pt>
                <c:pt idx="8">
                  <c:v>12.825610000000001</c:v>
                </c:pt>
                <c:pt idx="9">
                  <c:v>24.365860000000001</c:v>
                </c:pt>
                <c:pt idx="10">
                  <c:v>20.633900000000001</c:v>
                </c:pt>
                <c:pt idx="11">
                  <c:v>16.54345</c:v>
                </c:pt>
                <c:pt idx="12">
                  <c:v>69.635899999999992</c:v>
                </c:pt>
                <c:pt idx="13">
                  <c:v>43.106000000000002</c:v>
                </c:pt>
                <c:pt idx="14">
                  <c:v>254.363</c:v>
                </c:pt>
                <c:pt idx="15">
                  <c:v>332.55700000000002</c:v>
                </c:pt>
                <c:pt idx="16">
                  <c:v>278.54599999999999</c:v>
                </c:pt>
                <c:pt idx="17">
                  <c:v>470.27</c:v>
                </c:pt>
                <c:pt idx="18">
                  <c:v>188.4134</c:v>
                </c:pt>
                <c:pt idx="19">
                  <c:v>244.01244188000001</c:v>
                </c:pt>
                <c:pt idx="20">
                  <c:v>354.97169140999995</c:v>
                </c:pt>
                <c:pt idx="21">
                  <c:v>398.28611609000006</c:v>
                </c:pt>
                <c:pt idx="22">
                  <c:v>269.02376026833315</c:v>
                </c:pt>
                <c:pt idx="23">
                  <c:v>81.554137765000007</c:v>
                </c:pt>
                <c:pt idx="24">
                  <c:v>152.23425350425475</c:v>
                </c:pt>
                <c:pt idx="25">
                  <c:v>7.0730336626472052</c:v>
                </c:pt>
                <c:pt idx="26">
                  <c:v>506.98487</c:v>
                </c:pt>
                <c:pt idx="27">
                  <c:v>157.39741952</c:v>
                </c:pt>
                <c:pt idx="28">
                  <c:v>243.04454286608248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1-4D5D-B5C9-9CF36D82A96D}"/>
            </c:ext>
          </c:extLst>
        </c:ser>
        <c:ser>
          <c:idx val="0"/>
          <c:order val="1"/>
          <c:tx>
            <c:strRef>
              <c:f>'10.17.5 Evo.Graficos'!$AO$43</c:f>
              <c:strCache>
                <c:ptCount val="1"/>
                <c:pt idx="0">
                  <c:v>Pública</c:v>
                </c:pt>
              </c:strCache>
            </c:strRef>
          </c:tx>
          <c:spPr>
            <a:ln>
              <a:solidFill>
                <a:srgbClr val="0000CC"/>
              </a:solidFill>
            </a:ln>
            <a:effectLst/>
          </c:spPr>
          <c:marker>
            <c:spPr>
              <a:gradFill flip="none" rotWithShape="1">
                <a:gsLst>
                  <a:gs pos="0">
                    <a:srgbClr val="000082"/>
                  </a:gs>
                  <a:gs pos="13000">
                    <a:srgbClr val="0047FF"/>
                  </a:gs>
                  <a:gs pos="28000">
                    <a:srgbClr val="000082"/>
                  </a:gs>
                  <a:gs pos="42999">
                    <a:srgbClr val="0047FF"/>
                  </a:gs>
                  <a:gs pos="58000">
                    <a:srgbClr val="000082"/>
                  </a:gs>
                  <a:gs pos="72000">
                    <a:srgbClr val="0047FF"/>
                  </a:gs>
                  <a:gs pos="87000">
                    <a:srgbClr val="000082"/>
                  </a:gs>
                  <a:gs pos="100000">
                    <a:srgbClr val="0047FF"/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solidFill>
                  <a:srgbClr val="0000CC"/>
                </a:solidFill>
              </a:ln>
              <a:effectLst/>
            </c:spPr>
          </c:marker>
          <c:cat>
            <c:numRef>
              <c:f>'10.17.5 Evo.Graficos'!$AP$40:$BR$40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Evo.Graficos'!$AP$43:$BR$43</c:f>
              <c:numCache>
                <c:formatCode>0</c:formatCode>
                <c:ptCount val="29"/>
                <c:pt idx="0">
                  <c:v>11.412649999999999</c:v>
                </c:pt>
                <c:pt idx="1">
                  <c:v>16.600999999999999</c:v>
                </c:pt>
                <c:pt idx="2">
                  <c:v>32.720779999999998</c:v>
                </c:pt>
                <c:pt idx="3">
                  <c:v>46.155270000000002</c:v>
                </c:pt>
                <c:pt idx="4">
                  <c:v>31.317900000000002</c:v>
                </c:pt>
                <c:pt idx="5">
                  <c:v>26.69</c:v>
                </c:pt>
                <c:pt idx="6">
                  <c:v>3.1160000000000001</c:v>
                </c:pt>
                <c:pt idx="7">
                  <c:v>0.377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1-4D5D-B5C9-9CF36D82A96D}"/>
            </c:ext>
          </c:extLst>
        </c:ser>
        <c:ser>
          <c:idx val="2"/>
          <c:order val="2"/>
          <c:tx>
            <c:strRef>
              <c:f>'10.17.5 Evo.Graficos'!$AO$41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'10.17.5 Evo.Graficos'!$AP$40:$BR$40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'10.17.5 Evo.Graficos'!$AP$41:$BR$41</c:f>
              <c:numCache>
                <c:formatCode>#,##0</c:formatCode>
                <c:ptCount val="29"/>
                <c:pt idx="0">
                  <c:v>11.412649999999999</c:v>
                </c:pt>
                <c:pt idx="1">
                  <c:v>16.600999999999999</c:v>
                </c:pt>
                <c:pt idx="2">
                  <c:v>32.720779999999998</c:v>
                </c:pt>
                <c:pt idx="3">
                  <c:v>59.643270000000001</c:v>
                </c:pt>
                <c:pt idx="4">
                  <c:v>170.80662000000001</c:v>
                </c:pt>
                <c:pt idx="5">
                  <c:v>128.93899999999999</c:v>
                </c:pt>
                <c:pt idx="6">
                  <c:v>61.743000000000002</c:v>
                </c:pt>
                <c:pt idx="7">
                  <c:v>37.657000000000004</c:v>
                </c:pt>
                <c:pt idx="8">
                  <c:v>12.825610000000001</c:v>
                </c:pt>
                <c:pt idx="9">
                  <c:v>24.365860000000001</c:v>
                </c:pt>
                <c:pt idx="10">
                  <c:v>20.633900000000001</c:v>
                </c:pt>
                <c:pt idx="11">
                  <c:v>16.54345</c:v>
                </c:pt>
                <c:pt idx="12">
                  <c:v>69.635899999999992</c:v>
                </c:pt>
                <c:pt idx="13">
                  <c:v>43.106000000000002</c:v>
                </c:pt>
                <c:pt idx="14">
                  <c:v>254.363</c:v>
                </c:pt>
                <c:pt idx="15">
                  <c:v>332.55700000000002</c:v>
                </c:pt>
                <c:pt idx="16">
                  <c:v>278.54599999999999</c:v>
                </c:pt>
                <c:pt idx="17">
                  <c:v>470.27</c:v>
                </c:pt>
                <c:pt idx="18">
                  <c:v>188.4134</c:v>
                </c:pt>
                <c:pt idx="19">
                  <c:v>244.01244188000001</c:v>
                </c:pt>
                <c:pt idx="20">
                  <c:v>354.97169140999995</c:v>
                </c:pt>
                <c:pt idx="21">
                  <c:v>398.28611609000006</c:v>
                </c:pt>
                <c:pt idx="22">
                  <c:v>269.02376026833315</c:v>
                </c:pt>
                <c:pt idx="23">
                  <c:v>81.554137765000007</c:v>
                </c:pt>
                <c:pt idx="24">
                  <c:v>152.23425350425475</c:v>
                </c:pt>
                <c:pt idx="25">
                  <c:v>7.0730336626472052</c:v>
                </c:pt>
                <c:pt idx="26">
                  <c:v>506.98487</c:v>
                </c:pt>
                <c:pt idx="27">
                  <c:v>157.39741952</c:v>
                </c:pt>
                <c:pt idx="28">
                  <c:v>243.04454286608248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21-4D5D-B5C9-9CF36D82A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0000"/>
        <c:axId val="80881536"/>
      </c:lineChart>
      <c:catAx>
        <c:axId val="8088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088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8815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millones US$
</a:t>
                </a:r>
              </a:p>
            </c:rich>
          </c:tx>
          <c:layout>
            <c:manualLayout>
              <c:xMode val="edge"/>
              <c:yMode val="edge"/>
              <c:x val="4.3032954214056581E-3"/>
              <c:y val="0.350448508565687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0880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520369044778492"/>
          <c:y val="0.91913948632172482"/>
          <c:w val="0.36962061560486759"/>
          <c:h val="6.0453295041526633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POTENCIA EFECTIVA - GENERADORAS PARA MERCADO ELÉCTRICO
1 995 - 2 023</a:t>
            </a:r>
          </a:p>
        </c:rich>
      </c:tx>
      <c:layout>
        <c:manualLayout>
          <c:xMode val="edge"/>
          <c:yMode val="edge"/>
          <c:x val="0.27198133108729416"/>
          <c:y val="5.5172413793103448E-2"/>
        </c:manualLayout>
      </c:layout>
      <c:overlay val="0"/>
      <c:spPr>
        <a:solidFill>
          <a:srgbClr val="4B4B4B"/>
        </a:solidFill>
        <a:ln w="25400">
          <a:noFill/>
        </a:ln>
        <a:scene3d>
          <a:camera prst="orthographicFront"/>
          <a:lightRig rig="balanced" dir="t"/>
        </a:scene3d>
        <a:sp3d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8.3636553383113391E-2"/>
          <c:y val="0.20574712643678161"/>
          <c:w val="0.9068415752205925"/>
          <c:h val="0.56187792237575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'10.2 Efect'!$R$42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'10.2 Efect'!$Q$43:$Q$71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Efect'!$R$43:$R$71</c:f>
              <c:numCache>
                <c:formatCode>#\ ##0.00</c:formatCode>
                <c:ptCount val="29"/>
                <c:pt idx="0">
                  <c:v>3195.3919999999998</c:v>
                </c:pt>
                <c:pt idx="1">
                  <c:v>2879.5010000000002</c:v>
                </c:pt>
                <c:pt idx="2">
                  <c:v>3826.8329999999996</c:v>
                </c:pt>
                <c:pt idx="3">
                  <c:v>4020.8509999999997</c:v>
                </c:pt>
                <c:pt idx="4">
                  <c:v>4317.9289999999992</c:v>
                </c:pt>
                <c:pt idx="5">
                  <c:v>4775.9350000000004</c:v>
                </c:pt>
                <c:pt idx="6">
                  <c:v>4642.0639999999994</c:v>
                </c:pt>
                <c:pt idx="7">
                  <c:v>4657.8269999999993</c:v>
                </c:pt>
                <c:pt idx="8">
                  <c:v>4686.3940000000002</c:v>
                </c:pt>
                <c:pt idx="9">
                  <c:v>4657.3150700000006</c:v>
                </c:pt>
                <c:pt idx="10">
                  <c:v>4798.6629999999996</c:v>
                </c:pt>
                <c:pt idx="11">
                  <c:v>5064.3620000000001</c:v>
                </c:pt>
                <c:pt idx="12">
                  <c:v>5532.8549999999987</c:v>
                </c:pt>
                <c:pt idx="13">
                  <c:v>5444.2159999999994</c:v>
                </c:pt>
                <c:pt idx="14">
                  <c:v>6246.4090000000006</c:v>
                </c:pt>
                <c:pt idx="15">
                  <c:v>6875.0379999999996</c:v>
                </c:pt>
                <c:pt idx="16">
                  <c:v>6867.8210000000026</c:v>
                </c:pt>
                <c:pt idx="17">
                  <c:v>7754.9050000000025</c:v>
                </c:pt>
                <c:pt idx="18">
                  <c:v>8680.4210000000021</c:v>
                </c:pt>
                <c:pt idx="19">
                  <c:v>9082.8000000000065</c:v>
                </c:pt>
                <c:pt idx="20">
                  <c:v>10028.284000000005</c:v>
                </c:pt>
                <c:pt idx="21">
                  <c:v>12450.708000000002</c:v>
                </c:pt>
                <c:pt idx="22">
                  <c:v>12631.256179999948</c:v>
                </c:pt>
                <c:pt idx="23">
                  <c:v>13145.596000000005</c:v>
                </c:pt>
                <c:pt idx="24">
                  <c:v>13159.246999999999</c:v>
                </c:pt>
                <c:pt idx="25">
                  <c:v>13209.904000000004</c:v>
                </c:pt>
                <c:pt idx="26">
                  <c:v>13339.100000000008</c:v>
                </c:pt>
                <c:pt idx="27">
                  <c:v>13698.299000000001</c:v>
                </c:pt>
                <c:pt idx="28">
                  <c:v>14354.068000000001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E-4F06-A67C-CB039AC9B5B4}"/>
            </c:ext>
          </c:extLst>
        </c:ser>
        <c:ser>
          <c:idx val="1"/>
          <c:order val="1"/>
          <c:tx>
            <c:strRef>
              <c:f>'10.2 Efect'!$S$42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00CC"/>
              </a:solidFill>
            </a:ln>
          </c:spPr>
          <c:invertIfNegative val="0"/>
          <c:cat>
            <c:numRef>
              <c:f>'10.2 Efect'!$Q$43:$Q$71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Efect'!$S$43:$S$71</c:f>
              <c:numCache>
                <c:formatCode>#\ ##0.00</c:formatCode>
                <c:ptCount val="29"/>
                <c:pt idx="0">
                  <c:v>2205.915</c:v>
                </c:pt>
                <c:pt idx="1">
                  <c:v>1924.8510000000001</c:v>
                </c:pt>
                <c:pt idx="2">
                  <c:v>2120.1709999999998</c:v>
                </c:pt>
                <c:pt idx="3">
                  <c:v>2022.9019999999998</c:v>
                </c:pt>
                <c:pt idx="4">
                  <c:v>2242.625</c:v>
                </c:pt>
                <c:pt idx="5">
                  <c:v>2575.9240000000004</c:v>
                </c:pt>
                <c:pt idx="6">
                  <c:v>2674.8349999999996</c:v>
                </c:pt>
                <c:pt idx="7">
                  <c:v>2702.8629999999998</c:v>
                </c:pt>
                <c:pt idx="8">
                  <c:v>2720.2290000000003</c:v>
                </c:pt>
                <c:pt idx="9">
                  <c:v>2747.2720700000009</c:v>
                </c:pt>
                <c:pt idx="10">
                  <c:v>2918.7730000000001</c:v>
                </c:pt>
                <c:pt idx="11">
                  <c:v>2926.6179999999999</c:v>
                </c:pt>
                <c:pt idx="12">
                  <c:v>2939.5869999999982</c:v>
                </c:pt>
                <c:pt idx="13">
                  <c:v>2953.1210000000005</c:v>
                </c:pt>
                <c:pt idx="14">
                  <c:v>3037.1620000000003</c:v>
                </c:pt>
                <c:pt idx="15" formatCode="General">
                  <c:v>3237.3610000000008</c:v>
                </c:pt>
                <c:pt idx="16" formatCode="General">
                  <c:v>3246.6250000000014</c:v>
                </c:pt>
                <c:pt idx="17" formatCode="General">
                  <c:v>3270.5970000000007</c:v>
                </c:pt>
                <c:pt idx="18" formatCode="General">
                  <c:v>3337.0359999999991</c:v>
                </c:pt>
                <c:pt idx="19" formatCode="General">
                  <c:v>3435.9410000000003</c:v>
                </c:pt>
                <c:pt idx="20" formatCode="General">
                  <c:v>3928.0909999999999</c:v>
                </c:pt>
                <c:pt idx="21" formatCode="General">
                  <c:v>4983.9800000000005</c:v>
                </c:pt>
                <c:pt idx="22" formatCode="General">
                  <c:v>5041.6326800000234</c:v>
                </c:pt>
                <c:pt idx="23" formatCode="General">
                  <c:v>5174.4699999999984</c:v>
                </c:pt>
                <c:pt idx="24" formatCode="General">
                  <c:v>5236.2709999999925</c:v>
                </c:pt>
                <c:pt idx="25" formatCode="General">
                  <c:v>5252.368999999997</c:v>
                </c:pt>
                <c:pt idx="26" formatCode="General">
                  <c:v>5365.0869999999995</c:v>
                </c:pt>
                <c:pt idx="27" formatCode="General">
                  <c:v>5376.8919999999998</c:v>
                </c:pt>
                <c:pt idx="28" formatCode="General">
                  <c:v>5394.2670000000007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E-4F06-A67C-CB039AC9B5B4}"/>
            </c:ext>
          </c:extLst>
        </c:ser>
        <c:ser>
          <c:idx val="2"/>
          <c:order val="2"/>
          <c:tx>
            <c:strRef>
              <c:f>'10.2 Efect'!$T$42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chemeClr val="accent6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'10.2 Efect'!$Q$43:$Q$71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Efect'!$T$43:$T$71</c:f>
              <c:numCache>
                <c:formatCode>#\ ##0.00</c:formatCode>
                <c:ptCount val="29"/>
                <c:pt idx="0">
                  <c:v>989.47699999999998</c:v>
                </c:pt>
                <c:pt idx="1">
                  <c:v>954.4</c:v>
                </c:pt>
                <c:pt idx="2">
                  <c:v>1706.4119999999998</c:v>
                </c:pt>
                <c:pt idx="3">
                  <c:v>1997.6489999999999</c:v>
                </c:pt>
                <c:pt idx="4">
                  <c:v>2074.6039999999998</c:v>
                </c:pt>
                <c:pt idx="5">
                  <c:v>2199.3110000000001</c:v>
                </c:pt>
                <c:pt idx="6">
                  <c:v>1966.529</c:v>
                </c:pt>
                <c:pt idx="7">
                  <c:v>1954.2639999999999</c:v>
                </c:pt>
                <c:pt idx="8">
                  <c:v>1965.4649999999999</c:v>
                </c:pt>
                <c:pt idx="9">
                  <c:v>1909.3430000000001</c:v>
                </c:pt>
                <c:pt idx="10">
                  <c:v>1879.1899999999998</c:v>
                </c:pt>
                <c:pt idx="11">
                  <c:v>2137.0440000000003</c:v>
                </c:pt>
                <c:pt idx="12">
                  <c:v>2592.5680000000007</c:v>
                </c:pt>
                <c:pt idx="13">
                  <c:v>2490.3949999999995</c:v>
                </c:pt>
                <c:pt idx="14">
                  <c:v>3208.547</c:v>
                </c:pt>
                <c:pt idx="15" formatCode="General">
                  <c:v>3636.976999999999</c:v>
                </c:pt>
                <c:pt idx="16" formatCode="General">
                  <c:v>3620.496000000001</c:v>
                </c:pt>
                <c:pt idx="17" formatCode="General">
                  <c:v>4403.608000000002</c:v>
                </c:pt>
                <c:pt idx="18" formatCode="General">
                  <c:v>5262.6850000000031</c:v>
                </c:pt>
                <c:pt idx="19" formatCode="General">
                  <c:v>5408.1590000000051</c:v>
                </c:pt>
                <c:pt idx="20" formatCode="General">
                  <c:v>5764.3930000000064</c:v>
                </c:pt>
                <c:pt idx="21" formatCode="General">
                  <c:v>7130.7780000000021</c:v>
                </c:pt>
                <c:pt idx="22" formatCode="General">
                  <c:v>7109.1894999999231</c:v>
                </c:pt>
                <c:pt idx="23" formatCode="General">
                  <c:v>7318.3920000000062</c:v>
                </c:pt>
                <c:pt idx="24" formatCode="General">
                  <c:v>7265.6920000000082</c:v>
                </c:pt>
                <c:pt idx="25" formatCode="General">
                  <c:v>7263.5110000000068</c:v>
                </c:pt>
                <c:pt idx="26" formatCode="General">
                  <c:v>7279.7060000000074</c:v>
                </c:pt>
                <c:pt idx="27" formatCode="General">
                  <c:v>7497.1000000000031</c:v>
                </c:pt>
                <c:pt idx="28" formatCode="General">
                  <c:v>7543.8630000000012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E-4F06-A67C-CB039AC9B5B4}"/>
            </c:ext>
          </c:extLst>
        </c:ser>
        <c:ser>
          <c:idx val="3"/>
          <c:order val="3"/>
          <c:tx>
            <c:strRef>
              <c:f>'10.2 Efect'!$U$42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C000"/>
              </a:solidFill>
            </a:ln>
          </c:spPr>
          <c:invertIfNegative val="0"/>
          <c:cat>
            <c:numRef>
              <c:f>'10.2 Efect'!$Q$43:$Q$71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Efect'!$U$43:$U$71</c:f>
              <c:numCache>
                <c:formatCode>General</c:formatCode>
                <c:ptCount val="29"/>
                <c:pt idx="17">
                  <c:v>80</c:v>
                </c:pt>
                <c:pt idx="18">
                  <c:v>80</c:v>
                </c:pt>
                <c:pt idx="19">
                  <c:v>96</c:v>
                </c:pt>
                <c:pt idx="20">
                  <c:v>96</c:v>
                </c:pt>
                <c:pt idx="21">
                  <c:v>96</c:v>
                </c:pt>
                <c:pt idx="22">
                  <c:v>240.48400000000012</c:v>
                </c:pt>
                <c:pt idx="23">
                  <c:v>280.48400000000004</c:v>
                </c:pt>
                <c:pt idx="24">
                  <c:v>285.03399999999999</c:v>
                </c:pt>
                <c:pt idx="25">
                  <c:v>285.03399999999999</c:v>
                </c:pt>
                <c:pt idx="26">
                  <c:v>285.31700000000001</c:v>
                </c:pt>
                <c:pt idx="27">
                  <c:v>285.31700000000001</c:v>
                </c:pt>
                <c:pt idx="28">
                  <c:v>400.24799999999999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E-4F06-A67C-CB039AC9B5B4}"/>
            </c:ext>
          </c:extLst>
        </c:ser>
        <c:ser>
          <c:idx val="4"/>
          <c:order val="4"/>
          <c:tx>
            <c:strRef>
              <c:f>'10.2 Efect'!$V$42</c:f>
              <c:strCache>
                <c:ptCount val="1"/>
                <c:pt idx="0">
                  <c:v>Eólico</c:v>
                </c:pt>
              </c:strCache>
            </c:strRef>
          </c:tx>
          <c:invertIfNegative val="0"/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4B5E-4F06-A67C-CB039AC9B5B4}"/>
              </c:ext>
            </c:extLst>
          </c:dPt>
          <c:cat>
            <c:numRef>
              <c:f>'10.2 Efect'!$Q$43:$Q$71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Efect'!$V$43:$V$71</c:f>
              <c:numCache>
                <c:formatCode>General</c:formatCode>
                <c:ptCount val="29"/>
                <c:pt idx="19">
                  <c:v>142.69999999999999</c:v>
                </c:pt>
                <c:pt idx="20">
                  <c:v>239.79999999999998</c:v>
                </c:pt>
                <c:pt idx="21">
                  <c:v>239.95</c:v>
                </c:pt>
                <c:pt idx="22">
                  <c:v>239.94999999999985</c:v>
                </c:pt>
                <c:pt idx="23">
                  <c:v>372.24999999999994</c:v>
                </c:pt>
                <c:pt idx="24">
                  <c:v>372.24999999999994</c:v>
                </c:pt>
                <c:pt idx="25">
                  <c:v>408.98999999999995</c:v>
                </c:pt>
                <c:pt idx="26">
                  <c:v>408.98999999999995</c:v>
                </c:pt>
                <c:pt idx="27">
                  <c:v>538.99</c:v>
                </c:pt>
                <c:pt idx="28">
                  <c:v>1015.6900000000005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5E-4F06-A67C-CB039AC9B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6128"/>
        <c:axId val="99330304"/>
      </c:barChart>
      <c:catAx>
        <c:axId val="9321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933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30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1.2329312614137168E-2"/>
              <c:y val="0.4241379310344827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32161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3557252105017787"/>
          <c:y val="0.89969083174947961"/>
          <c:w val="0.63496897529614482"/>
          <c:h val="9.5814643859172821E-2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POTENCIA EFECTIVA - GENERADORAS PARA USO PROPIO
1 995 - 2 023</a:t>
            </a:r>
          </a:p>
        </c:rich>
      </c:tx>
      <c:layout>
        <c:manualLayout>
          <c:xMode val="edge"/>
          <c:yMode val="edge"/>
          <c:x val="0.31647075457389567"/>
          <c:y val="5.8823625307706101E-2"/>
        </c:manualLayout>
      </c:layout>
      <c:overlay val="0"/>
      <c:spPr>
        <a:solidFill>
          <a:srgbClr val="4B4B4B"/>
        </a:solidFill>
        <a:ln w="25400">
          <a:noFill/>
        </a:ln>
        <a:scene3d>
          <a:camera prst="orthographicFront"/>
          <a:lightRig rig="balanced" dir="t"/>
        </a:scene3d>
        <a:sp3d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7.6532516768737235E-2"/>
          <c:y val="0.2332045450840384"/>
          <c:w val="0.91211713119193438"/>
          <c:h val="0.51393188854489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'10.2 Efect'!$R$74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'10.2 Efect'!$Q$75:$Q$103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Efect'!$R$75:$R$103</c:f>
              <c:numCache>
                <c:formatCode>#\ ##0.00</c:formatCode>
                <c:ptCount val="29"/>
                <c:pt idx="0">
                  <c:v>880.01599999999996</c:v>
                </c:pt>
                <c:pt idx="1">
                  <c:v>1123.7</c:v>
                </c:pt>
                <c:pt idx="2">
                  <c:v>754.18599999999992</c:v>
                </c:pt>
                <c:pt idx="3">
                  <c:v>760.82999999999993</c:v>
                </c:pt>
                <c:pt idx="4">
                  <c:v>798.22699999999998</c:v>
                </c:pt>
                <c:pt idx="5">
                  <c:v>778.91100000000006</c:v>
                </c:pt>
                <c:pt idx="6">
                  <c:v>745.11300000000017</c:v>
                </c:pt>
                <c:pt idx="7">
                  <c:v>737.84200000000055</c:v>
                </c:pt>
                <c:pt idx="8">
                  <c:v>735.41300000000035</c:v>
                </c:pt>
                <c:pt idx="9">
                  <c:v>760.64400000000035</c:v>
                </c:pt>
                <c:pt idx="10">
                  <c:v>812.2620000000004</c:v>
                </c:pt>
                <c:pt idx="11">
                  <c:v>809.03800000000001</c:v>
                </c:pt>
                <c:pt idx="12">
                  <c:v>819.15900000000011</c:v>
                </c:pt>
                <c:pt idx="13">
                  <c:v>904.72799999999995</c:v>
                </c:pt>
                <c:pt idx="14">
                  <c:v>1009.9380000000001</c:v>
                </c:pt>
                <c:pt idx="15" formatCode="General">
                  <c:v>1125.3490000000004</c:v>
                </c:pt>
                <c:pt idx="16" formatCode="General">
                  <c:v>1177.6990000000001</c:v>
                </c:pt>
                <c:pt idx="17" formatCode="General">
                  <c:v>1184.352000000001</c:v>
                </c:pt>
                <c:pt idx="18" formatCode="General">
                  <c:v>1204.8509999999999</c:v>
                </c:pt>
                <c:pt idx="19" formatCode="General">
                  <c:v>1186.5419999999997</c:v>
                </c:pt>
                <c:pt idx="20" formatCode="General">
                  <c:v>1202.1560000000002</c:v>
                </c:pt>
                <c:pt idx="21" formatCode="General">
                  <c:v>1191.7981000000004</c:v>
                </c:pt>
                <c:pt idx="22" formatCode="General">
                  <c:v>1220.8440999999996</c:v>
                </c:pt>
                <c:pt idx="23" formatCode="General">
                  <c:v>1220.6601000000005</c:v>
                </c:pt>
                <c:pt idx="24" formatCode="General">
                  <c:v>1219.6461000000011</c:v>
                </c:pt>
                <c:pt idx="25" formatCode="General">
                  <c:v>1222.0651000000014</c:v>
                </c:pt>
                <c:pt idx="26" formatCode="General">
                  <c:v>1240.292100000001</c:v>
                </c:pt>
                <c:pt idx="27" formatCode="General">
                  <c:v>1278.6921000000007</c:v>
                </c:pt>
                <c:pt idx="28" formatCode="General">
                  <c:v>1273.7503000000008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D-4340-A4A1-FC063E773062}"/>
            </c:ext>
          </c:extLst>
        </c:ser>
        <c:ser>
          <c:idx val="1"/>
          <c:order val="1"/>
          <c:tx>
            <c:strRef>
              <c:f>'10.2 Efect'!$S$74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CC"/>
              </a:solidFill>
              <a:prstDash val="solid"/>
            </a:ln>
          </c:spPr>
          <c:invertIfNegative val="0"/>
          <c:cat>
            <c:numRef>
              <c:f>'10.2 Efect'!$Q$75:$Q$103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Efect'!$S$75:$S$103</c:f>
              <c:numCache>
                <c:formatCode>#\ ##0.00</c:formatCode>
                <c:ptCount val="29"/>
                <c:pt idx="0">
                  <c:v>268.97000000000003</c:v>
                </c:pt>
                <c:pt idx="1">
                  <c:v>277.02600000000001</c:v>
                </c:pt>
                <c:pt idx="2">
                  <c:v>90.733000000000004</c:v>
                </c:pt>
                <c:pt idx="3">
                  <c:v>93.967000000000013</c:v>
                </c:pt>
                <c:pt idx="4">
                  <c:v>75.48299999999999</c:v>
                </c:pt>
                <c:pt idx="5">
                  <c:v>74.971000000000004</c:v>
                </c:pt>
                <c:pt idx="6">
                  <c:v>69.667999999999992</c:v>
                </c:pt>
                <c:pt idx="7">
                  <c:v>72.418999999999997</c:v>
                </c:pt>
                <c:pt idx="8">
                  <c:v>70.043999999999983</c:v>
                </c:pt>
                <c:pt idx="9">
                  <c:v>67.731999999999999</c:v>
                </c:pt>
                <c:pt idx="10">
                  <c:v>70.430000000000007</c:v>
                </c:pt>
                <c:pt idx="11">
                  <c:v>69.355999999999995</c:v>
                </c:pt>
                <c:pt idx="12">
                  <c:v>73.710999999999984</c:v>
                </c:pt>
                <c:pt idx="13">
                  <c:v>74.780999999999977</c:v>
                </c:pt>
                <c:pt idx="14">
                  <c:v>78.605999999999995</c:v>
                </c:pt>
                <c:pt idx="15" formatCode="General">
                  <c:v>80.083999999999961</c:v>
                </c:pt>
                <c:pt idx="16" formatCode="General">
                  <c:v>81.98899999999999</c:v>
                </c:pt>
                <c:pt idx="17" formatCode="General">
                  <c:v>89.538999999999987</c:v>
                </c:pt>
                <c:pt idx="18" formatCode="General">
                  <c:v>77.371999999999971</c:v>
                </c:pt>
                <c:pt idx="19" formatCode="General">
                  <c:v>91.34699999999998</c:v>
                </c:pt>
                <c:pt idx="20" formatCode="General">
                  <c:v>91.72699999999999</c:v>
                </c:pt>
                <c:pt idx="21" formatCode="General">
                  <c:v>102.35899999999998</c:v>
                </c:pt>
                <c:pt idx="22" formatCode="General">
                  <c:v>116.578</c:v>
                </c:pt>
                <c:pt idx="23" formatCode="General">
                  <c:v>117.36399999999998</c:v>
                </c:pt>
                <c:pt idx="24" formatCode="General">
                  <c:v>118.37999999999997</c:v>
                </c:pt>
                <c:pt idx="25" formatCode="General">
                  <c:v>118.35799999999998</c:v>
                </c:pt>
                <c:pt idx="26" formatCode="General">
                  <c:v>117.23199999999999</c:v>
                </c:pt>
                <c:pt idx="27" formatCode="General">
                  <c:v>116.39599999999997</c:v>
                </c:pt>
                <c:pt idx="28" formatCode="General">
                  <c:v>117.14099999999998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D-4340-A4A1-FC063E773062}"/>
            </c:ext>
          </c:extLst>
        </c:ser>
        <c:ser>
          <c:idx val="2"/>
          <c:order val="2"/>
          <c:tx>
            <c:strRef>
              <c:f>'10.2 Efect'!$T$74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chemeClr val="accent6">
                  <a:lumMod val="50000"/>
                </a:schemeClr>
              </a:solidFill>
              <a:prstDash val="solid"/>
            </a:ln>
          </c:spPr>
          <c:invertIfNegative val="0"/>
          <c:cat>
            <c:numRef>
              <c:f>'10.2 Efect'!$Q$75:$Q$103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Efect'!$T$75:$T$103</c:f>
              <c:numCache>
                <c:formatCode>#\ ##0.00</c:formatCode>
                <c:ptCount val="29"/>
                <c:pt idx="0">
                  <c:v>611.04599999999994</c:v>
                </c:pt>
                <c:pt idx="1">
                  <c:v>846.67400000000009</c:v>
                </c:pt>
                <c:pt idx="2">
                  <c:v>663.45299999999997</c:v>
                </c:pt>
                <c:pt idx="3">
                  <c:v>666.86299999999994</c:v>
                </c:pt>
                <c:pt idx="4">
                  <c:v>722.74400000000003</c:v>
                </c:pt>
                <c:pt idx="5">
                  <c:v>703.94</c:v>
                </c:pt>
                <c:pt idx="6">
                  <c:v>675.44500000000016</c:v>
                </c:pt>
                <c:pt idx="7">
                  <c:v>665.42300000000057</c:v>
                </c:pt>
                <c:pt idx="8">
                  <c:v>665.36900000000037</c:v>
                </c:pt>
                <c:pt idx="9">
                  <c:v>692.91200000000038</c:v>
                </c:pt>
                <c:pt idx="10">
                  <c:v>741.83200000000033</c:v>
                </c:pt>
                <c:pt idx="11">
                  <c:v>739.68200000000002</c:v>
                </c:pt>
                <c:pt idx="12">
                  <c:v>745.44800000000009</c:v>
                </c:pt>
                <c:pt idx="13">
                  <c:v>829.947</c:v>
                </c:pt>
                <c:pt idx="14">
                  <c:v>931.33200000000011</c:v>
                </c:pt>
                <c:pt idx="15" formatCode="General">
                  <c:v>1045.2650000000003</c:v>
                </c:pt>
                <c:pt idx="16" formatCode="General">
                  <c:v>1095.71</c:v>
                </c:pt>
                <c:pt idx="17" formatCode="General">
                  <c:v>1094.813000000001</c:v>
                </c:pt>
                <c:pt idx="18" formatCode="General">
                  <c:v>1127.4789999999998</c:v>
                </c:pt>
                <c:pt idx="19" formatCode="General">
                  <c:v>1095.1949999999997</c:v>
                </c:pt>
                <c:pt idx="20" formatCode="General">
                  <c:v>1110.4290000000001</c:v>
                </c:pt>
                <c:pt idx="21" formatCode="General">
                  <c:v>1089.4391000000005</c:v>
                </c:pt>
                <c:pt idx="22" formatCode="General">
                  <c:v>1104.2660999999996</c:v>
                </c:pt>
                <c:pt idx="23" formatCode="General">
                  <c:v>1103.2961000000005</c:v>
                </c:pt>
                <c:pt idx="24" formatCode="General">
                  <c:v>1101.2661000000012</c:v>
                </c:pt>
                <c:pt idx="25" formatCode="General">
                  <c:v>1103.7071000000014</c:v>
                </c:pt>
                <c:pt idx="26" formatCode="General">
                  <c:v>1123.0601000000011</c:v>
                </c:pt>
                <c:pt idx="27" formatCode="General">
                  <c:v>1162.2961000000007</c:v>
                </c:pt>
                <c:pt idx="28" formatCode="General">
                  <c:v>1156.6093000000008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7D-4340-A4A1-FC063E773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57376"/>
        <c:axId val="99559296"/>
      </c:barChart>
      <c:catAx>
        <c:axId val="9955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955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5929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1.2679761748684451E-2"/>
              <c:y val="0.4200078251088179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9557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6923113308192013"/>
          <c:y val="0.88235307543078856"/>
          <c:w val="0.35282078966377983"/>
          <c:h val="6.19194339837955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EVOLUCIÓN DE POTENCIA EFECTIVA 1 995 - 2 023</a:t>
            </a:r>
          </a:p>
        </c:rich>
      </c:tx>
      <c:layout>
        <c:manualLayout>
          <c:xMode val="edge"/>
          <c:yMode val="edge"/>
          <c:x val="0.3161292779579023"/>
          <c:y val="5.6685083856043421E-2"/>
        </c:manualLayout>
      </c:layout>
      <c:overlay val="0"/>
      <c:spPr>
        <a:solidFill>
          <a:srgbClr val="4B4B4B"/>
        </a:solidFill>
        <a:scene3d>
          <a:camera prst="orthographicFront"/>
          <a:lightRig rig="balanced" dir="t"/>
        </a:scene3d>
        <a:sp3d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8.7028907881053094E-2"/>
          <c:y val="0.21129979091596601"/>
          <c:w val="0.89860154769630951"/>
          <c:h val="0.5760316861692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'10.2 Efect'!$R$4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</c:spPr>
          <c:invertIfNegative val="0"/>
          <c:cat>
            <c:numRef>
              <c:f>'10.2 Efect'!$Q$5:$Q$33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Efect'!$R$5:$R$33</c:f>
              <c:numCache>
                <c:formatCode>#\ ##0.00</c:formatCode>
                <c:ptCount val="29"/>
                <c:pt idx="0">
                  <c:v>4075.4080000000004</c:v>
                </c:pt>
                <c:pt idx="1">
                  <c:v>4003.201</c:v>
                </c:pt>
                <c:pt idx="2">
                  <c:v>4581.0190000000002</c:v>
                </c:pt>
                <c:pt idx="3">
                  <c:v>4781.6309999999994</c:v>
                </c:pt>
                <c:pt idx="4">
                  <c:v>5116.1559999999999</c:v>
                </c:pt>
                <c:pt idx="5">
                  <c:v>5554.8460000000005</c:v>
                </c:pt>
                <c:pt idx="6">
                  <c:v>5387.1769999999997</c:v>
                </c:pt>
                <c:pt idx="7">
                  <c:v>5395.6689999999999</c:v>
                </c:pt>
                <c:pt idx="8">
                  <c:v>5421.8069999999998</c:v>
                </c:pt>
                <c:pt idx="9">
                  <c:v>5417.9590700000017</c:v>
                </c:pt>
                <c:pt idx="10">
                  <c:v>5610.9250000000002</c:v>
                </c:pt>
                <c:pt idx="11">
                  <c:v>5873.4000000000005</c:v>
                </c:pt>
                <c:pt idx="12">
                  <c:v>6352.0139999999983</c:v>
                </c:pt>
                <c:pt idx="13">
                  <c:v>6348.9440000000004</c:v>
                </c:pt>
                <c:pt idx="14">
                  <c:v>7256.3469999999998</c:v>
                </c:pt>
                <c:pt idx="15">
                  <c:v>8000.3869999999997</c:v>
                </c:pt>
                <c:pt idx="16">
                  <c:v>8045.5200000000023</c:v>
                </c:pt>
                <c:pt idx="17">
                  <c:v>8939.2570000000051</c:v>
                </c:pt>
                <c:pt idx="18">
                  <c:v>9885.2720000000027</c:v>
                </c:pt>
                <c:pt idx="19">
                  <c:v>10269.342000000006</c:v>
                </c:pt>
                <c:pt idx="20">
                  <c:v>11230.440000000006</c:v>
                </c:pt>
                <c:pt idx="21">
                  <c:v>13642.506100000002</c:v>
                </c:pt>
                <c:pt idx="22">
                  <c:v>13852.100279999948</c:v>
                </c:pt>
                <c:pt idx="23">
                  <c:v>14366.256100000006</c:v>
                </c:pt>
                <c:pt idx="24">
                  <c:v>14378.893100000001</c:v>
                </c:pt>
                <c:pt idx="25">
                  <c:v>14431.969100000006</c:v>
                </c:pt>
                <c:pt idx="26">
                  <c:v>14579.392100000006</c:v>
                </c:pt>
                <c:pt idx="27">
                  <c:v>14976.991100000001</c:v>
                </c:pt>
                <c:pt idx="28">
                  <c:v>15627.818300000001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0-45B0-B0E2-7F81D82239B8}"/>
            </c:ext>
          </c:extLst>
        </c:ser>
        <c:ser>
          <c:idx val="1"/>
          <c:order val="1"/>
          <c:tx>
            <c:strRef>
              <c:f>'10.2 Efect'!$S$4</c:f>
              <c:strCache>
                <c:ptCount val="1"/>
                <c:pt idx="0">
                  <c:v>Hidro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00CC"/>
              </a:solidFill>
            </a:ln>
          </c:spPr>
          <c:invertIfNegative val="0"/>
          <c:cat>
            <c:numRef>
              <c:f>'10.2 Efect'!$Q$5:$Q$33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Efect'!$S$5:$S$33</c:f>
              <c:numCache>
                <c:formatCode>#\ ##0.00</c:formatCode>
                <c:ptCount val="29"/>
                <c:pt idx="0">
                  <c:v>2474.8850000000002</c:v>
                </c:pt>
                <c:pt idx="1">
                  <c:v>2201.877</c:v>
                </c:pt>
                <c:pt idx="2">
                  <c:v>2210.904</c:v>
                </c:pt>
                <c:pt idx="3">
                  <c:v>2116.8689999999997</c:v>
                </c:pt>
                <c:pt idx="4">
                  <c:v>2318.1080000000002</c:v>
                </c:pt>
                <c:pt idx="5">
                  <c:v>2650.8950000000004</c:v>
                </c:pt>
                <c:pt idx="6">
                  <c:v>2744.5029999999997</c:v>
                </c:pt>
                <c:pt idx="7">
                  <c:v>2775.2819999999997</c:v>
                </c:pt>
                <c:pt idx="8">
                  <c:v>2790.2730000000001</c:v>
                </c:pt>
                <c:pt idx="9">
                  <c:v>2815.0040700000009</c:v>
                </c:pt>
                <c:pt idx="10">
                  <c:v>2989.203</c:v>
                </c:pt>
                <c:pt idx="11">
                  <c:v>2995.9740000000002</c:v>
                </c:pt>
                <c:pt idx="12">
                  <c:v>3013.297999999998</c:v>
                </c:pt>
                <c:pt idx="13">
                  <c:v>3027.9020000000005</c:v>
                </c:pt>
                <c:pt idx="14">
                  <c:v>3115.768</c:v>
                </c:pt>
                <c:pt idx="15">
                  <c:v>3317.4450000000006</c:v>
                </c:pt>
                <c:pt idx="16">
                  <c:v>3328.6140000000014</c:v>
                </c:pt>
                <c:pt idx="17">
                  <c:v>3360.1360000000004</c:v>
                </c:pt>
                <c:pt idx="18">
                  <c:v>3414.407999999999</c:v>
                </c:pt>
                <c:pt idx="19">
                  <c:v>3527.2880000000005</c:v>
                </c:pt>
                <c:pt idx="20">
                  <c:v>4019.8179999999998</c:v>
                </c:pt>
                <c:pt idx="21">
                  <c:v>5086.3390000000009</c:v>
                </c:pt>
                <c:pt idx="22">
                  <c:v>5158.2106800000238</c:v>
                </c:pt>
                <c:pt idx="23">
                  <c:v>5291.833999999998</c:v>
                </c:pt>
                <c:pt idx="24">
                  <c:v>5354.6509999999926</c:v>
                </c:pt>
                <c:pt idx="25">
                  <c:v>5370.7269999999971</c:v>
                </c:pt>
                <c:pt idx="26">
                  <c:v>5482.3189999999995</c:v>
                </c:pt>
                <c:pt idx="27">
                  <c:v>5493.2879999999996</c:v>
                </c:pt>
                <c:pt idx="28">
                  <c:v>5511.4080000000004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0-45B0-B0E2-7F81D82239B8}"/>
            </c:ext>
          </c:extLst>
        </c:ser>
        <c:ser>
          <c:idx val="2"/>
          <c:order val="2"/>
          <c:tx>
            <c:strRef>
              <c:f>'10.2 Efect'!$T$4</c:f>
              <c:strCache>
                <c:ptCount val="1"/>
                <c:pt idx="0">
                  <c:v>Termo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cat>
            <c:numRef>
              <c:f>'10.2 Efect'!$Q$5:$Q$33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Efect'!$T$5:$T$33</c:f>
              <c:numCache>
                <c:formatCode>#\ ##0.00</c:formatCode>
                <c:ptCount val="29"/>
                <c:pt idx="0">
                  <c:v>1600.5229999999999</c:v>
                </c:pt>
                <c:pt idx="1">
                  <c:v>1801.0740000000001</c:v>
                </c:pt>
                <c:pt idx="2">
                  <c:v>2369.8649999999998</c:v>
                </c:pt>
                <c:pt idx="3">
                  <c:v>2664.5119999999997</c:v>
                </c:pt>
                <c:pt idx="4">
                  <c:v>2797.348</c:v>
                </c:pt>
                <c:pt idx="5">
                  <c:v>2903.2510000000002</c:v>
                </c:pt>
                <c:pt idx="6">
                  <c:v>2641.9740000000002</c:v>
                </c:pt>
                <c:pt idx="7">
                  <c:v>2619.6870000000004</c:v>
                </c:pt>
                <c:pt idx="8">
                  <c:v>2630.8340000000003</c:v>
                </c:pt>
                <c:pt idx="9">
                  <c:v>2602.2550000000006</c:v>
                </c:pt>
                <c:pt idx="10">
                  <c:v>2621.0219999999999</c:v>
                </c:pt>
                <c:pt idx="11">
                  <c:v>2876.7260000000006</c:v>
                </c:pt>
                <c:pt idx="12">
                  <c:v>3338.0160000000005</c:v>
                </c:pt>
                <c:pt idx="13">
                  <c:v>3320.3419999999996</c:v>
                </c:pt>
                <c:pt idx="14">
                  <c:v>4139.8789999999999</c:v>
                </c:pt>
                <c:pt idx="15">
                  <c:v>4682.2419999999993</c:v>
                </c:pt>
                <c:pt idx="16">
                  <c:v>4716.206000000001</c:v>
                </c:pt>
                <c:pt idx="17">
                  <c:v>5498.421000000003</c:v>
                </c:pt>
                <c:pt idx="18">
                  <c:v>6390.1640000000025</c:v>
                </c:pt>
                <c:pt idx="19">
                  <c:v>6503.3540000000048</c:v>
                </c:pt>
                <c:pt idx="20">
                  <c:v>6874.8220000000065</c:v>
                </c:pt>
                <c:pt idx="21">
                  <c:v>8220.2171000000017</c:v>
                </c:pt>
                <c:pt idx="22">
                  <c:v>8213.4555999999229</c:v>
                </c:pt>
                <c:pt idx="23">
                  <c:v>8421.6881000000067</c:v>
                </c:pt>
                <c:pt idx="24">
                  <c:v>8366.9581000000089</c:v>
                </c:pt>
                <c:pt idx="25">
                  <c:v>8367.2181000000091</c:v>
                </c:pt>
                <c:pt idx="26">
                  <c:v>8402.766100000008</c:v>
                </c:pt>
                <c:pt idx="27">
                  <c:v>8659.3961000000036</c:v>
                </c:pt>
                <c:pt idx="28">
                  <c:v>8700.4723000000013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0-45B0-B0E2-7F81D82239B8}"/>
            </c:ext>
          </c:extLst>
        </c:ser>
        <c:ser>
          <c:idx val="3"/>
          <c:order val="3"/>
          <c:tx>
            <c:strRef>
              <c:f>'10.2 Efect'!$U$4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C000"/>
              </a:solidFill>
            </a:ln>
          </c:spPr>
          <c:invertIfNegative val="0"/>
          <c:cat>
            <c:numRef>
              <c:f>'10.2 Efect'!$Q$5:$Q$33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Efect'!$U$5:$U$33</c:f>
              <c:numCache>
                <c:formatCode>General</c:formatCode>
                <c:ptCount val="29"/>
                <c:pt idx="17" formatCode="#\ ##0.0">
                  <c:v>80</c:v>
                </c:pt>
                <c:pt idx="18" formatCode="#\ ##0.0">
                  <c:v>80</c:v>
                </c:pt>
                <c:pt idx="19" formatCode="#\ ##0.0">
                  <c:v>96</c:v>
                </c:pt>
                <c:pt idx="20" formatCode="#\ ##0.0">
                  <c:v>96</c:v>
                </c:pt>
                <c:pt idx="21" formatCode="#\ ##0.0">
                  <c:v>96</c:v>
                </c:pt>
                <c:pt idx="22" formatCode="#\ ##0.0">
                  <c:v>240.48400000000012</c:v>
                </c:pt>
                <c:pt idx="23" formatCode="#\ ##0.0">
                  <c:v>280.48400000000004</c:v>
                </c:pt>
                <c:pt idx="24" formatCode="#\ ##0.0">
                  <c:v>285.03399999999999</c:v>
                </c:pt>
                <c:pt idx="25" formatCode="#\ ##0.0">
                  <c:v>285.03399999999999</c:v>
                </c:pt>
                <c:pt idx="26" formatCode="#\ ##0.0">
                  <c:v>285.31700000000001</c:v>
                </c:pt>
                <c:pt idx="27" formatCode="#\ ##0.0">
                  <c:v>285.31700000000001</c:v>
                </c:pt>
                <c:pt idx="28" formatCode="#\ ##0.0">
                  <c:v>400.24799999999999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50-45B0-B0E2-7F81D82239B8}"/>
            </c:ext>
          </c:extLst>
        </c:ser>
        <c:ser>
          <c:idx val="4"/>
          <c:order val="4"/>
          <c:tx>
            <c:strRef>
              <c:f>'10.2 Efect'!$V$4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'10.2 Efect'!$Q$5:$Q$33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'10.2 Efect'!$V$5:$V$33</c:f>
              <c:numCache>
                <c:formatCode>General</c:formatCode>
                <c:ptCount val="29"/>
                <c:pt idx="19" formatCode="#\ ##0.0">
                  <c:v>142.69999999999999</c:v>
                </c:pt>
                <c:pt idx="20" formatCode="#\ ##0.0">
                  <c:v>239.79999999999998</c:v>
                </c:pt>
                <c:pt idx="21" formatCode="#\ ##0.0">
                  <c:v>239.95</c:v>
                </c:pt>
                <c:pt idx="22" formatCode="#\ ##0.0">
                  <c:v>239.94999999999985</c:v>
                </c:pt>
                <c:pt idx="23" formatCode="#\ ##0.0">
                  <c:v>372.24999999999994</c:v>
                </c:pt>
                <c:pt idx="24" formatCode="#\ ##0.0">
                  <c:v>372.24999999999994</c:v>
                </c:pt>
                <c:pt idx="25" formatCode="#\ ##0.0">
                  <c:v>408.98999999999995</c:v>
                </c:pt>
                <c:pt idx="26" formatCode="#\ ##0.0">
                  <c:v>408.98999999999995</c:v>
                </c:pt>
                <c:pt idx="27" formatCode="#\ ##0.0">
                  <c:v>538.99</c:v>
                </c:pt>
                <c:pt idx="28" formatCode="#\ ##0.0">
                  <c:v>1015.6900000000005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50-45B0-B0E2-7F81D8223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00192"/>
        <c:axId val="107893504"/>
      </c:barChart>
      <c:catAx>
        <c:axId val="10740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78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93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1.674015748031496E-2"/>
              <c:y val="0.416949864317807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7400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43904070814678"/>
          <c:y val="0.90445375683971707"/>
          <c:w val="0.43517441202202667"/>
          <c:h val="7.3474442813292407E-2"/>
        </c:manualLayout>
      </c:layout>
      <c:overlay val="0"/>
      <c:spPr>
        <a:noFill/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CRECIMIENTO MEDIO ANUAL DE POTENCIA INSTALADA - POR DÉCADAS</a:t>
            </a:r>
          </a:p>
        </c:rich>
      </c:tx>
      <c:layout>
        <c:manualLayout>
          <c:xMode val="edge"/>
          <c:yMode val="edge"/>
          <c:x val="0.28462613225978334"/>
          <c:y val="1.3736263736263736E-2"/>
        </c:manualLayout>
      </c:layout>
      <c:overlay val="0"/>
      <c:spPr>
        <a:solidFill>
          <a:srgbClr val="4B4B4B"/>
        </a:solidFill>
        <a:ln w="3175">
          <a:noFill/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252607735744608"/>
          <c:y val="0.15934087308560629"/>
          <c:w val="0.86627105941146465"/>
          <c:h val="0.63013800110377083"/>
        </c:manualLayout>
      </c:layout>
      <c:lineChart>
        <c:grouping val="standard"/>
        <c:varyColors val="0"/>
        <c:ser>
          <c:idx val="0"/>
          <c:order val="0"/>
          <c:tx>
            <c:strRef>
              <c:f>'10.3 Incre PI'!$K$33</c:f>
              <c:strCache>
                <c:ptCount val="1"/>
                <c:pt idx="0">
                  <c:v>Hidráulica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492420368818408E-3"/>
                  <c:y val="-3.6403112516645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8,3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209-4182-8BD3-52D61636E777}"/>
                </c:ext>
              </c:extLst>
            </c:dLbl>
            <c:dLbl>
              <c:idx val="1"/>
              <c:layout>
                <c:manualLayout>
                  <c:x val="-4.654865488974938E-3"/>
                  <c:y val="-3.09965085409910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7,3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209-4182-8BD3-52D61636E777}"/>
                </c:ext>
              </c:extLst>
            </c:dLbl>
            <c:dLbl>
              <c:idx val="2"/>
              <c:layout>
                <c:manualLayout>
                  <c:x val="-9.0745023743366016E-3"/>
                  <c:y val="3.79966968403368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2,5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209-4182-8BD3-52D61636E777}"/>
                </c:ext>
              </c:extLst>
            </c:dLbl>
            <c:dLbl>
              <c:idx val="3"/>
              <c:layout>
                <c:manualLayout>
                  <c:x val="-3.898244003833258E-2"/>
                  <c:y val="-5.30719785467335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209-4182-8BD3-52D61636E7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 1,7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209-4182-8BD3-52D61636E77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'10.3 Incre PI'!$B$34:$B$41</c:f>
              <c:strCache>
                <c:ptCount val="8"/>
                <c:pt idx="0">
                  <c:v>(60 - 16)</c:v>
                </c:pt>
                <c:pt idx="1">
                  <c:v>(60 - 70) </c:v>
                </c:pt>
                <c:pt idx="2">
                  <c:v>(70 - 80) </c:v>
                </c:pt>
                <c:pt idx="3">
                  <c:v>(80 - 90) </c:v>
                </c:pt>
                <c:pt idx="4">
                  <c:v>(90 - 00) </c:v>
                </c:pt>
                <c:pt idx="5">
                  <c:v>(00 - 10) </c:v>
                </c:pt>
                <c:pt idx="6">
                  <c:v>(10 - 20)</c:v>
                </c:pt>
                <c:pt idx="7">
                  <c:v>(20 - 23) </c:v>
                </c:pt>
              </c:strCache>
            </c:strRef>
          </c:cat>
          <c:val>
            <c:numRef>
              <c:f>'10.3 Incre PI'!$K$34:$K$41</c:f>
              <c:numCache>
                <c:formatCode>#,##0.00</c:formatCode>
                <c:ptCount val="8"/>
                <c:pt idx="0">
                  <c:v>4.9100840991890493</c:v>
                </c:pt>
                <c:pt idx="1">
                  <c:v>8.3039365235490372</c:v>
                </c:pt>
                <c:pt idx="2">
                  <c:v>7.3067499776836131</c:v>
                </c:pt>
                <c:pt idx="3">
                  <c:v>2.5390095992125161</c:v>
                </c:pt>
                <c:pt idx="4">
                  <c:v>1.7585380421311969</c:v>
                </c:pt>
                <c:pt idx="5">
                  <c:v>1.867863002019976</c:v>
                </c:pt>
                <c:pt idx="6">
                  <c:v>4.6518670722357713</c:v>
                </c:pt>
                <c:pt idx="7">
                  <c:v>1.0387960274252483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09-4182-8BD3-52D61636E777}"/>
            </c:ext>
          </c:extLst>
        </c:ser>
        <c:ser>
          <c:idx val="1"/>
          <c:order val="1"/>
          <c:tx>
            <c:strRef>
              <c:f>'10.3 Incre PI'!$L$33</c:f>
              <c:strCache>
                <c:ptCount val="1"/>
                <c:pt idx="0">
                  <c:v>Térmica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9.7068975741620937E-3"/>
                  <c:y val="6.740808639407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7,6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209-4182-8BD3-52D61636E777}"/>
                </c:ext>
              </c:extLst>
            </c:dLbl>
            <c:dLbl>
              <c:idx val="1"/>
              <c:layout>
                <c:manualLayout>
                  <c:x val="-5.2203191219964376E-2"/>
                  <c:y val="4.44494196313343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5,4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209-4182-8BD3-52D61636E777}"/>
                </c:ext>
              </c:extLst>
            </c:dLbl>
            <c:dLbl>
              <c:idx val="2"/>
              <c:layout>
                <c:manualLayout>
                  <c:x val="-3.2292455531244407E-2"/>
                  <c:y val="-7.6253203499587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209-4182-8BD3-52D61636E777}"/>
                </c:ext>
              </c:extLst>
            </c:dLbl>
            <c:dLbl>
              <c:idx val="3"/>
              <c:layout>
                <c:manualLayout>
                  <c:x val="3.9631653149046035E-3"/>
                  <c:y val="-2.7189010010408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6,3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209-4182-8BD3-52D61636E7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 4,6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209-4182-8BD3-52D61636E777}"/>
                </c:ext>
              </c:extLst>
            </c:dLbl>
            <c:dLbl>
              <c:idx val="7"/>
              <c:layout>
                <c:manualLayout>
                  <c:x val="0"/>
                  <c:y val="-6.2271062271062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06-439D-AA6E-24DDF77C15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'10.3 Incre PI'!$B$34:$B$41</c:f>
              <c:strCache>
                <c:ptCount val="8"/>
                <c:pt idx="0">
                  <c:v>(60 - 16)</c:v>
                </c:pt>
                <c:pt idx="1">
                  <c:v>(60 - 70) </c:v>
                </c:pt>
                <c:pt idx="2">
                  <c:v>(70 - 80) </c:v>
                </c:pt>
                <c:pt idx="3">
                  <c:v>(80 - 90) </c:v>
                </c:pt>
                <c:pt idx="4">
                  <c:v>(90 - 00) </c:v>
                </c:pt>
                <c:pt idx="5">
                  <c:v>(00 - 10) </c:v>
                </c:pt>
                <c:pt idx="6">
                  <c:v>(10 - 20)</c:v>
                </c:pt>
                <c:pt idx="7">
                  <c:v>(20 - 23) </c:v>
                </c:pt>
              </c:strCache>
            </c:strRef>
          </c:cat>
          <c:val>
            <c:numRef>
              <c:f>'10.3 Incre PI'!$L$34:$L$41</c:f>
              <c:numCache>
                <c:formatCode>#,##0.00</c:formatCode>
                <c:ptCount val="8"/>
                <c:pt idx="0">
                  <c:v>6.2137005006596135</c:v>
                </c:pt>
                <c:pt idx="1">
                  <c:v>7.5849049304861138</c:v>
                </c:pt>
                <c:pt idx="2">
                  <c:v>5.3666730617605518</c:v>
                </c:pt>
                <c:pt idx="3">
                  <c:v>3.1990012246224886</c:v>
                </c:pt>
                <c:pt idx="4">
                  <c:v>6.2888573267164682</c:v>
                </c:pt>
                <c:pt idx="5">
                  <c:v>4.8944134072639978</c:v>
                </c:pt>
                <c:pt idx="6">
                  <c:v>5.7760290455197261</c:v>
                </c:pt>
                <c:pt idx="7">
                  <c:v>1.8796138401740548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209-4182-8BD3-52D61636E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45760"/>
        <c:axId val="121996416"/>
      </c:lineChart>
      <c:catAx>
        <c:axId val="119445760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Períodos</a:t>
                </a:r>
              </a:p>
            </c:rich>
          </c:tx>
          <c:layout>
            <c:manualLayout>
              <c:xMode val="edge"/>
              <c:yMode val="edge"/>
              <c:x val="0.50187693643557707"/>
              <c:y val="0.839952121369444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2199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96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(%)</a:t>
                </a:r>
              </a:p>
            </c:rich>
          </c:tx>
          <c:layout>
            <c:manualLayout>
              <c:xMode val="edge"/>
              <c:yMode val="edge"/>
              <c:x val="7.4294002723343799E-3"/>
              <c:y val="0.472528049378443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94457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101454423460224"/>
          <c:y val="0.9180949496697528"/>
          <c:w val="0.17820387583131053"/>
          <c:h val="5.7425514118427556E-2"/>
        </c:manualLayout>
      </c:layout>
      <c:overlay val="0"/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-4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ctr" rtl="0">
              <a:def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rPr>
              <a:t>EVOLUCIÓN DE LA PRODUCCIÓN DE 
ENERGÍA ELÉCTRICA 1 995 - 2 023</a:t>
            </a:r>
          </a:p>
        </c:rich>
      </c:tx>
      <c:overlay val="0"/>
      <c:spPr>
        <a:solidFill>
          <a:srgbClr val="4B4B4B"/>
        </a:solidFill>
        <a:scene3d>
          <a:camera prst="orthographicFront"/>
          <a:lightRig rig="balanced" dir="t"/>
        </a:scene3d>
        <a:sp3d>
          <a:bevelT w="50800" h="57150"/>
        </a:sp3d>
      </c:spPr>
    </c:title>
    <c:autoTitleDeleted val="0"/>
    <c:plotArea>
      <c:layout>
        <c:manualLayout>
          <c:layoutTarget val="inner"/>
          <c:xMode val="edge"/>
          <c:yMode val="edge"/>
          <c:x val="9.9262795402092638E-2"/>
          <c:y val="0.18273167148157138"/>
          <c:w val="0.86730156754121146"/>
          <c:h val="0.63060550869161269"/>
        </c:manualLayout>
      </c:layout>
      <c:areaChart>
        <c:grouping val="stacked"/>
        <c:varyColors val="0"/>
        <c:ser>
          <c:idx val="0"/>
          <c:order val="0"/>
          <c:tx>
            <c:strRef>
              <c:f>'10.4 Prod'!$S$7</c:f>
              <c:strCache>
                <c:ptCount val="1"/>
                <c:pt idx="0">
                  <c:v>Hidráulica</c:v>
                </c:pt>
              </c:strCache>
            </c:strRef>
          </c:tx>
          <c:cat>
            <c:numRef>
              <c:f>'10.4 Prod'!$R$8:$R$36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Prod'!$S$8:$S$36</c:f>
              <c:numCache>
                <c:formatCode>0.0</c:formatCode>
                <c:ptCount val="29"/>
                <c:pt idx="0">
                  <c:v>12937.553461</c:v>
                </c:pt>
                <c:pt idx="1">
                  <c:v>13323.572077999999</c:v>
                </c:pt>
                <c:pt idx="2">
                  <c:v>13214.529482000002</c:v>
                </c:pt>
                <c:pt idx="3">
                  <c:v>13808.285138000003</c:v>
                </c:pt>
                <c:pt idx="4">
                  <c:v>14540.581285</c:v>
                </c:pt>
                <c:pt idx="5">
                  <c:v>16176.051366</c:v>
                </c:pt>
                <c:pt idx="6">
                  <c:v>17614.960199999998</c:v>
                </c:pt>
                <c:pt idx="7">
                  <c:v>18040.127915000005</c:v>
                </c:pt>
                <c:pt idx="8">
                  <c:v>18533.720860999994</c:v>
                </c:pt>
                <c:pt idx="9">
                  <c:v>17525.338961000005</c:v>
                </c:pt>
                <c:pt idx="10">
                  <c:v>17976.993336</c:v>
                </c:pt>
                <c:pt idx="11">
                  <c:v>19594.347163999995</c:v>
                </c:pt>
                <c:pt idx="12">
                  <c:v>19548.782020000002</c:v>
                </c:pt>
                <c:pt idx="13">
                  <c:v>19059.617749000001</c:v>
                </c:pt>
                <c:pt idx="14">
                  <c:v>19903.776404000011</c:v>
                </c:pt>
                <c:pt idx="15">
                  <c:v>20052.129280199999</c:v>
                </c:pt>
                <c:pt idx="16">
                  <c:v>21557.326716785199</c:v>
                </c:pt>
                <c:pt idx="17">
                  <c:v>22044.041061560612</c:v>
                </c:pt>
                <c:pt idx="18">
                  <c:v>22319.562549982984</c:v>
                </c:pt>
                <c:pt idx="19">
                  <c:v>22210.659487894649</c:v>
                </c:pt>
                <c:pt idx="20">
                  <c:v>23722.747563457589</c:v>
                </c:pt>
                <c:pt idx="21">
                  <c:v>24171.687750762623</c:v>
                </c:pt>
                <c:pt idx="22">
                  <c:v>29074.513497615771</c:v>
                </c:pt>
                <c:pt idx="23">
                  <c:v>30737.457609388162</c:v>
                </c:pt>
                <c:pt idx="24">
                  <c:v>31462.088372515347</c:v>
                </c:pt>
                <c:pt idx="25">
                  <c:v>30510.304202127463</c:v>
                </c:pt>
                <c:pt idx="26">
                  <c:v>31925.680936000019</c:v>
                </c:pt>
                <c:pt idx="27">
                  <c:v>29743.804973672322</c:v>
                </c:pt>
                <c:pt idx="28">
                  <c:v>29087.635195111347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3-4816-ADB7-1829CF4FD18D}"/>
            </c:ext>
          </c:extLst>
        </c:ser>
        <c:ser>
          <c:idx val="1"/>
          <c:order val="1"/>
          <c:tx>
            <c:strRef>
              <c:f>'10.4 Prod'!$T$7</c:f>
              <c:strCache>
                <c:ptCount val="1"/>
                <c:pt idx="0">
                  <c:v>Térmica</c:v>
                </c:pt>
              </c:strCache>
            </c:strRef>
          </c:tx>
          <c:cat>
            <c:numRef>
              <c:f>'10.4 Prod'!$R$8:$R$36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Prod'!$T$8:$T$36</c:f>
              <c:numCache>
                <c:formatCode>0.0</c:formatCode>
                <c:ptCount val="29"/>
                <c:pt idx="0">
                  <c:v>3942.5611400000003</c:v>
                </c:pt>
                <c:pt idx="1">
                  <c:v>3955.8302150000004</c:v>
                </c:pt>
                <c:pt idx="2">
                  <c:v>4738.3224370000007</c:v>
                </c:pt>
                <c:pt idx="3">
                  <c:v>4773.7272680000005</c:v>
                </c:pt>
                <c:pt idx="4">
                  <c:v>4508.4115320000001</c:v>
                </c:pt>
                <c:pt idx="5">
                  <c:v>3745.8002719999995</c:v>
                </c:pt>
                <c:pt idx="6">
                  <c:v>3169.7501170000032</c:v>
                </c:pt>
                <c:pt idx="7">
                  <c:v>3940.9688570000035</c:v>
                </c:pt>
                <c:pt idx="8">
                  <c:v>4388.4066130000028</c:v>
                </c:pt>
                <c:pt idx="9">
                  <c:v>6740.4467100000011</c:v>
                </c:pt>
                <c:pt idx="10">
                  <c:v>7531.5170790000029</c:v>
                </c:pt>
                <c:pt idx="11">
                  <c:v>7774.255163580001</c:v>
                </c:pt>
                <c:pt idx="12">
                  <c:v>10393.038722000001</c:v>
                </c:pt>
                <c:pt idx="13">
                  <c:v>13402.262134000001</c:v>
                </c:pt>
                <c:pt idx="14">
                  <c:v>13039.733016999997</c:v>
                </c:pt>
                <c:pt idx="15">
                  <c:v>15854.652260999999</c:v>
                </c:pt>
                <c:pt idx="16">
                  <c:v>17247.907485999993</c:v>
                </c:pt>
                <c:pt idx="17">
                  <c:v>18919.176767202309</c:v>
                </c:pt>
                <c:pt idx="18">
                  <c:v>20812.458660502365</c:v>
                </c:pt>
                <c:pt idx="19">
                  <c:v>22882.315829837717</c:v>
                </c:pt>
                <c:pt idx="20">
                  <c:v>23721.80061976959</c:v>
                </c:pt>
                <c:pt idx="21">
                  <c:v>26223.448536038155</c:v>
                </c:pt>
                <c:pt idx="22">
                  <c:v>22264.907211657053</c:v>
                </c:pt>
                <c:pt idx="23">
                  <c:v>21907.860842221646</c:v>
                </c:pt>
                <c:pt idx="24">
                  <c:v>23088.318116721472</c:v>
                </c:pt>
                <c:pt idx="25">
                  <c:v>19641.098247472124</c:v>
                </c:pt>
                <c:pt idx="26">
                  <c:v>22847.062425761673</c:v>
                </c:pt>
                <c:pt idx="27">
                  <c:v>27215.911490314953</c:v>
                </c:pt>
                <c:pt idx="28">
                  <c:v>29667.712447252179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3-4816-ADB7-1829CF4FD18D}"/>
            </c:ext>
          </c:extLst>
        </c:ser>
        <c:ser>
          <c:idx val="2"/>
          <c:order val="2"/>
          <c:tx>
            <c:strRef>
              <c:f>'10.4 Prod'!$U$7</c:f>
              <c:strCache>
                <c:ptCount val="1"/>
                <c:pt idx="0">
                  <c:v>Solar</c:v>
                </c:pt>
              </c:strCache>
            </c:strRef>
          </c:tx>
          <c:cat>
            <c:numRef>
              <c:f>'10.4 Prod'!$R$8:$R$36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Prod'!$U$8:$U$36</c:f>
              <c:numCache>
                <c:formatCode>General</c:formatCode>
                <c:ptCount val="29"/>
                <c:pt idx="17" formatCode="0.0">
                  <c:v>55.583366799563997</c:v>
                </c:pt>
                <c:pt idx="18" formatCode="0.0">
                  <c:v>196.92788000000002</c:v>
                </c:pt>
                <c:pt idx="19" formatCode="0.0">
                  <c:v>199.30359694553749</c:v>
                </c:pt>
                <c:pt idx="20" formatCode="0.0">
                  <c:v>230.25534300000001</c:v>
                </c:pt>
                <c:pt idx="21" formatCode="0.0">
                  <c:v>241.00855899999999</c:v>
                </c:pt>
                <c:pt idx="22" formatCode="0.0">
                  <c:v>287.20034299999998</c:v>
                </c:pt>
                <c:pt idx="23" formatCode="0.0">
                  <c:v>745.40054000000009</c:v>
                </c:pt>
                <c:pt idx="24" formatCode="0.0">
                  <c:v>763.05863999999997</c:v>
                </c:pt>
                <c:pt idx="25" formatCode="0.0">
                  <c:v>778.20613200000003</c:v>
                </c:pt>
                <c:pt idx="26" formatCode="0.0">
                  <c:v>801.697453</c:v>
                </c:pt>
                <c:pt idx="27" formatCode="0.0">
                  <c:v>820.98820499999999</c:v>
                </c:pt>
                <c:pt idx="28" formatCode="0.0">
                  <c:v>956.68685799999992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63-4816-ADB7-1829CF4FD18D}"/>
            </c:ext>
          </c:extLst>
        </c:ser>
        <c:ser>
          <c:idx val="3"/>
          <c:order val="3"/>
          <c:tx>
            <c:strRef>
              <c:f>'10.4 Prod'!$V$7</c:f>
              <c:strCache>
                <c:ptCount val="1"/>
                <c:pt idx="0">
                  <c:v>Eólica</c:v>
                </c:pt>
              </c:strCache>
            </c:strRef>
          </c:tx>
          <c:cat>
            <c:numRef>
              <c:f>'10.4 Prod'!$R$8:$R$36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Prod'!$V$8:$V$36</c:f>
              <c:numCache>
                <c:formatCode>General</c:formatCode>
                <c:ptCount val="29"/>
                <c:pt idx="19" formatCode="0.0">
                  <c:v>257.5406575769008</c:v>
                </c:pt>
                <c:pt idx="20" formatCode="0.0">
                  <c:v>595.60053148867007</c:v>
                </c:pt>
                <c:pt idx="21" formatCode="0.0">
                  <c:v>1063.8290854064542</c:v>
                </c:pt>
                <c:pt idx="22" formatCode="0.0">
                  <c:v>1073.432268</c:v>
                </c:pt>
                <c:pt idx="23" formatCode="0.0">
                  <c:v>1502.4381678166665</c:v>
                </c:pt>
                <c:pt idx="24" formatCode="0.0">
                  <c:v>1655.0389929999999</c:v>
                </c:pt>
                <c:pt idx="25" formatCode="0.0">
                  <c:v>1814.1021039999998</c:v>
                </c:pt>
                <c:pt idx="26" formatCode="0.0">
                  <c:v>1822.574989</c:v>
                </c:pt>
                <c:pt idx="27" formatCode="0.0">
                  <c:v>1931.8692930000004</c:v>
                </c:pt>
                <c:pt idx="28" formatCode="0.0">
                  <c:v>2355.3167570000001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63-4816-ADB7-1829CF4F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022592"/>
        <c:axId val="147024128"/>
      </c:areaChart>
      <c:catAx>
        <c:axId val="14702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470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02412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1.4162854149160209E-2"/>
              <c:y val="0.4388574771527052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47022592"/>
        <c:crosses val="autoZero"/>
        <c:crossBetween val="midCat"/>
        <c:majorUnit val="10000"/>
        <c:minorUnit val="1000"/>
      </c:valAx>
    </c:plotArea>
    <c:legend>
      <c:legendPos val="r"/>
      <c:layout>
        <c:manualLayout>
          <c:xMode val="edge"/>
          <c:yMode val="edge"/>
          <c:x val="0.34018964032657972"/>
          <c:y val="0.89717800335199072"/>
          <c:w val="0.29231728445011562"/>
          <c:h val="8.6081016981311098E-2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" footer="0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ctr" rtl="0">
              <a:def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 sz="1000" b="1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rPr>
              <a:t>PRODUCCIÓN DE ENERGÍA ELÉCTRICA 
PARA EL MERCADO ELÉCTRICO 1 995 - 2 023</a:t>
            </a:r>
          </a:p>
        </c:rich>
      </c:tx>
      <c:layout>
        <c:manualLayout>
          <c:xMode val="edge"/>
          <c:yMode val="edge"/>
          <c:x val="0.34622778198314902"/>
          <c:y val="1.6339745506495234E-2"/>
        </c:manualLayout>
      </c:layout>
      <c:overlay val="0"/>
      <c:spPr>
        <a:solidFill>
          <a:srgbClr val="4B4B4B"/>
        </a:solidFill>
        <a:scene3d>
          <a:camera prst="orthographicFront"/>
          <a:lightRig rig="balanced" dir="t"/>
        </a:scene3d>
        <a:sp3d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0.10785469245418998"/>
          <c:y val="0.19155078308839282"/>
          <c:w val="0.85878567954030527"/>
          <c:h val="0.60862330344422899"/>
        </c:manualLayout>
      </c:layout>
      <c:areaChart>
        <c:grouping val="stacked"/>
        <c:varyColors val="0"/>
        <c:ser>
          <c:idx val="0"/>
          <c:order val="0"/>
          <c:tx>
            <c:strRef>
              <c:f>'10.4 Prod'!$S$52</c:f>
              <c:strCache>
                <c:ptCount val="1"/>
                <c:pt idx="0">
                  <c:v>Hidráulica</c:v>
                </c:pt>
              </c:strCache>
            </c:strRef>
          </c:tx>
          <c:cat>
            <c:numRef>
              <c:f>'10.4 Prod'!$R$53:$R$81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Prod'!$S$53:$S$81</c:f>
              <c:numCache>
                <c:formatCode>0.0</c:formatCode>
                <c:ptCount val="29"/>
                <c:pt idx="0">
                  <c:v>11540.590328999999</c:v>
                </c:pt>
                <c:pt idx="1">
                  <c:v>11847.925377</c:v>
                </c:pt>
                <c:pt idx="2">
                  <c:v>12264.791790000001</c:v>
                </c:pt>
                <c:pt idx="3">
                  <c:v>13367.193777000002</c:v>
                </c:pt>
                <c:pt idx="4">
                  <c:v>14110.592026</c:v>
                </c:pt>
                <c:pt idx="5">
                  <c:v>15747.323264999999</c:v>
                </c:pt>
                <c:pt idx="6">
                  <c:v>17188.530773999999</c:v>
                </c:pt>
                <c:pt idx="7">
                  <c:v>17638.158238000004</c:v>
                </c:pt>
                <c:pt idx="8">
                  <c:v>18118.333137999995</c:v>
                </c:pt>
                <c:pt idx="9">
                  <c:v>17100.664633000004</c:v>
                </c:pt>
                <c:pt idx="10">
                  <c:v>17567.105377792748</c:v>
                </c:pt>
                <c:pt idx="11">
                  <c:v>19160.751642958581</c:v>
                </c:pt>
                <c:pt idx="12">
                  <c:v>19107.193966340001</c:v>
                </c:pt>
                <c:pt idx="13">
                  <c:v>18607.792107000001</c:v>
                </c:pt>
                <c:pt idx="14">
                  <c:v>19419.221612000012</c:v>
                </c:pt>
                <c:pt idx="15">
                  <c:v>19567.404609199999</c:v>
                </c:pt>
                <c:pt idx="16">
                  <c:v>21027.418404235199</c:v>
                </c:pt>
                <c:pt idx="17">
                  <c:v>21489.314383560613</c:v>
                </c:pt>
                <c:pt idx="18">
                  <c:v>21709.384683427117</c:v>
                </c:pt>
                <c:pt idx="19">
                  <c:v>21610.924675940143</c:v>
                </c:pt>
                <c:pt idx="20">
                  <c:v>23127.103615596498</c:v>
                </c:pt>
                <c:pt idx="21">
                  <c:v>23652.579328757882</c:v>
                </c:pt>
                <c:pt idx="22">
                  <c:v>28393.01122177652</c:v>
                </c:pt>
                <c:pt idx="23">
                  <c:v>29989.333366932755</c:v>
                </c:pt>
                <c:pt idx="24">
                  <c:v>30769.211305633791</c:v>
                </c:pt>
                <c:pt idx="25">
                  <c:v>29895.459940539771</c:v>
                </c:pt>
                <c:pt idx="26">
                  <c:v>31293.61100400002</c:v>
                </c:pt>
                <c:pt idx="27">
                  <c:v>29164.347417939985</c:v>
                </c:pt>
                <c:pt idx="28">
                  <c:v>28509.425688878564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EC7-BE72-08A8048F5668}"/>
            </c:ext>
          </c:extLst>
        </c:ser>
        <c:ser>
          <c:idx val="1"/>
          <c:order val="1"/>
          <c:tx>
            <c:strRef>
              <c:f>'10.4 Prod'!$T$52</c:f>
              <c:strCache>
                <c:ptCount val="1"/>
                <c:pt idx="0">
                  <c:v>Térmica</c:v>
                </c:pt>
              </c:strCache>
            </c:strRef>
          </c:tx>
          <c:cat>
            <c:numRef>
              <c:f>'10.4 Prod'!$R$53:$R$81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Prod'!$T$53:$T$81</c:f>
              <c:numCache>
                <c:formatCode>0.0</c:formatCode>
                <c:ptCount val="29"/>
                <c:pt idx="0">
                  <c:v>1565.7227680000001</c:v>
                </c:pt>
                <c:pt idx="1">
                  <c:v>1459.2416440000002</c:v>
                </c:pt>
                <c:pt idx="2">
                  <c:v>3083.2094300000008</c:v>
                </c:pt>
                <c:pt idx="3">
                  <c:v>3448.2166299999999</c:v>
                </c:pt>
                <c:pt idx="4">
                  <c:v>3255.0052719999999</c:v>
                </c:pt>
                <c:pt idx="5">
                  <c:v>2579.7287539999998</c:v>
                </c:pt>
                <c:pt idx="6">
                  <c:v>2024.9494680000003</c:v>
                </c:pt>
                <c:pt idx="7">
                  <c:v>2780.1240350000003</c:v>
                </c:pt>
                <c:pt idx="8">
                  <c:v>3241.9033919999997</c:v>
                </c:pt>
                <c:pt idx="9">
                  <c:v>5518.0477580000006</c:v>
                </c:pt>
                <c:pt idx="10">
                  <c:v>6242.5431669999998</c:v>
                </c:pt>
                <c:pt idx="11">
                  <c:v>6451.7857470000008</c:v>
                </c:pt>
                <c:pt idx="12">
                  <c:v>9092.0707240000011</c:v>
                </c:pt>
                <c:pt idx="13">
                  <c:v>11965.692749</c:v>
                </c:pt>
                <c:pt idx="14">
                  <c:v>11501.454770999997</c:v>
                </c:pt>
                <c:pt idx="15">
                  <c:v>13977.184797999998</c:v>
                </c:pt>
                <c:pt idx="16">
                  <c:v>15219.887485999994</c:v>
                </c:pt>
                <c:pt idx="17">
                  <c:v>16806.576734794362</c:v>
                </c:pt>
                <c:pt idx="18">
                  <c:v>18757.127455751826</c:v>
                </c:pt>
                <c:pt idx="19">
                  <c:v>20778.478798658423</c:v>
                </c:pt>
                <c:pt idx="20">
                  <c:v>21758.428387300512</c:v>
                </c:pt>
                <c:pt idx="21">
                  <c:v>24576.663937622368</c:v>
                </c:pt>
                <c:pt idx="22">
                  <c:v>20591.218352000004</c:v>
                </c:pt>
                <c:pt idx="23">
                  <c:v>20125.222511950011</c:v>
                </c:pt>
                <c:pt idx="24">
                  <c:v>21261.283020000013</c:v>
                </c:pt>
                <c:pt idx="25">
                  <c:v>18169.253182999986</c:v>
                </c:pt>
                <c:pt idx="26">
                  <c:v>21619.872432000004</c:v>
                </c:pt>
                <c:pt idx="27">
                  <c:v>25897.253168820014</c:v>
                </c:pt>
                <c:pt idx="28">
                  <c:v>28322.752754999994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EC7-BE72-08A8048F5668}"/>
            </c:ext>
          </c:extLst>
        </c:ser>
        <c:ser>
          <c:idx val="2"/>
          <c:order val="2"/>
          <c:tx>
            <c:strRef>
              <c:f>'10.4 Prod'!$U$52</c:f>
              <c:strCache>
                <c:ptCount val="1"/>
                <c:pt idx="0">
                  <c:v>Solar</c:v>
                </c:pt>
              </c:strCache>
            </c:strRef>
          </c:tx>
          <c:cat>
            <c:numRef>
              <c:f>'10.4 Prod'!$R$53:$R$81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Prod'!$U$53:$U$81</c:f>
              <c:numCache>
                <c:formatCode>General</c:formatCode>
                <c:ptCount val="29"/>
                <c:pt idx="17" formatCode="0.0">
                  <c:v>55.583366799563997</c:v>
                </c:pt>
                <c:pt idx="18" formatCode="0.0">
                  <c:v>196.92788000000002</c:v>
                </c:pt>
                <c:pt idx="19" formatCode="0.0">
                  <c:v>199.30359694553749</c:v>
                </c:pt>
                <c:pt idx="20" formatCode="0.0">
                  <c:v>230.25534300000001</c:v>
                </c:pt>
                <c:pt idx="21" formatCode="0.0">
                  <c:v>241.00855899999999</c:v>
                </c:pt>
                <c:pt idx="22" formatCode="0.0">
                  <c:v>287.20034299999998</c:v>
                </c:pt>
                <c:pt idx="23" formatCode="0.0">
                  <c:v>745.40054000000009</c:v>
                </c:pt>
                <c:pt idx="24" formatCode="0.0">
                  <c:v>763.05863999999997</c:v>
                </c:pt>
                <c:pt idx="25" formatCode="0.0">
                  <c:v>778.20613200000003</c:v>
                </c:pt>
                <c:pt idx="26" formatCode="0.0">
                  <c:v>801.697453</c:v>
                </c:pt>
                <c:pt idx="27" formatCode="0.0">
                  <c:v>820.98820499999999</c:v>
                </c:pt>
                <c:pt idx="28" formatCode="0.0">
                  <c:v>956.68685799999992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EC7-BE72-08A8048F5668}"/>
            </c:ext>
          </c:extLst>
        </c:ser>
        <c:ser>
          <c:idx val="3"/>
          <c:order val="3"/>
          <c:tx>
            <c:strRef>
              <c:f>'10.4 Prod'!$V$52</c:f>
              <c:strCache>
                <c:ptCount val="1"/>
                <c:pt idx="0">
                  <c:v>Eólica</c:v>
                </c:pt>
              </c:strCache>
            </c:strRef>
          </c:tx>
          <c:cat>
            <c:numRef>
              <c:f>'10.4 Prod'!$R$53:$R$81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'10.4 Prod'!$V$53:$V$81</c:f>
              <c:numCache>
                <c:formatCode>General</c:formatCode>
                <c:ptCount val="29"/>
                <c:pt idx="19" formatCode="0.0">
                  <c:v>257.5406575769008</c:v>
                </c:pt>
                <c:pt idx="20" formatCode="0.0">
                  <c:v>595.60053148867007</c:v>
                </c:pt>
                <c:pt idx="21" formatCode="0.0">
                  <c:v>1063.8290854064542</c:v>
                </c:pt>
                <c:pt idx="22" formatCode="0.0">
                  <c:v>1073.432268</c:v>
                </c:pt>
                <c:pt idx="23" formatCode="0.0">
                  <c:v>1502.4381678166665</c:v>
                </c:pt>
                <c:pt idx="24" formatCode="0.0">
                  <c:v>1655.0389929999999</c:v>
                </c:pt>
                <c:pt idx="25" formatCode="0.0">
                  <c:v>1814.1021039999998</c:v>
                </c:pt>
                <c:pt idx="26" formatCode="0.0">
                  <c:v>1822.574989</c:v>
                </c:pt>
                <c:pt idx="27" formatCode="0.0">
                  <c:v>1931.8692930000004</c:v>
                </c:pt>
                <c:pt idx="28" formatCode="0.0">
                  <c:v>2355.3167570000001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EC7-BE72-08A8048F5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40064"/>
        <c:axId val="211311232"/>
      </c:areaChart>
      <c:catAx>
        <c:axId val="21124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21131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311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2.2191249879691701E-2"/>
              <c:y val="0.464053623043954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211240064"/>
        <c:crosses val="autoZero"/>
        <c:crossBetween val="midCat"/>
      </c:valAx>
    </c:plotArea>
    <c:legend>
      <c:legendPos val="b"/>
      <c:overlay val="0"/>
    </c:legend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60</xdr:row>
      <xdr:rowOff>133350</xdr:rowOff>
    </xdr:from>
    <xdr:to>
      <xdr:col>14</xdr:col>
      <xdr:colOff>542925</xdr:colOff>
      <xdr:row>78</xdr:row>
      <xdr:rowOff>0</xdr:rowOff>
    </xdr:to>
    <xdr:graphicFrame macro="">
      <xdr:nvGraphicFramePr>
        <xdr:cNvPr id="19992597" name="Chart 1">
          <a:extLst>
            <a:ext uri="{FF2B5EF4-FFF2-40B4-BE49-F238E27FC236}">
              <a16:creationId xmlns:a16="http://schemas.microsoft.com/office/drawing/2014/main" id="{00000000-0008-0000-0000-000015103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78</xdr:row>
      <xdr:rowOff>85725</xdr:rowOff>
    </xdr:from>
    <xdr:to>
      <xdr:col>14</xdr:col>
      <xdr:colOff>533400</xdr:colOff>
      <xdr:row>97</xdr:row>
      <xdr:rowOff>152400</xdr:rowOff>
    </xdr:to>
    <xdr:graphicFrame macro="">
      <xdr:nvGraphicFramePr>
        <xdr:cNvPr id="19992598" name="Chart 2">
          <a:extLst>
            <a:ext uri="{FF2B5EF4-FFF2-40B4-BE49-F238E27FC236}">
              <a16:creationId xmlns:a16="http://schemas.microsoft.com/office/drawing/2014/main" id="{00000000-0008-0000-0000-000016103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42</xdr:row>
      <xdr:rowOff>76200</xdr:rowOff>
    </xdr:from>
    <xdr:to>
      <xdr:col>14</xdr:col>
      <xdr:colOff>533400</xdr:colOff>
      <xdr:row>60</xdr:row>
      <xdr:rowOff>19050</xdr:rowOff>
    </xdr:to>
    <xdr:graphicFrame macro="">
      <xdr:nvGraphicFramePr>
        <xdr:cNvPr id="19992599" name="Chart 3">
          <a:extLst>
            <a:ext uri="{FF2B5EF4-FFF2-40B4-BE49-F238E27FC236}">
              <a16:creationId xmlns:a16="http://schemas.microsoft.com/office/drawing/2014/main" id="{00000000-0008-0000-0000-000017103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41</xdr:row>
      <xdr:rowOff>28575</xdr:rowOff>
    </xdr:from>
    <xdr:to>
      <xdr:col>11</xdr:col>
      <xdr:colOff>28575</xdr:colOff>
      <xdr:row>65</xdr:row>
      <xdr:rowOff>57150</xdr:rowOff>
    </xdr:to>
    <xdr:graphicFrame macro="">
      <xdr:nvGraphicFramePr>
        <xdr:cNvPr id="20196354" name="Chart 1">
          <a:extLst>
            <a:ext uri="{FF2B5EF4-FFF2-40B4-BE49-F238E27FC236}">
              <a16:creationId xmlns:a16="http://schemas.microsoft.com/office/drawing/2014/main" id="{00000000-0008-0000-0800-0000022C3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41</xdr:row>
      <xdr:rowOff>9525</xdr:rowOff>
    </xdr:from>
    <xdr:to>
      <xdr:col>7</xdr:col>
      <xdr:colOff>76200</xdr:colOff>
      <xdr:row>66</xdr:row>
      <xdr:rowOff>76200</xdr:rowOff>
    </xdr:to>
    <xdr:graphicFrame macro="">
      <xdr:nvGraphicFramePr>
        <xdr:cNvPr id="70222" name="Chart 3">
          <a:extLst>
            <a:ext uri="{FF2B5EF4-FFF2-40B4-BE49-F238E27FC236}">
              <a16:creationId xmlns:a16="http://schemas.microsoft.com/office/drawing/2014/main" id="{00000000-0008-0000-0900-00004E12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42</xdr:row>
      <xdr:rowOff>114300</xdr:rowOff>
    </xdr:from>
    <xdr:to>
      <xdr:col>7</xdr:col>
      <xdr:colOff>28575</xdr:colOff>
      <xdr:row>68</xdr:row>
      <xdr:rowOff>38100</xdr:rowOff>
    </xdr:to>
    <xdr:graphicFrame macro="">
      <xdr:nvGraphicFramePr>
        <xdr:cNvPr id="1722891" name="Chart 3">
          <a:extLst>
            <a:ext uri="{FF2B5EF4-FFF2-40B4-BE49-F238E27FC236}">
              <a16:creationId xmlns:a16="http://schemas.microsoft.com/office/drawing/2014/main" id="{00000000-0008-0000-0A00-00000B4A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42</xdr:row>
      <xdr:rowOff>38100</xdr:rowOff>
    </xdr:from>
    <xdr:to>
      <xdr:col>7</xdr:col>
      <xdr:colOff>1390650</xdr:colOff>
      <xdr:row>61</xdr:row>
      <xdr:rowOff>57150</xdr:rowOff>
    </xdr:to>
    <xdr:graphicFrame macro="">
      <xdr:nvGraphicFramePr>
        <xdr:cNvPr id="18237550" name="Chart 1">
          <a:extLst>
            <a:ext uri="{FF2B5EF4-FFF2-40B4-BE49-F238E27FC236}">
              <a16:creationId xmlns:a16="http://schemas.microsoft.com/office/drawing/2014/main" id="{00000000-0008-0000-0B00-00006E48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63</xdr:row>
      <xdr:rowOff>28575</xdr:rowOff>
    </xdr:from>
    <xdr:to>
      <xdr:col>8</xdr:col>
      <xdr:colOff>0</xdr:colOff>
      <xdr:row>86</xdr:row>
      <xdr:rowOff>142875</xdr:rowOff>
    </xdr:to>
    <xdr:graphicFrame macro="">
      <xdr:nvGraphicFramePr>
        <xdr:cNvPr id="18237551" name="Chart 20">
          <a:extLst>
            <a:ext uri="{FF2B5EF4-FFF2-40B4-BE49-F238E27FC236}">
              <a16:creationId xmlns:a16="http://schemas.microsoft.com/office/drawing/2014/main" id="{00000000-0008-0000-0B00-00006F48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104775</xdr:rowOff>
    </xdr:from>
    <xdr:to>
      <xdr:col>14</xdr:col>
      <xdr:colOff>609600</xdr:colOff>
      <xdr:row>66</xdr:row>
      <xdr:rowOff>85725</xdr:rowOff>
    </xdr:to>
    <xdr:graphicFrame macro="">
      <xdr:nvGraphicFramePr>
        <xdr:cNvPr id="18240622" name="Chart 2">
          <a:extLst>
            <a:ext uri="{FF2B5EF4-FFF2-40B4-BE49-F238E27FC236}">
              <a16:creationId xmlns:a16="http://schemas.microsoft.com/office/drawing/2014/main" id="{00000000-0008-0000-0C00-00006E54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67</xdr:row>
      <xdr:rowOff>142875</xdr:rowOff>
    </xdr:from>
    <xdr:to>
      <xdr:col>14</xdr:col>
      <xdr:colOff>619125</xdr:colOff>
      <xdr:row>90</xdr:row>
      <xdr:rowOff>133350</xdr:rowOff>
    </xdr:to>
    <xdr:graphicFrame macro="">
      <xdr:nvGraphicFramePr>
        <xdr:cNvPr id="18240623" name="Chart 3">
          <a:extLst>
            <a:ext uri="{FF2B5EF4-FFF2-40B4-BE49-F238E27FC236}">
              <a16:creationId xmlns:a16="http://schemas.microsoft.com/office/drawing/2014/main" id="{00000000-0008-0000-0C00-00006F54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85725</xdr:colOff>
      <xdr:row>35</xdr:row>
      <xdr:rowOff>228600</xdr:rowOff>
    </xdr:from>
    <xdr:to>
      <xdr:col>15</xdr:col>
      <xdr:colOff>209550</xdr:colOff>
      <xdr:row>58</xdr:row>
      <xdr:rowOff>123825</xdr:rowOff>
    </xdr:to>
    <xdr:graphicFrame macro="">
      <xdr:nvGraphicFramePr>
        <xdr:cNvPr id="18243749" name="Chart 1">
          <a:extLst>
            <a:ext uri="{FF2B5EF4-FFF2-40B4-BE49-F238E27FC236}">
              <a16:creationId xmlns:a16="http://schemas.microsoft.com/office/drawing/2014/main" id="{00000000-0008-0000-0D00-0000A560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104775</xdr:colOff>
      <xdr:row>64</xdr:row>
      <xdr:rowOff>62865</xdr:rowOff>
    </xdr:from>
    <xdr:to>
      <xdr:col>15</xdr:col>
      <xdr:colOff>476250</xdr:colOff>
      <xdr:row>86</xdr:row>
      <xdr:rowOff>104775</xdr:rowOff>
    </xdr:to>
    <xdr:graphicFrame macro="">
      <xdr:nvGraphicFramePr>
        <xdr:cNvPr id="18243750" name="Chart 2">
          <a:extLst>
            <a:ext uri="{FF2B5EF4-FFF2-40B4-BE49-F238E27FC236}">
              <a16:creationId xmlns:a16="http://schemas.microsoft.com/office/drawing/2014/main" id="{00000000-0008-0000-0D00-0000A660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161925</xdr:colOff>
      <xdr:row>3</xdr:row>
      <xdr:rowOff>0</xdr:rowOff>
    </xdr:from>
    <xdr:to>
      <xdr:col>15</xdr:col>
      <xdr:colOff>571500</xdr:colOff>
      <xdr:row>30</xdr:row>
      <xdr:rowOff>9525</xdr:rowOff>
    </xdr:to>
    <xdr:graphicFrame macro="">
      <xdr:nvGraphicFramePr>
        <xdr:cNvPr id="18243751" name="Chart 3">
          <a:extLst>
            <a:ext uri="{FF2B5EF4-FFF2-40B4-BE49-F238E27FC236}">
              <a16:creationId xmlns:a16="http://schemas.microsoft.com/office/drawing/2014/main" id="{00000000-0008-0000-0D00-0000A760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114300</xdr:rowOff>
    </xdr:from>
    <xdr:to>
      <xdr:col>15</xdr:col>
      <xdr:colOff>923925</xdr:colOff>
      <xdr:row>74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C66330-7639-442F-9218-96C0494B0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261937</xdr:colOff>
      <xdr:row>78</xdr:row>
      <xdr:rowOff>69056</xdr:rowOff>
    </xdr:from>
    <xdr:to>
      <xdr:col>15</xdr:col>
      <xdr:colOff>928687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A10002-A3B3-459A-B131-06126D191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3402</xdr:colOff>
      <xdr:row>75</xdr:row>
      <xdr:rowOff>32658</xdr:rowOff>
    </xdr:from>
    <xdr:to>
      <xdr:col>11</xdr:col>
      <xdr:colOff>376238</xdr:colOff>
      <xdr:row>78</xdr:row>
      <xdr:rowOff>74158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2D3C196-CA72-4BBC-93E8-5437BB8F28AD}"/>
            </a:ext>
          </a:extLst>
        </xdr:cNvPr>
        <xdr:cNvSpPr txBox="1"/>
      </xdr:nvSpPr>
      <xdr:spPr>
        <a:xfrm>
          <a:off x="298677" y="11891283"/>
          <a:ext cx="9535886" cy="52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/>
            <a:t>(*) Incluye inversión</a:t>
          </a:r>
          <a:r>
            <a:rPr lang="es-PE" sz="1100" baseline="0"/>
            <a:t> realizada por la DGER</a:t>
          </a:r>
          <a:endParaRPr lang="es-P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38100</xdr:rowOff>
    </xdr:from>
    <xdr:to>
      <xdr:col>35</xdr:col>
      <xdr:colOff>762000</xdr:colOff>
      <xdr:row>45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FFC13F-AAE7-4159-906F-A61E3A7F5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295275</xdr:colOff>
      <xdr:row>54</xdr:row>
      <xdr:rowOff>0</xdr:rowOff>
    </xdr:from>
    <xdr:to>
      <xdr:col>41</xdr:col>
      <xdr:colOff>371475</xdr:colOff>
      <xdr:row>55</xdr:row>
      <xdr:rowOff>28575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7F34EE9-867F-403E-9E08-48396F1EBCAE}"/>
            </a:ext>
          </a:extLst>
        </xdr:cNvPr>
        <xdr:cNvSpPr txBox="1">
          <a:spLocks noChangeArrowheads="1"/>
        </xdr:cNvSpPr>
      </xdr:nvSpPr>
      <xdr:spPr bwMode="auto">
        <a:xfrm>
          <a:off x="23117175" y="9029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123825</xdr:colOff>
      <xdr:row>49</xdr:row>
      <xdr:rowOff>47625</xdr:rowOff>
    </xdr:from>
    <xdr:to>
      <xdr:col>35</xdr:col>
      <xdr:colOff>790575</xdr:colOff>
      <xdr:row>73</xdr:row>
      <xdr:rowOff>133350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1F4BCFE9-F37A-45C5-BD56-49D6A60ED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123825</xdr:colOff>
      <xdr:row>82</xdr:row>
      <xdr:rowOff>9525</xdr:rowOff>
    </xdr:from>
    <xdr:to>
      <xdr:col>35</xdr:col>
      <xdr:colOff>819150</xdr:colOff>
      <xdr:row>111</xdr:row>
      <xdr:rowOff>152400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414D288-AC13-45E4-9706-72D1A75E6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571500</xdr:colOff>
      <xdr:row>194</xdr:row>
      <xdr:rowOff>66675</xdr:rowOff>
    </xdr:from>
    <xdr:to>
      <xdr:col>23</xdr:col>
      <xdr:colOff>685800</xdr:colOff>
      <xdr:row>224</xdr:row>
      <xdr:rowOff>23812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B1B146A1-81BE-4265-A162-C32CA1E86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142875</xdr:colOff>
      <xdr:row>155</xdr:row>
      <xdr:rowOff>9525</xdr:rowOff>
    </xdr:from>
    <xdr:to>
      <xdr:col>35</xdr:col>
      <xdr:colOff>876300</xdr:colOff>
      <xdr:row>188</xdr:row>
      <xdr:rowOff>104775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9E724ABC-409E-4307-836E-14B6F1523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117</xdr:row>
      <xdr:rowOff>9525</xdr:rowOff>
    </xdr:from>
    <xdr:to>
      <xdr:col>35</xdr:col>
      <xdr:colOff>828675</xdr:colOff>
      <xdr:row>146</xdr:row>
      <xdr:rowOff>66675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D71507B5-FFE4-469A-ABCA-5C542530A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0.13766</cdr:x>
      <cdr:y>0.80588</cdr:y>
    </cdr:from>
    <cdr:to>
      <cdr:x>0.87298</cdr:x>
      <cdr:y>0.9381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999128" y="3884080"/>
          <a:ext cx="5336990" cy="6372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ES" sz="1100" b="1">
              <a:solidFill>
                <a:sysClr val="windowText" lastClr="000000"/>
              </a:solidFill>
            </a:rPr>
            <a:t>(*) Ejecutada</a:t>
          </a:r>
          <a:r>
            <a:rPr lang="es-ES" sz="1100" b="1" baseline="0">
              <a:solidFill>
                <a:sysClr val="windowText" lastClr="000000"/>
              </a:solidFill>
            </a:rPr>
            <a:t> por la dirección General de Electrificaciòn Rural (DGER) del Ministerio de Energia y Minas (MINEM)</a:t>
          </a:r>
          <a:endParaRPr lang="es-ES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61</xdr:row>
      <xdr:rowOff>0</xdr:rowOff>
    </xdr:from>
    <xdr:to>
      <xdr:col>14</xdr:col>
      <xdr:colOff>542925</xdr:colOff>
      <xdr:row>78</xdr:row>
      <xdr:rowOff>9525</xdr:rowOff>
    </xdr:to>
    <xdr:graphicFrame macro="">
      <xdr:nvGraphicFramePr>
        <xdr:cNvPr id="20144137" name="Chart 1">
          <a:extLst>
            <a:ext uri="{FF2B5EF4-FFF2-40B4-BE49-F238E27FC236}">
              <a16:creationId xmlns:a16="http://schemas.microsoft.com/office/drawing/2014/main" id="{00000000-0008-0000-0100-000009603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142875</xdr:rowOff>
    </xdr:from>
    <xdr:to>
      <xdr:col>14</xdr:col>
      <xdr:colOff>552450</xdr:colOff>
      <xdr:row>97</xdr:row>
      <xdr:rowOff>133350</xdr:rowOff>
    </xdr:to>
    <xdr:graphicFrame macro="">
      <xdr:nvGraphicFramePr>
        <xdr:cNvPr id="20144138" name="Chart 2">
          <a:extLst>
            <a:ext uri="{FF2B5EF4-FFF2-40B4-BE49-F238E27FC236}">
              <a16:creationId xmlns:a16="http://schemas.microsoft.com/office/drawing/2014/main" id="{00000000-0008-0000-0100-00000A603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42</xdr:row>
      <xdr:rowOff>142875</xdr:rowOff>
    </xdr:from>
    <xdr:to>
      <xdr:col>14</xdr:col>
      <xdr:colOff>542925</xdr:colOff>
      <xdr:row>60</xdr:row>
      <xdr:rowOff>38100</xdr:rowOff>
    </xdr:to>
    <xdr:graphicFrame macro="">
      <xdr:nvGraphicFramePr>
        <xdr:cNvPr id="20144139" name="Chart 3">
          <a:extLst>
            <a:ext uri="{FF2B5EF4-FFF2-40B4-BE49-F238E27FC236}">
              <a16:creationId xmlns:a16="http://schemas.microsoft.com/office/drawing/2014/main" id="{00000000-0008-0000-0100-00000B603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43</xdr:row>
      <xdr:rowOff>38100</xdr:rowOff>
    </xdr:from>
    <xdr:to>
      <xdr:col>14</xdr:col>
      <xdr:colOff>438150</xdr:colOff>
      <xdr:row>64</xdr:row>
      <xdr:rowOff>104775</xdr:rowOff>
    </xdr:to>
    <xdr:graphicFrame macro="">
      <xdr:nvGraphicFramePr>
        <xdr:cNvPr id="14928" name="Chart 1">
          <a:extLst>
            <a:ext uri="{FF2B5EF4-FFF2-40B4-BE49-F238E27FC236}">
              <a16:creationId xmlns:a16="http://schemas.microsoft.com/office/drawing/2014/main" id="{00000000-0008-0000-0200-0000503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0.49704</cdr:x>
      <cdr:y>0.5</cdr:y>
    </cdr:from>
    <cdr:to>
      <cdr:x>0.5086</cdr:x>
      <cdr:y>0.55129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5094" y="1722045"/>
          <a:ext cx="76557" cy="180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0.87294</cdr:x>
      <cdr:y>0.26825</cdr:y>
    </cdr:from>
    <cdr:to>
      <cdr:x>0.87294</cdr:x>
      <cdr:y>0.26825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8272" y="90459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333333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CRECIMIENTO MEDIO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42</xdr:row>
      <xdr:rowOff>9525</xdr:rowOff>
    </xdr:from>
    <xdr:to>
      <xdr:col>14</xdr:col>
      <xdr:colOff>533400</xdr:colOff>
      <xdr:row>61</xdr:row>
      <xdr:rowOff>95250</xdr:rowOff>
    </xdr:to>
    <xdr:graphicFrame macro="">
      <xdr:nvGraphicFramePr>
        <xdr:cNvPr id="18222245" name="Chart 1">
          <a:extLst>
            <a:ext uri="{FF2B5EF4-FFF2-40B4-BE49-F238E27FC236}">
              <a16:creationId xmlns:a16="http://schemas.microsoft.com/office/drawing/2014/main" id="{00000000-0008-0000-0300-0000A50C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62</xdr:row>
      <xdr:rowOff>142875</xdr:rowOff>
    </xdr:from>
    <xdr:to>
      <xdr:col>14</xdr:col>
      <xdr:colOff>523875</xdr:colOff>
      <xdr:row>81</xdr:row>
      <xdr:rowOff>76200</xdr:rowOff>
    </xdr:to>
    <xdr:graphicFrame macro="">
      <xdr:nvGraphicFramePr>
        <xdr:cNvPr id="18222246" name="Chart 2">
          <a:extLst>
            <a:ext uri="{FF2B5EF4-FFF2-40B4-BE49-F238E27FC236}">
              <a16:creationId xmlns:a16="http://schemas.microsoft.com/office/drawing/2014/main" id="{00000000-0008-0000-0300-0000A60C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82</xdr:row>
      <xdr:rowOff>28575</xdr:rowOff>
    </xdr:from>
    <xdr:to>
      <xdr:col>14</xdr:col>
      <xdr:colOff>523875</xdr:colOff>
      <xdr:row>100</xdr:row>
      <xdr:rowOff>133350</xdr:rowOff>
    </xdr:to>
    <xdr:graphicFrame macro="">
      <xdr:nvGraphicFramePr>
        <xdr:cNvPr id="18222247" name="Chart 3">
          <a:extLst>
            <a:ext uri="{FF2B5EF4-FFF2-40B4-BE49-F238E27FC236}">
              <a16:creationId xmlns:a16="http://schemas.microsoft.com/office/drawing/2014/main" id="{00000000-0008-0000-0300-0000A70C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44</xdr:row>
      <xdr:rowOff>142875</xdr:rowOff>
    </xdr:from>
    <xdr:to>
      <xdr:col>7</xdr:col>
      <xdr:colOff>910168</xdr:colOff>
      <xdr:row>65</xdr:row>
      <xdr:rowOff>38100</xdr:rowOff>
    </xdr:to>
    <xdr:graphicFrame macro="">
      <xdr:nvGraphicFramePr>
        <xdr:cNvPr id="7583064" name="Chart 3">
          <a:extLst>
            <a:ext uri="{FF2B5EF4-FFF2-40B4-BE49-F238E27FC236}">
              <a16:creationId xmlns:a16="http://schemas.microsoft.com/office/drawing/2014/main" id="{00000000-0008-0000-0400-000058B57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9525</xdr:rowOff>
    </xdr:from>
    <xdr:to>
      <xdr:col>10</xdr:col>
      <xdr:colOff>771525</xdr:colOff>
      <xdr:row>64</xdr:row>
      <xdr:rowOff>9525</xdr:rowOff>
    </xdr:to>
    <xdr:graphicFrame macro="">
      <xdr:nvGraphicFramePr>
        <xdr:cNvPr id="19523623" name="Chart 1">
          <a:extLst>
            <a:ext uri="{FF2B5EF4-FFF2-40B4-BE49-F238E27FC236}">
              <a16:creationId xmlns:a16="http://schemas.microsoft.com/office/drawing/2014/main" id="{00000000-0008-0000-0500-000027E82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65</xdr:row>
      <xdr:rowOff>95250</xdr:rowOff>
    </xdr:from>
    <xdr:to>
      <xdr:col>10</xdr:col>
      <xdr:colOff>752475</xdr:colOff>
      <xdr:row>88</xdr:row>
      <xdr:rowOff>95250</xdr:rowOff>
    </xdr:to>
    <xdr:graphicFrame macro="">
      <xdr:nvGraphicFramePr>
        <xdr:cNvPr id="19523624" name="Chart 2">
          <a:extLst>
            <a:ext uri="{FF2B5EF4-FFF2-40B4-BE49-F238E27FC236}">
              <a16:creationId xmlns:a16="http://schemas.microsoft.com/office/drawing/2014/main" id="{00000000-0008-0000-0500-000028E82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42</xdr:row>
      <xdr:rowOff>9525</xdr:rowOff>
    </xdr:from>
    <xdr:to>
      <xdr:col>10</xdr:col>
      <xdr:colOff>762000</xdr:colOff>
      <xdr:row>64</xdr:row>
      <xdr:rowOff>57150</xdr:rowOff>
    </xdr:to>
    <xdr:graphicFrame macro="">
      <xdr:nvGraphicFramePr>
        <xdr:cNvPr id="18229358" name="Chart 1">
          <a:extLst>
            <a:ext uri="{FF2B5EF4-FFF2-40B4-BE49-F238E27FC236}">
              <a16:creationId xmlns:a16="http://schemas.microsoft.com/office/drawing/2014/main" id="{00000000-0008-0000-0600-00006E28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66</xdr:row>
      <xdr:rowOff>57150</xdr:rowOff>
    </xdr:from>
    <xdr:to>
      <xdr:col>10</xdr:col>
      <xdr:colOff>781050</xdr:colOff>
      <xdr:row>88</xdr:row>
      <xdr:rowOff>76200</xdr:rowOff>
    </xdr:to>
    <xdr:graphicFrame macro="">
      <xdr:nvGraphicFramePr>
        <xdr:cNvPr id="18229359" name="Chart 2">
          <a:extLst>
            <a:ext uri="{FF2B5EF4-FFF2-40B4-BE49-F238E27FC236}">
              <a16:creationId xmlns:a16="http://schemas.microsoft.com/office/drawing/2014/main" id="{00000000-0008-0000-0600-00006F28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43</xdr:row>
      <xdr:rowOff>19050</xdr:rowOff>
    </xdr:from>
    <xdr:to>
      <xdr:col>10</xdr:col>
      <xdr:colOff>723900</xdr:colOff>
      <xdr:row>64</xdr:row>
      <xdr:rowOff>47625</xdr:rowOff>
    </xdr:to>
    <xdr:graphicFrame macro="">
      <xdr:nvGraphicFramePr>
        <xdr:cNvPr id="19713053" name="Chart 1">
          <a:extLst>
            <a:ext uri="{FF2B5EF4-FFF2-40B4-BE49-F238E27FC236}">
              <a16:creationId xmlns:a16="http://schemas.microsoft.com/office/drawing/2014/main" id="{00000000-0008-0000-0700-00001DCC2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65</xdr:row>
      <xdr:rowOff>123825</xdr:rowOff>
    </xdr:from>
    <xdr:to>
      <xdr:col>10</xdr:col>
      <xdr:colOff>704850</xdr:colOff>
      <xdr:row>85</xdr:row>
      <xdr:rowOff>104775</xdr:rowOff>
    </xdr:to>
    <xdr:graphicFrame macro="">
      <xdr:nvGraphicFramePr>
        <xdr:cNvPr id="19713054" name="Chart 2">
          <a:extLst>
            <a:ext uri="{FF2B5EF4-FFF2-40B4-BE49-F238E27FC236}">
              <a16:creationId xmlns:a16="http://schemas.microsoft.com/office/drawing/2014/main" id="{00000000-0008-0000-0700-00001ECC2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IVETI\STD98\ANUARI~1\LASERJC5\P_INST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4"/>
  <sheetViews>
    <sheetView showGridLines="0" tabSelected="1" view="pageBreakPreview" zoomScale="90" zoomScaleNormal="85" zoomScaleSheetLayoutView="90" workbookViewId="0">
      <selection activeCell="U17" sqref="U17"/>
    </sheetView>
  </sheetViews>
  <sheetFormatPr baseColWidth="10" defaultRowHeight="13.5" x14ac:dyDescent="0.25"/>
  <cols>
    <col min="1" max="1" width="2.7109375" style="437" customWidth="1"/>
    <col min="2" max="2" width="21.42578125" style="437" customWidth="1"/>
    <col min="3" max="3" width="11.42578125" style="437"/>
    <col min="4" max="4" width="9.140625" style="437" bestFit="1" customWidth="1"/>
    <col min="5" max="6" width="8.5703125" style="437" customWidth="1"/>
    <col min="7" max="7" width="8.7109375" style="437" bestFit="1" customWidth="1"/>
    <col min="8" max="8" width="11.140625" style="437" customWidth="1"/>
    <col min="9" max="9" width="11.7109375" style="437" customWidth="1"/>
    <col min="10" max="11" width="9.28515625" style="437" customWidth="1"/>
    <col min="12" max="12" width="8.7109375" style="437" bestFit="1" customWidth="1"/>
    <col min="13" max="13" width="9.28515625" style="437" customWidth="1"/>
    <col min="14" max="14" width="9.85546875" style="437" customWidth="1"/>
    <col min="15" max="15" width="8.7109375" style="437" customWidth="1"/>
    <col min="16" max="16" width="15.5703125" style="438" customWidth="1"/>
    <col min="17" max="17" width="9.42578125" style="438" customWidth="1"/>
    <col min="18" max="18" width="10.7109375" style="438" hidden="1" customWidth="1"/>
    <col min="19" max="19" width="8.7109375" style="438" hidden="1" customWidth="1"/>
    <col min="20" max="20" width="11.42578125" style="438" hidden="1" customWidth="1"/>
    <col min="21" max="31" width="11.42578125" style="438"/>
    <col min="32" max="16384" width="11.42578125" style="437"/>
  </cols>
  <sheetData>
    <row r="1" spans="1:28" ht="15.75" x14ac:dyDescent="0.25">
      <c r="A1" s="436" t="s">
        <v>195</v>
      </c>
    </row>
    <row r="3" spans="1:28" ht="14.25" thickBot="1" x14ac:dyDescent="0.3"/>
    <row r="4" spans="1:28" ht="15.75" customHeight="1" x14ac:dyDescent="0.25">
      <c r="B4" s="439" t="s">
        <v>18</v>
      </c>
      <c r="C4" s="440" t="s">
        <v>0</v>
      </c>
      <c r="D4" s="441" t="s">
        <v>13</v>
      </c>
      <c r="E4" s="442"/>
      <c r="F4" s="442"/>
      <c r="G4" s="443"/>
      <c r="H4" s="441" t="s">
        <v>14</v>
      </c>
      <c r="I4" s="442"/>
      <c r="J4" s="442"/>
      <c r="K4" s="442"/>
      <c r="L4" s="443"/>
      <c r="M4" s="441" t="s">
        <v>15</v>
      </c>
      <c r="N4" s="442"/>
      <c r="O4" s="443"/>
      <c r="P4" s="444"/>
      <c r="Q4" s="444"/>
      <c r="R4" s="445"/>
      <c r="S4" s="445"/>
      <c r="U4" s="446"/>
      <c r="V4" s="446" t="s">
        <v>0</v>
      </c>
      <c r="W4" s="446" t="s">
        <v>1</v>
      </c>
      <c r="X4" s="446" t="s">
        <v>2</v>
      </c>
      <c r="Y4" s="446" t="s">
        <v>57</v>
      </c>
      <c r="Z4" s="446" t="s">
        <v>6</v>
      </c>
    </row>
    <row r="5" spans="1:28" ht="14.25" thickBot="1" x14ac:dyDescent="0.3">
      <c r="B5" s="447"/>
      <c r="C5" s="448"/>
      <c r="D5" s="449" t="s">
        <v>4</v>
      </c>
      <c r="E5" s="450" t="s">
        <v>5</v>
      </c>
      <c r="F5" s="450" t="s">
        <v>57</v>
      </c>
      <c r="G5" s="450" t="s">
        <v>6</v>
      </c>
      <c r="H5" s="451" t="s">
        <v>0</v>
      </c>
      <c r="I5" s="450" t="s">
        <v>4</v>
      </c>
      <c r="J5" s="450" t="s">
        <v>5</v>
      </c>
      <c r="K5" s="450" t="s">
        <v>57</v>
      </c>
      <c r="L5" s="450" t="s">
        <v>6</v>
      </c>
      <c r="M5" s="452" t="s">
        <v>0</v>
      </c>
      <c r="N5" s="453" t="s">
        <v>4</v>
      </c>
      <c r="O5" s="450" t="s">
        <v>5</v>
      </c>
      <c r="P5" s="454"/>
      <c r="Q5" s="454"/>
      <c r="R5" s="455"/>
      <c r="S5" s="455"/>
      <c r="U5" s="456">
        <f>+B7</f>
        <v>1995</v>
      </c>
      <c r="V5" s="457">
        <f t="shared" ref="V5:X21" si="0">C7</f>
        <v>4461.7</v>
      </c>
      <c r="W5" s="458">
        <f t="shared" si="0"/>
        <v>2479.4</v>
      </c>
      <c r="X5" s="458">
        <f t="shared" si="0"/>
        <v>1982.3</v>
      </c>
      <c r="Y5" s="446"/>
      <c r="Z5" s="458"/>
      <c r="AB5" s="459"/>
    </row>
    <row r="6" spans="1:28" x14ac:dyDescent="0.25">
      <c r="B6" s="460"/>
      <c r="C6" s="461"/>
      <c r="D6" s="462"/>
      <c r="E6" s="463"/>
      <c r="F6" s="463"/>
      <c r="G6" s="464"/>
      <c r="H6" s="465"/>
      <c r="I6" s="463"/>
      <c r="J6" s="463"/>
      <c r="K6" s="463"/>
      <c r="L6" s="464"/>
      <c r="M6" s="466"/>
      <c r="N6" s="467"/>
      <c r="O6" s="466"/>
      <c r="P6" s="468"/>
      <c r="Q6" s="468"/>
      <c r="R6" s="469"/>
      <c r="S6" s="469"/>
      <c r="U6" s="456">
        <f t="shared" ref="U6:U26" si="1">+B8</f>
        <v>1996</v>
      </c>
      <c r="V6" s="458">
        <f t="shared" si="0"/>
        <v>4662.6049999999996</v>
      </c>
      <c r="W6" s="458">
        <f t="shared" si="0"/>
        <v>2492.7239999999997</v>
      </c>
      <c r="X6" s="458">
        <f t="shared" si="0"/>
        <v>2169.6310000000003</v>
      </c>
      <c r="Y6" s="446"/>
      <c r="Z6" s="458"/>
      <c r="AB6" s="459"/>
    </row>
    <row r="7" spans="1:28" x14ac:dyDescent="0.25">
      <c r="B7" s="470">
        <v>1995</v>
      </c>
      <c r="C7" s="471">
        <f t="shared" ref="C7:C25" si="2">SUM(D7:G7)</f>
        <v>4461.7</v>
      </c>
      <c r="D7" s="472">
        <f>SUM(I7,N7)</f>
        <v>2479.4</v>
      </c>
      <c r="E7" s="473">
        <f t="shared" ref="E7:E25" si="3">SUM(J7,O7)</f>
        <v>1982.3</v>
      </c>
      <c r="F7" s="473"/>
      <c r="G7" s="474"/>
      <c r="H7" s="472">
        <f t="shared" ref="H7:H25" si="4">SUM(I7:L7)</f>
        <v>3185.7</v>
      </c>
      <c r="I7" s="472">
        <v>2190</v>
      </c>
      <c r="J7" s="472">
        <v>995.7</v>
      </c>
      <c r="K7" s="472"/>
      <c r="L7" s="474"/>
      <c r="M7" s="475">
        <f t="shared" ref="M7:M16" si="5">SUM(N7:O7)</f>
        <v>1276</v>
      </c>
      <c r="N7" s="473">
        <v>289.39999999999998</v>
      </c>
      <c r="O7" s="475">
        <v>986.59999999999991</v>
      </c>
      <c r="P7" s="468"/>
      <c r="Q7" s="468"/>
      <c r="R7" s="476"/>
      <c r="S7" s="476"/>
      <c r="U7" s="456">
        <f t="shared" si="1"/>
        <v>1997</v>
      </c>
      <c r="V7" s="458">
        <f t="shared" si="0"/>
        <v>5192.4979999999996</v>
      </c>
      <c r="W7" s="458">
        <f t="shared" si="0"/>
        <v>2512.9939999999997</v>
      </c>
      <c r="X7" s="458">
        <f t="shared" si="0"/>
        <v>2679.2539999999999</v>
      </c>
      <c r="Y7" s="446"/>
      <c r="Z7" s="458"/>
      <c r="AB7" s="459"/>
    </row>
    <row r="8" spans="1:28" x14ac:dyDescent="0.25">
      <c r="B8" s="477">
        <v>1996</v>
      </c>
      <c r="C8" s="478">
        <f t="shared" si="2"/>
        <v>4662.6049999999996</v>
      </c>
      <c r="D8" s="479">
        <f t="shared" ref="D8:D25" si="6">SUM(I8,N8)</f>
        <v>2492.7239999999997</v>
      </c>
      <c r="E8" s="480">
        <f t="shared" si="3"/>
        <v>2169.6310000000003</v>
      </c>
      <c r="F8" s="480"/>
      <c r="G8" s="481">
        <v>0.25</v>
      </c>
      <c r="H8" s="479">
        <f t="shared" si="4"/>
        <v>3352.8809999999999</v>
      </c>
      <c r="I8" s="479">
        <v>2200.1839999999997</v>
      </c>
      <c r="J8" s="479">
        <v>1152.4470000000001</v>
      </c>
      <c r="K8" s="479"/>
      <c r="L8" s="480">
        <v>0.25</v>
      </c>
      <c r="M8" s="480">
        <f t="shared" si="5"/>
        <v>1309.7239999999999</v>
      </c>
      <c r="N8" s="482">
        <v>292.54000000000002</v>
      </c>
      <c r="O8" s="480">
        <v>1017.184</v>
      </c>
      <c r="P8" s="468"/>
      <c r="Q8" s="468"/>
      <c r="R8" s="469"/>
      <c r="S8" s="469"/>
      <c r="U8" s="456">
        <f t="shared" si="1"/>
        <v>1998</v>
      </c>
      <c r="V8" s="458">
        <f t="shared" si="0"/>
        <v>5515.29</v>
      </c>
      <c r="W8" s="458">
        <f t="shared" si="0"/>
        <v>2572.0610000000001</v>
      </c>
      <c r="X8" s="458">
        <f t="shared" si="0"/>
        <v>2942.9789999999998</v>
      </c>
      <c r="Y8" s="446"/>
      <c r="Z8" s="458"/>
      <c r="AB8" s="459"/>
    </row>
    <row r="9" spans="1:28" x14ac:dyDescent="0.25">
      <c r="B9" s="470">
        <v>1997</v>
      </c>
      <c r="C9" s="471">
        <f t="shared" si="2"/>
        <v>5192.4979999999996</v>
      </c>
      <c r="D9" s="472">
        <f t="shared" si="6"/>
        <v>2512.9939999999997</v>
      </c>
      <c r="E9" s="475">
        <f t="shared" si="3"/>
        <v>2679.2539999999999</v>
      </c>
      <c r="F9" s="475"/>
      <c r="G9" s="483">
        <v>0.25</v>
      </c>
      <c r="H9" s="472">
        <f t="shared" si="4"/>
        <v>4325.0209999999997</v>
      </c>
      <c r="I9" s="472">
        <v>2411.5189999999998</v>
      </c>
      <c r="J9" s="472">
        <v>1913.252</v>
      </c>
      <c r="K9" s="472"/>
      <c r="L9" s="475">
        <v>0.25</v>
      </c>
      <c r="M9" s="475">
        <f t="shared" si="5"/>
        <v>867.47699999999998</v>
      </c>
      <c r="N9" s="473">
        <v>101.47499999999999</v>
      </c>
      <c r="O9" s="475">
        <v>766.00199999999995</v>
      </c>
      <c r="P9" s="468"/>
      <c r="Q9" s="468"/>
      <c r="R9" s="476"/>
      <c r="S9" s="476"/>
      <c r="U9" s="456">
        <f t="shared" si="1"/>
        <v>1999</v>
      </c>
      <c r="V9" s="458">
        <f t="shared" si="0"/>
        <v>5742.4279999999999</v>
      </c>
      <c r="W9" s="458">
        <f t="shared" si="0"/>
        <v>2673.2799999999997</v>
      </c>
      <c r="X9" s="458">
        <f t="shared" si="0"/>
        <v>3068.4480000000003</v>
      </c>
      <c r="Y9" s="446"/>
      <c r="Z9" s="458"/>
      <c r="AB9" s="459"/>
    </row>
    <row r="10" spans="1:28" x14ac:dyDescent="0.25">
      <c r="B10" s="477">
        <v>1998</v>
      </c>
      <c r="C10" s="478">
        <f t="shared" si="2"/>
        <v>5515.29</v>
      </c>
      <c r="D10" s="479">
        <f t="shared" si="6"/>
        <v>2572.0610000000001</v>
      </c>
      <c r="E10" s="480">
        <f t="shared" si="3"/>
        <v>2942.9789999999998</v>
      </c>
      <c r="F10" s="480"/>
      <c r="G10" s="481">
        <v>0.25</v>
      </c>
      <c r="H10" s="479">
        <f t="shared" si="4"/>
        <v>4632.2780000000002</v>
      </c>
      <c r="I10" s="479">
        <v>2467.4160000000002</v>
      </c>
      <c r="J10" s="479">
        <v>2164.6119999999996</v>
      </c>
      <c r="K10" s="479"/>
      <c r="L10" s="480">
        <v>0.25</v>
      </c>
      <c r="M10" s="480">
        <f t="shared" si="5"/>
        <v>883.01200000000006</v>
      </c>
      <c r="N10" s="482">
        <v>104.645</v>
      </c>
      <c r="O10" s="480">
        <v>778.36700000000008</v>
      </c>
      <c r="P10" s="468"/>
      <c r="Q10" s="468"/>
      <c r="R10" s="469"/>
      <c r="S10" s="469"/>
      <c r="U10" s="456">
        <f t="shared" si="1"/>
        <v>2000</v>
      </c>
      <c r="V10" s="458">
        <f t="shared" si="0"/>
        <v>6066.1890000000003</v>
      </c>
      <c r="W10" s="458">
        <f t="shared" si="0"/>
        <v>2856.8250000000003</v>
      </c>
      <c r="X10" s="458">
        <f t="shared" si="0"/>
        <v>3208.6640000000002</v>
      </c>
      <c r="Y10" s="446"/>
      <c r="Z10" s="458"/>
      <c r="AB10" s="459"/>
    </row>
    <row r="11" spans="1:28" x14ac:dyDescent="0.25">
      <c r="B11" s="470">
        <v>1999</v>
      </c>
      <c r="C11" s="471">
        <f t="shared" si="2"/>
        <v>5742.4279999999999</v>
      </c>
      <c r="D11" s="472">
        <f t="shared" si="6"/>
        <v>2673.2799999999997</v>
      </c>
      <c r="E11" s="475">
        <f t="shared" si="3"/>
        <v>3068.4480000000003</v>
      </c>
      <c r="F11" s="475"/>
      <c r="G11" s="483">
        <v>0.7</v>
      </c>
      <c r="H11" s="472">
        <f t="shared" si="4"/>
        <v>4828.2429999999995</v>
      </c>
      <c r="I11" s="472">
        <v>2587.1289999999999</v>
      </c>
      <c r="J11" s="472">
        <v>2240.4140000000002</v>
      </c>
      <c r="K11" s="472"/>
      <c r="L11" s="475">
        <v>0.7</v>
      </c>
      <c r="M11" s="475">
        <f t="shared" si="5"/>
        <v>914.18499999999995</v>
      </c>
      <c r="N11" s="473">
        <v>86.150999999999982</v>
      </c>
      <c r="O11" s="475">
        <v>828.03399999999999</v>
      </c>
      <c r="P11" s="468"/>
      <c r="Q11" s="468"/>
      <c r="R11" s="476"/>
      <c r="S11" s="476"/>
      <c r="U11" s="456">
        <f t="shared" si="1"/>
        <v>2001</v>
      </c>
      <c r="V11" s="458">
        <f t="shared" si="0"/>
        <v>5906.6930000000002</v>
      </c>
      <c r="W11" s="458">
        <f t="shared" si="0"/>
        <v>2966.328</v>
      </c>
      <c r="X11" s="458">
        <f t="shared" si="0"/>
        <v>2939.665</v>
      </c>
      <c r="Y11" s="446"/>
      <c r="Z11" s="458"/>
      <c r="AB11" s="459"/>
    </row>
    <row r="12" spans="1:28" x14ac:dyDescent="0.25">
      <c r="B12" s="477">
        <v>2000</v>
      </c>
      <c r="C12" s="478">
        <f t="shared" si="2"/>
        <v>6066.1890000000003</v>
      </c>
      <c r="D12" s="479">
        <f t="shared" si="6"/>
        <v>2856.8250000000003</v>
      </c>
      <c r="E12" s="480">
        <f t="shared" si="3"/>
        <v>3208.6640000000002</v>
      </c>
      <c r="F12" s="480"/>
      <c r="G12" s="481">
        <f>L12</f>
        <v>0.7</v>
      </c>
      <c r="H12" s="479">
        <f t="shared" si="4"/>
        <v>5148.8509999999997</v>
      </c>
      <c r="I12" s="479">
        <v>2779.26</v>
      </c>
      <c r="J12" s="479">
        <v>2368.8910000000001</v>
      </c>
      <c r="K12" s="479"/>
      <c r="L12" s="480">
        <v>0.7</v>
      </c>
      <c r="M12" s="480">
        <f t="shared" si="5"/>
        <v>917.33800000000019</v>
      </c>
      <c r="N12" s="482">
        <v>77.564999999999998</v>
      </c>
      <c r="O12" s="480">
        <v>839.77300000000014</v>
      </c>
      <c r="P12" s="468"/>
      <c r="Q12" s="468"/>
      <c r="R12" s="469"/>
      <c r="S12" s="469"/>
      <c r="U12" s="456">
        <f t="shared" si="1"/>
        <v>2002</v>
      </c>
      <c r="V12" s="458">
        <f t="shared" si="0"/>
        <v>5935.5330000000004</v>
      </c>
      <c r="W12" s="458">
        <f t="shared" si="0"/>
        <v>2996.4710000000014</v>
      </c>
      <c r="X12" s="458">
        <f t="shared" si="0"/>
        <v>2938.3619999999996</v>
      </c>
      <c r="Y12" s="446"/>
      <c r="Z12" s="458"/>
      <c r="AB12" s="459"/>
    </row>
    <row r="13" spans="1:28" x14ac:dyDescent="0.25">
      <c r="B13" s="470">
        <v>2001</v>
      </c>
      <c r="C13" s="471">
        <f t="shared" si="2"/>
        <v>5906.6930000000002</v>
      </c>
      <c r="D13" s="472">
        <f t="shared" si="6"/>
        <v>2966.328</v>
      </c>
      <c r="E13" s="475">
        <f t="shared" si="3"/>
        <v>2939.665</v>
      </c>
      <c r="F13" s="475"/>
      <c r="G13" s="475">
        <v>0.7</v>
      </c>
      <c r="H13" s="472">
        <f t="shared" si="4"/>
        <v>5050.8139999999994</v>
      </c>
      <c r="I13" s="475">
        <v>2889.433</v>
      </c>
      <c r="J13" s="475">
        <v>2160.681</v>
      </c>
      <c r="K13" s="475"/>
      <c r="L13" s="475">
        <v>0.7</v>
      </c>
      <c r="M13" s="475">
        <f t="shared" si="5"/>
        <v>855.87900000000002</v>
      </c>
      <c r="N13" s="473">
        <v>76.894999999999996</v>
      </c>
      <c r="O13" s="475">
        <v>778.98400000000004</v>
      </c>
      <c r="P13" s="468"/>
      <c r="Q13" s="468"/>
      <c r="R13" s="476"/>
      <c r="S13" s="476"/>
      <c r="U13" s="456">
        <f t="shared" si="1"/>
        <v>2003</v>
      </c>
      <c r="V13" s="458">
        <f t="shared" si="0"/>
        <v>5970.0630000000001</v>
      </c>
      <c r="W13" s="458">
        <f t="shared" si="0"/>
        <v>3032.3070000000002</v>
      </c>
      <c r="X13" s="458">
        <f t="shared" si="0"/>
        <v>2937.056</v>
      </c>
      <c r="Y13" s="446"/>
      <c r="Z13" s="458"/>
      <c r="AB13" s="459"/>
    </row>
    <row r="14" spans="1:28" x14ac:dyDescent="0.25">
      <c r="B14" s="477">
        <v>2002</v>
      </c>
      <c r="C14" s="478">
        <f t="shared" si="2"/>
        <v>5935.5330000000004</v>
      </c>
      <c r="D14" s="479">
        <f t="shared" si="6"/>
        <v>2996.4710000000014</v>
      </c>
      <c r="E14" s="480">
        <f t="shared" si="3"/>
        <v>2938.3619999999996</v>
      </c>
      <c r="F14" s="480"/>
      <c r="G14" s="480">
        <f t="shared" ref="G14:G25" si="7">SUM(L14)</f>
        <v>0.7</v>
      </c>
      <c r="H14" s="479">
        <f t="shared" si="4"/>
        <v>5068.0510000000004</v>
      </c>
      <c r="I14" s="480">
        <v>2917.6020000000012</v>
      </c>
      <c r="J14" s="480">
        <v>2149.7489999999998</v>
      </c>
      <c r="K14" s="480"/>
      <c r="L14" s="480">
        <v>0.7</v>
      </c>
      <c r="M14" s="480">
        <f t="shared" si="5"/>
        <v>867.48199999999974</v>
      </c>
      <c r="N14" s="482">
        <v>78.868999999999971</v>
      </c>
      <c r="O14" s="480">
        <v>788.61299999999983</v>
      </c>
      <c r="P14" s="468"/>
      <c r="Q14" s="468"/>
      <c r="R14" s="469"/>
      <c r="S14" s="469"/>
      <c r="U14" s="456">
        <f t="shared" si="1"/>
        <v>2004</v>
      </c>
      <c r="V14" s="458">
        <f t="shared" si="0"/>
        <v>6016.3186000000023</v>
      </c>
      <c r="W14" s="458">
        <f t="shared" si="0"/>
        <v>3055.8676000000023</v>
      </c>
      <c r="X14" s="458">
        <f t="shared" si="0"/>
        <v>2959.7510000000002</v>
      </c>
      <c r="Y14" s="446"/>
      <c r="Z14" s="458"/>
      <c r="AB14" s="459"/>
    </row>
    <row r="15" spans="1:28" x14ac:dyDescent="0.25">
      <c r="B15" s="470">
        <v>2003</v>
      </c>
      <c r="C15" s="471">
        <f>SUM(D15:G15)</f>
        <v>5970.0630000000001</v>
      </c>
      <c r="D15" s="472">
        <f t="shared" si="6"/>
        <v>3032.3070000000002</v>
      </c>
      <c r="E15" s="475">
        <f t="shared" si="3"/>
        <v>2937.056</v>
      </c>
      <c r="F15" s="475"/>
      <c r="G15" s="475">
        <f t="shared" si="7"/>
        <v>0.7</v>
      </c>
      <c r="H15" s="472">
        <f>SUM(I15:L15)</f>
        <v>5095.1030000000001</v>
      </c>
      <c r="I15" s="475">
        <v>2946.8210000000004</v>
      </c>
      <c r="J15" s="475">
        <v>2147.5819999999999</v>
      </c>
      <c r="K15" s="475"/>
      <c r="L15" s="475">
        <v>0.7</v>
      </c>
      <c r="M15" s="475">
        <f>SUM(N15:O15)</f>
        <v>874.96</v>
      </c>
      <c r="N15" s="475">
        <v>85.48599999999999</v>
      </c>
      <c r="O15" s="475">
        <v>789.47400000000005</v>
      </c>
      <c r="P15" s="468"/>
      <c r="Q15" s="468"/>
      <c r="R15" s="476"/>
      <c r="S15" s="476"/>
      <c r="U15" s="456">
        <f t="shared" si="1"/>
        <v>2005</v>
      </c>
      <c r="V15" s="458">
        <f t="shared" si="0"/>
        <v>6200.5255999999999</v>
      </c>
      <c r="W15" s="458">
        <f t="shared" si="0"/>
        <v>3207.0616000000005</v>
      </c>
      <c r="X15" s="458">
        <f t="shared" si="0"/>
        <v>2992.7639999999992</v>
      </c>
      <c r="Y15" s="446"/>
      <c r="Z15" s="458"/>
      <c r="AB15" s="459"/>
    </row>
    <row r="16" spans="1:28" x14ac:dyDescent="0.25">
      <c r="B16" s="477">
        <v>2004</v>
      </c>
      <c r="C16" s="478">
        <f t="shared" si="2"/>
        <v>6016.3186000000023</v>
      </c>
      <c r="D16" s="479">
        <f t="shared" si="6"/>
        <v>3055.8676000000023</v>
      </c>
      <c r="E16" s="480">
        <f t="shared" si="3"/>
        <v>2959.7510000000002</v>
      </c>
      <c r="F16" s="480"/>
      <c r="G16" s="480">
        <f t="shared" si="7"/>
        <v>0.7</v>
      </c>
      <c r="H16" s="479">
        <f t="shared" si="4"/>
        <v>5096.0216000000028</v>
      </c>
      <c r="I16" s="480">
        <v>2969.0596000000023</v>
      </c>
      <c r="J16" s="480">
        <v>2126.2620000000002</v>
      </c>
      <c r="K16" s="480"/>
      <c r="L16" s="480">
        <v>0.7</v>
      </c>
      <c r="M16" s="480">
        <f t="shared" si="5"/>
        <v>920.29700000000003</v>
      </c>
      <c r="N16" s="480">
        <v>86.807999999999964</v>
      </c>
      <c r="O16" s="480">
        <v>833.48900000000003</v>
      </c>
      <c r="P16" s="468"/>
      <c r="Q16" s="468"/>
      <c r="R16" s="469"/>
      <c r="S16" s="469"/>
      <c r="U16" s="456">
        <f t="shared" si="1"/>
        <v>2006</v>
      </c>
      <c r="V16" s="458">
        <f t="shared" si="0"/>
        <v>6658.1435999999994</v>
      </c>
      <c r="W16" s="458">
        <f t="shared" si="0"/>
        <v>3216.0025999999998</v>
      </c>
      <c r="X16" s="458">
        <f t="shared" si="0"/>
        <v>3441.4409999999998</v>
      </c>
      <c r="Y16" s="446"/>
      <c r="Z16" s="458"/>
      <c r="AB16" s="459"/>
    </row>
    <row r="17" spans="2:28" x14ac:dyDescent="0.25">
      <c r="B17" s="470">
        <v>2005</v>
      </c>
      <c r="C17" s="471">
        <f t="shared" si="2"/>
        <v>6200.5255999999999</v>
      </c>
      <c r="D17" s="472">
        <f t="shared" si="6"/>
        <v>3207.0616000000005</v>
      </c>
      <c r="E17" s="475">
        <f t="shared" si="3"/>
        <v>2992.7639999999992</v>
      </c>
      <c r="F17" s="475"/>
      <c r="G17" s="475">
        <f t="shared" si="7"/>
        <v>0.7</v>
      </c>
      <c r="H17" s="472">
        <f t="shared" si="4"/>
        <v>5220.6336000000001</v>
      </c>
      <c r="I17" s="475">
        <v>3119.1996000000004</v>
      </c>
      <c r="J17" s="475">
        <v>2100.7339999999995</v>
      </c>
      <c r="K17" s="475"/>
      <c r="L17" s="475">
        <v>0.7</v>
      </c>
      <c r="M17" s="475">
        <f t="shared" ref="M17:M23" si="8">+N17+O17</f>
        <v>979.89199999999994</v>
      </c>
      <c r="N17" s="475">
        <v>87.861999999999981</v>
      </c>
      <c r="O17" s="475">
        <v>892.03</v>
      </c>
      <c r="P17" s="468"/>
      <c r="Q17" s="468"/>
      <c r="R17" s="476"/>
      <c r="S17" s="476"/>
      <c r="U17" s="456">
        <f t="shared" si="1"/>
        <v>2007</v>
      </c>
      <c r="V17" s="458">
        <f t="shared" si="0"/>
        <v>7027.5172000000002</v>
      </c>
      <c r="W17" s="458">
        <f t="shared" si="0"/>
        <v>3233.5982000000004</v>
      </c>
      <c r="X17" s="458">
        <f t="shared" si="0"/>
        <v>3793.2190000000001</v>
      </c>
      <c r="Y17" s="446"/>
      <c r="Z17" s="458"/>
      <c r="AB17" s="459"/>
    </row>
    <row r="18" spans="2:28" x14ac:dyDescent="0.25">
      <c r="B18" s="477">
        <v>2006</v>
      </c>
      <c r="C18" s="478">
        <f>SUM(D18:G18)</f>
        <v>6658.1435999999994</v>
      </c>
      <c r="D18" s="479">
        <f t="shared" si="6"/>
        <v>3216.0025999999998</v>
      </c>
      <c r="E18" s="480">
        <f t="shared" si="3"/>
        <v>3441.4409999999998</v>
      </c>
      <c r="F18" s="480"/>
      <c r="G18" s="480">
        <f t="shared" si="7"/>
        <v>0.7</v>
      </c>
      <c r="H18" s="479">
        <f>SUM(I18:L18)</f>
        <v>5625.1415999999999</v>
      </c>
      <c r="I18" s="480">
        <v>3127.8006</v>
      </c>
      <c r="J18" s="480">
        <v>2496.6410000000001</v>
      </c>
      <c r="K18" s="480"/>
      <c r="L18" s="480">
        <v>0.7</v>
      </c>
      <c r="M18" s="480">
        <f t="shared" si="8"/>
        <v>1033.0019999999997</v>
      </c>
      <c r="N18" s="480">
        <v>88.201999999999998</v>
      </c>
      <c r="O18" s="480">
        <v>944.79999999999973</v>
      </c>
      <c r="P18" s="468"/>
      <c r="Q18" s="468"/>
      <c r="R18" s="469"/>
      <c r="S18" s="469"/>
      <c r="U18" s="456">
        <f t="shared" si="1"/>
        <v>2008</v>
      </c>
      <c r="V18" s="458">
        <f t="shared" si="0"/>
        <v>7157.9350000000031</v>
      </c>
      <c r="W18" s="458">
        <f t="shared" si="0"/>
        <v>3242.0260000000017</v>
      </c>
      <c r="X18" s="458">
        <f t="shared" si="0"/>
        <v>3915.2090000000017</v>
      </c>
      <c r="Y18" s="446"/>
      <c r="Z18" s="458"/>
      <c r="AB18" s="459"/>
    </row>
    <row r="19" spans="2:28" x14ac:dyDescent="0.25">
      <c r="B19" s="470">
        <v>2007</v>
      </c>
      <c r="C19" s="471">
        <f t="shared" si="2"/>
        <v>7027.5172000000002</v>
      </c>
      <c r="D19" s="472">
        <f t="shared" si="6"/>
        <v>3233.5982000000004</v>
      </c>
      <c r="E19" s="475">
        <f t="shared" si="3"/>
        <v>3793.2190000000001</v>
      </c>
      <c r="F19" s="475"/>
      <c r="G19" s="475">
        <f t="shared" si="7"/>
        <v>0.7</v>
      </c>
      <c r="H19" s="472">
        <f t="shared" si="4"/>
        <v>5989.7251999999999</v>
      </c>
      <c r="I19" s="475">
        <v>3145.1412000000005</v>
      </c>
      <c r="J19" s="475">
        <v>2843.884</v>
      </c>
      <c r="K19" s="475"/>
      <c r="L19" s="475">
        <v>0.7</v>
      </c>
      <c r="M19" s="475">
        <f t="shared" si="8"/>
        <v>1037.7919999999999</v>
      </c>
      <c r="N19" s="475">
        <v>88.456999999999994</v>
      </c>
      <c r="O19" s="475">
        <v>949.33499999999992</v>
      </c>
      <c r="P19" s="468"/>
      <c r="Q19" s="468"/>
      <c r="R19" s="476"/>
      <c r="S19" s="476"/>
      <c r="U19" s="456">
        <f t="shared" si="1"/>
        <v>2009</v>
      </c>
      <c r="V19" s="458">
        <f t="shared" si="0"/>
        <v>7986.4960000000019</v>
      </c>
      <c r="W19" s="458">
        <f t="shared" si="0"/>
        <v>3277.4640000000018</v>
      </c>
      <c r="X19" s="458">
        <f t="shared" si="0"/>
        <v>4708.3320000000003</v>
      </c>
      <c r="Y19" s="446"/>
      <c r="Z19" s="458"/>
      <c r="AB19" s="459"/>
    </row>
    <row r="20" spans="2:28" x14ac:dyDescent="0.25">
      <c r="B20" s="477">
        <v>2008</v>
      </c>
      <c r="C20" s="478">
        <f t="shared" si="2"/>
        <v>7157.9350000000031</v>
      </c>
      <c r="D20" s="479">
        <f t="shared" si="6"/>
        <v>3242.0260000000017</v>
      </c>
      <c r="E20" s="482">
        <f t="shared" si="3"/>
        <v>3915.2090000000017</v>
      </c>
      <c r="F20" s="482"/>
      <c r="G20" s="480">
        <f t="shared" si="7"/>
        <v>0.7</v>
      </c>
      <c r="H20" s="479">
        <f t="shared" si="4"/>
        <v>5996.9830000000029</v>
      </c>
      <c r="I20" s="480">
        <v>3152.0380000000018</v>
      </c>
      <c r="J20" s="480">
        <v>2844.2450000000008</v>
      </c>
      <c r="K20" s="480"/>
      <c r="L20" s="480">
        <v>0.7</v>
      </c>
      <c r="M20" s="480">
        <f t="shared" si="8"/>
        <v>1160.9520000000007</v>
      </c>
      <c r="N20" s="480">
        <v>89.987999999999971</v>
      </c>
      <c r="O20" s="480">
        <v>1070.9640000000006</v>
      </c>
      <c r="P20" s="468"/>
      <c r="Q20" s="468"/>
      <c r="R20" s="469"/>
      <c r="S20" s="469"/>
      <c r="U20" s="456">
        <f t="shared" si="1"/>
        <v>2010</v>
      </c>
      <c r="V20" s="458">
        <f t="shared" si="0"/>
        <v>8612.5569999999971</v>
      </c>
      <c r="W20" s="458">
        <f t="shared" si="0"/>
        <v>3437.6019999999994</v>
      </c>
      <c r="X20" s="458">
        <f t="shared" si="0"/>
        <v>5174.2549999999974</v>
      </c>
      <c r="Y20" s="446"/>
      <c r="Z20" s="458"/>
      <c r="AB20" s="459"/>
    </row>
    <row r="21" spans="2:28" x14ac:dyDescent="0.25">
      <c r="B21" s="470">
        <v>2009</v>
      </c>
      <c r="C21" s="471">
        <f t="shared" si="2"/>
        <v>7986.4960000000019</v>
      </c>
      <c r="D21" s="472">
        <f t="shared" si="6"/>
        <v>3277.4640000000018</v>
      </c>
      <c r="E21" s="473">
        <f t="shared" si="3"/>
        <v>4708.3320000000003</v>
      </c>
      <c r="F21" s="473"/>
      <c r="G21" s="475">
        <f t="shared" si="7"/>
        <v>0.7</v>
      </c>
      <c r="H21" s="472">
        <f t="shared" si="4"/>
        <v>6723.5160000000024</v>
      </c>
      <c r="I21" s="475">
        <v>3183.1260000000016</v>
      </c>
      <c r="J21" s="475">
        <v>3539.6900000000005</v>
      </c>
      <c r="K21" s="475"/>
      <c r="L21" s="475">
        <v>0.7</v>
      </c>
      <c r="M21" s="475">
        <f t="shared" si="8"/>
        <v>1262.9800000000002</v>
      </c>
      <c r="N21" s="475">
        <v>94.337999999999994</v>
      </c>
      <c r="O21" s="475">
        <v>1168.6420000000003</v>
      </c>
      <c r="P21" s="468"/>
      <c r="Q21" s="468"/>
      <c r="R21" s="476"/>
      <c r="S21" s="476"/>
      <c r="U21" s="456">
        <f t="shared" si="1"/>
        <v>2011</v>
      </c>
      <c r="V21" s="458">
        <f t="shared" si="0"/>
        <v>8691.3240000000005</v>
      </c>
      <c r="W21" s="458">
        <f t="shared" si="0"/>
        <v>3450.9529999999986</v>
      </c>
      <c r="X21" s="458">
        <f t="shared" si="0"/>
        <v>5239.6710000000003</v>
      </c>
      <c r="Y21" s="446"/>
      <c r="Z21" s="458"/>
      <c r="AB21" s="459"/>
    </row>
    <row r="22" spans="2:28" x14ac:dyDescent="0.25">
      <c r="B22" s="477">
        <v>2010</v>
      </c>
      <c r="C22" s="478">
        <f t="shared" si="2"/>
        <v>8612.5569999999971</v>
      </c>
      <c r="D22" s="479">
        <f t="shared" si="6"/>
        <v>3437.6019999999994</v>
      </c>
      <c r="E22" s="482">
        <f t="shared" si="3"/>
        <v>5174.2549999999974</v>
      </c>
      <c r="F22" s="482"/>
      <c r="G22" s="480">
        <f t="shared" si="7"/>
        <v>0.7</v>
      </c>
      <c r="H22" s="479">
        <f t="shared" si="4"/>
        <v>7309.1659999999965</v>
      </c>
      <c r="I22" s="480">
        <v>3344.7949999999996</v>
      </c>
      <c r="J22" s="480">
        <v>3963.6709999999966</v>
      </c>
      <c r="K22" s="480"/>
      <c r="L22" s="480">
        <v>0.7</v>
      </c>
      <c r="M22" s="480">
        <f>+N22+O22</f>
        <v>1303.3910000000008</v>
      </c>
      <c r="N22" s="480">
        <v>92.806999999999974</v>
      </c>
      <c r="O22" s="480">
        <v>1210.5840000000007</v>
      </c>
      <c r="P22" s="468"/>
      <c r="Q22" s="468"/>
      <c r="R22" s="469"/>
      <c r="S22" s="469"/>
      <c r="U22" s="456">
        <f t="shared" si="1"/>
        <v>2012</v>
      </c>
      <c r="V22" s="458">
        <f t="shared" ref="V22:Y23" si="9">C24</f>
        <v>9699.4349999999995</v>
      </c>
      <c r="W22" s="458">
        <f t="shared" si="9"/>
        <v>3484.3239999999983</v>
      </c>
      <c r="X22" s="458">
        <f t="shared" si="9"/>
        <v>6134.4110000000001</v>
      </c>
      <c r="Y22" s="458">
        <f>F24</f>
        <v>80</v>
      </c>
      <c r="Z22" s="458"/>
      <c r="AB22" s="459"/>
    </row>
    <row r="23" spans="2:28" x14ac:dyDescent="0.25">
      <c r="B23" s="470">
        <v>2011</v>
      </c>
      <c r="C23" s="471">
        <f t="shared" si="2"/>
        <v>8691.3240000000005</v>
      </c>
      <c r="D23" s="472">
        <f t="shared" si="6"/>
        <v>3450.9529999999986</v>
      </c>
      <c r="E23" s="473">
        <f t="shared" si="3"/>
        <v>5239.6710000000003</v>
      </c>
      <c r="F23" s="473"/>
      <c r="G23" s="475">
        <f t="shared" si="7"/>
        <v>0.7</v>
      </c>
      <c r="H23" s="472">
        <f t="shared" si="4"/>
        <v>7314.2369999999992</v>
      </c>
      <c r="I23" s="472">
        <v>3357.0599999999986</v>
      </c>
      <c r="J23" s="472">
        <v>3956.4770000000008</v>
      </c>
      <c r="K23" s="475"/>
      <c r="L23" s="475">
        <v>0.7</v>
      </c>
      <c r="M23" s="475">
        <f t="shared" si="8"/>
        <v>1377.087</v>
      </c>
      <c r="N23" s="472">
        <v>93.893000000000001</v>
      </c>
      <c r="O23" s="472">
        <v>1283.194</v>
      </c>
      <c r="P23" s="468"/>
      <c r="Q23" s="468"/>
      <c r="R23" s="476"/>
      <c r="S23" s="476"/>
      <c r="U23" s="456">
        <f t="shared" si="1"/>
        <v>2013</v>
      </c>
      <c r="V23" s="458">
        <f t="shared" si="9"/>
        <v>11050.719000000003</v>
      </c>
      <c r="W23" s="458">
        <f t="shared" si="9"/>
        <v>3556.1819999999998</v>
      </c>
      <c r="X23" s="458">
        <f t="shared" si="9"/>
        <v>7413.8370000000023</v>
      </c>
      <c r="Y23" s="458">
        <f t="shared" si="9"/>
        <v>80</v>
      </c>
      <c r="Z23" s="458"/>
      <c r="AB23" s="459"/>
    </row>
    <row r="24" spans="2:28" x14ac:dyDescent="0.25">
      <c r="B24" s="484">
        <v>2012</v>
      </c>
      <c r="C24" s="485">
        <f t="shared" si="2"/>
        <v>9699.4349999999995</v>
      </c>
      <c r="D24" s="486">
        <f>SUM(I24,N24)</f>
        <v>3484.3239999999983</v>
      </c>
      <c r="E24" s="487">
        <f>SUM(J24,O24)</f>
        <v>6134.4110000000001</v>
      </c>
      <c r="F24" s="488">
        <f t="shared" ref="F24:F29" si="10">SUM(K24)</f>
        <v>80</v>
      </c>
      <c r="G24" s="488">
        <f t="shared" si="7"/>
        <v>0.7</v>
      </c>
      <c r="H24" s="486">
        <f t="shared" si="4"/>
        <v>8267.1709999999985</v>
      </c>
      <c r="I24" s="480">
        <v>3380.8299999999981</v>
      </c>
      <c r="J24" s="480">
        <v>4805.6409999999996</v>
      </c>
      <c r="K24" s="488">
        <v>80</v>
      </c>
      <c r="L24" s="488">
        <v>0.7</v>
      </c>
      <c r="M24" s="488">
        <f t="shared" ref="M24:M29" si="11">+N24+O24</f>
        <v>1432.2640000000001</v>
      </c>
      <c r="N24" s="480">
        <v>103.494</v>
      </c>
      <c r="O24" s="480">
        <v>1328.7700000000002</v>
      </c>
      <c r="P24" s="468"/>
      <c r="Q24" s="468"/>
      <c r="R24" s="469"/>
      <c r="S24" s="469"/>
      <c r="U24" s="456">
        <f t="shared" si="1"/>
        <v>2014</v>
      </c>
      <c r="V24" s="458">
        <f t="shared" ref="V24:Z25" si="12">C26</f>
        <v>11202.619000000002</v>
      </c>
      <c r="W24" s="458">
        <f t="shared" si="12"/>
        <v>3661.8649999999961</v>
      </c>
      <c r="X24" s="458">
        <f t="shared" si="12"/>
        <v>7302.0540000000055</v>
      </c>
      <c r="Y24" s="458">
        <f t="shared" si="12"/>
        <v>96</v>
      </c>
      <c r="Z24" s="458">
        <f>G26</f>
        <v>142.69999999999999</v>
      </c>
      <c r="AB24" s="459"/>
    </row>
    <row r="25" spans="2:28" x14ac:dyDescent="0.25">
      <c r="B25" s="489">
        <v>2013</v>
      </c>
      <c r="C25" s="490">
        <f t="shared" si="2"/>
        <v>11050.719000000003</v>
      </c>
      <c r="D25" s="491">
        <f t="shared" si="6"/>
        <v>3556.1819999999998</v>
      </c>
      <c r="E25" s="492">
        <f t="shared" si="3"/>
        <v>7413.8370000000023</v>
      </c>
      <c r="F25" s="493">
        <f t="shared" si="10"/>
        <v>80</v>
      </c>
      <c r="G25" s="493">
        <f t="shared" si="7"/>
        <v>0.7</v>
      </c>
      <c r="H25" s="491">
        <f t="shared" si="4"/>
        <v>9634.631000000003</v>
      </c>
      <c r="I25" s="493">
        <v>3450.5469999999996</v>
      </c>
      <c r="J25" s="493">
        <v>6103.3840000000027</v>
      </c>
      <c r="K25" s="493">
        <v>80</v>
      </c>
      <c r="L25" s="493">
        <v>0.7</v>
      </c>
      <c r="M25" s="493">
        <f t="shared" si="11"/>
        <v>1416.0879999999997</v>
      </c>
      <c r="N25" s="493">
        <v>105.63500000000001</v>
      </c>
      <c r="O25" s="493">
        <v>1310.4529999999997</v>
      </c>
      <c r="P25" s="468"/>
      <c r="Q25" s="468"/>
      <c r="R25" s="494"/>
      <c r="S25" s="494"/>
      <c r="U25" s="456">
        <f t="shared" si="1"/>
        <v>2015</v>
      </c>
      <c r="V25" s="458">
        <f t="shared" si="12"/>
        <v>12188.627</v>
      </c>
      <c r="W25" s="458">
        <f t="shared" si="12"/>
        <v>4151.8429999999962</v>
      </c>
      <c r="X25" s="458">
        <f t="shared" si="12"/>
        <v>7700.9840000000049</v>
      </c>
      <c r="Y25" s="458">
        <f t="shared" si="12"/>
        <v>96</v>
      </c>
      <c r="Z25" s="458">
        <f t="shared" si="12"/>
        <v>239.79999999999998</v>
      </c>
      <c r="AB25" s="459"/>
    </row>
    <row r="26" spans="2:28" x14ac:dyDescent="0.25">
      <c r="B26" s="477">
        <v>2014</v>
      </c>
      <c r="C26" s="478">
        <f t="shared" ref="C26:C34" si="13">SUM(D26:G26)</f>
        <v>11202.619000000002</v>
      </c>
      <c r="D26" s="479">
        <f t="shared" ref="D26:E28" si="14">SUM(I26,N26)</f>
        <v>3661.8649999999961</v>
      </c>
      <c r="E26" s="482">
        <f t="shared" si="14"/>
        <v>7302.0540000000055</v>
      </c>
      <c r="F26" s="482">
        <f t="shared" si="10"/>
        <v>96</v>
      </c>
      <c r="G26" s="480">
        <f t="shared" ref="G26:G33" si="15">SUM(L26)</f>
        <v>142.69999999999999</v>
      </c>
      <c r="H26" s="479">
        <f t="shared" ref="H26:H33" si="16">SUM(I26:L26)</f>
        <v>9739.2480000000032</v>
      </c>
      <c r="I26" s="480">
        <v>3558.2689999999961</v>
      </c>
      <c r="J26" s="480">
        <v>5942.2790000000059</v>
      </c>
      <c r="K26" s="480">
        <v>96</v>
      </c>
      <c r="L26" s="480">
        <v>142.69999999999999</v>
      </c>
      <c r="M26" s="480">
        <f t="shared" si="11"/>
        <v>1463.3709999999996</v>
      </c>
      <c r="N26" s="480">
        <v>103.59599999999998</v>
      </c>
      <c r="O26" s="480">
        <v>1359.7749999999996</v>
      </c>
      <c r="P26" s="468"/>
      <c r="Q26" s="468"/>
      <c r="R26" s="469"/>
      <c r="S26" s="469"/>
      <c r="U26" s="456">
        <f t="shared" si="1"/>
        <v>2016</v>
      </c>
      <c r="V26" s="458">
        <f t="shared" ref="V26:Z27" si="17">C28</f>
        <v>14517.715000000004</v>
      </c>
      <c r="W26" s="458">
        <f t="shared" si="17"/>
        <v>5189.2449999999972</v>
      </c>
      <c r="X26" s="458">
        <f t="shared" si="17"/>
        <v>8988.5200000000059</v>
      </c>
      <c r="Y26" s="458">
        <f t="shared" si="17"/>
        <v>100</v>
      </c>
      <c r="Z26" s="458">
        <f t="shared" si="17"/>
        <v>239.95</v>
      </c>
      <c r="AB26" s="459"/>
    </row>
    <row r="27" spans="2:28" x14ac:dyDescent="0.25">
      <c r="B27" s="489">
        <v>2015</v>
      </c>
      <c r="C27" s="490">
        <f t="shared" si="13"/>
        <v>12188.627</v>
      </c>
      <c r="D27" s="491">
        <f t="shared" si="14"/>
        <v>4151.8429999999962</v>
      </c>
      <c r="E27" s="492">
        <f t="shared" si="14"/>
        <v>7700.9840000000049</v>
      </c>
      <c r="F27" s="493">
        <f t="shared" si="10"/>
        <v>96</v>
      </c>
      <c r="G27" s="493">
        <f t="shared" si="15"/>
        <v>239.79999999999998</v>
      </c>
      <c r="H27" s="491">
        <f t="shared" si="16"/>
        <v>10717.713000000002</v>
      </c>
      <c r="I27" s="493">
        <v>4047.8669999999961</v>
      </c>
      <c r="J27" s="493">
        <v>6334.0460000000057</v>
      </c>
      <c r="K27" s="493">
        <v>96</v>
      </c>
      <c r="L27" s="493">
        <v>239.79999999999998</v>
      </c>
      <c r="M27" s="493">
        <f t="shared" si="11"/>
        <v>1470.9139999999993</v>
      </c>
      <c r="N27" s="493">
        <v>103.97599999999998</v>
      </c>
      <c r="O27" s="493">
        <v>1366.9379999999994</v>
      </c>
      <c r="P27" s="468"/>
      <c r="Q27" s="468"/>
      <c r="R27" s="494"/>
      <c r="S27" s="494"/>
      <c r="U27" s="456">
        <f>+B29</f>
        <v>2017</v>
      </c>
      <c r="V27" s="458">
        <f t="shared" si="17"/>
        <v>14734.771000000197</v>
      </c>
      <c r="W27" s="458">
        <f t="shared" si="17"/>
        <v>5245.930000000023</v>
      </c>
      <c r="X27" s="458">
        <f t="shared" si="17"/>
        <v>9004.407000000172</v>
      </c>
      <c r="Y27" s="458">
        <f t="shared" si="17"/>
        <v>244.48399999999998</v>
      </c>
      <c r="Z27" s="458">
        <f t="shared" si="17"/>
        <v>239.94999999999985</v>
      </c>
      <c r="AB27" s="459"/>
    </row>
    <row r="28" spans="2:28" x14ac:dyDescent="0.25">
      <c r="B28" s="495">
        <v>2016</v>
      </c>
      <c r="C28" s="496">
        <f t="shared" si="13"/>
        <v>14517.715000000004</v>
      </c>
      <c r="D28" s="497">
        <f t="shared" si="14"/>
        <v>5189.2449999999972</v>
      </c>
      <c r="E28" s="498">
        <f t="shared" si="14"/>
        <v>8988.5200000000059</v>
      </c>
      <c r="F28" s="499">
        <f t="shared" si="10"/>
        <v>100</v>
      </c>
      <c r="G28" s="499">
        <f t="shared" si="15"/>
        <v>239.95</v>
      </c>
      <c r="H28" s="497">
        <f t="shared" si="16"/>
        <v>13044.474000000006</v>
      </c>
      <c r="I28" s="499">
        <v>5072.4689999999973</v>
      </c>
      <c r="J28" s="499">
        <v>7632.0550000000067</v>
      </c>
      <c r="K28" s="499">
        <v>100</v>
      </c>
      <c r="L28" s="499">
        <v>239.95</v>
      </c>
      <c r="M28" s="499">
        <f t="shared" si="11"/>
        <v>1473.241</v>
      </c>
      <c r="N28" s="499">
        <v>116.776</v>
      </c>
      <c r="O28" s="499">
        <v>1356.4649999999999</v>
      </c>
      <c r="P28" s="468"/>
      <c r="Q28" s="468"/>
      <c r="R28" s="500"/>
      <c r="S28" s="500"/>
      <c r="U28" s="456">
        <f>+B30</f>
        <v>2018</v>
      </c>
      <c r="V28" s="458">
        <f>C30</f>
        <v>15144.58600000001</v>
      </c>
      <c r="W28" s="458">
        <f>D30</f>
        <v>5363.3650000000007</v>
      </c>
      <c r="X28" s="458">
        <f>E30</f>
        <v>9124.4870000000083</v>
      </c>
      <c r="Y28" s="458">
        <f>F30</f>
        <v>284.48400000000004</v>
      </c>
      <c r="Z28" s="458">
        <f>G30</f>
        <v>372.24999999999994</v>
      </c>
      <c r="AB28" s="459"/>
    </row>
    <row r="29" spans="2:28" x14ac:dyDescent="0.25">
      <c r="B29" s="489">
        <v>2017</v>
      </c>
      <c r="C29" s="490">
        <f t="shared" si="13"/>
        <v>14734.771000000197</v>
      </c>
      <c r="D29" s="491">
        <f t="shared" ref="D29:E32" si="18">SUM(I29,N29)</f>
        <v>5245.930000000023</v>
      </c>
      <c r="E29" s="492">
        <f t="shared" si="18"/>
        <v>9004.407000000172</v>
      </c>
      <c r="F29" s="493">
        <f t="shared" si="10"/>
        <v>244.48399999999998</v>
      </c>
      <c r="G29" s="493">
        <f t="shared" si="15"/>
        <v>239.94999999999985</v>
      </c>
      <c r="H29" s="491">
        <f t="shared" si="16"/>
        <v>13238.762000000199</v>
      </c>
      <c r="I29" s="493">
        <v>5115.7070000000231</v>
      </c>
      <c r="J29" s="493">
        <v>7638.6210000001747</v>
      </c>
      <c r="K29" s="493">
        <v>244.48399999999998</v>
      </c>
      <c r="L29" s="493">
        <v>239.94999999999985</v>
      </c>
      <c r="M29" s="493">
        <f t="shared" si="11"/>
        <v>1496.0089999999977</v>
      </c>
      <c r="N29" s="493">
        <v>130.2229999999997</v>
      </c>
      <c r="O29" s="493">
        <v>1365.785999999998</v>
      </c>
      <c r="P29" s="468"/>
      <c r="Q29" s="468"/>
      <c r="R29" s="500"/>
      <c r="S29" s="500"/>
      <c r="U29" s="456">
        <f t="shared" ref="U29:U30" si="19">+B31</f>
        <v>2019</v>
      </c>
      <c r="V29" s="458">
        <f t="shared" ref="V29:Z29" si="20">C31</f>
        <v>15122.840000000011</v>
      </c>
      <c r="W29" s="458">
        <f t="shared" si="20"/>
        <v>5397.2050000000027</v>
      </c>
      <c r="X29" s="458">
        <f t="shared" si="20"/>
        <v>9064.3510000000097</v>
      </c>
      <c r="Y29" s="458">
        <f t="shared" si="20"/>
        <v>289.03399999999999</v>
      </c>
      <c r="Z29" s="458">
        <f t="shared" si="20"/>
        <v>372.24999999999994</v>
      </c>
      <c r="AB29" s="459"/>
    </row>
    <row r="30" spans="2:28" x14ac:dyDescent="0.25">
      <c r="B30" s="495">
        <v>2018</v>
      </c>
      <c r="C30" s="496">
        <f t="shared" si="13"/>
        <v>15144.58600000001</v>
      </c>
      <c r="D30" s="497">
        <f t="shared" si="18"/>
        <v>5363.3650000000007</v>
      </c>
      <c r="E30" s="498">
        <f t="shared" si="18"/>
        <v>9124.4870000000083</v>
      </c>
      <c r="F30" s="499">
        <f t="shared" ref="F30:F35" si="21">SUM(K30)</f>
        <v>284.48400000000004</v>
      </c>
      <c r="G30" s="499">
        <f t="shared" si="15"/>
        <v>372.24999999999994</v>
      </c>
      <c r="H30" s="497">
        <f t="shared" si="16"/>
        <v>13649.930000000008</v>
      </c>
      <c r="I30" s="499">
        <v>5232.4620000000004</v>
      </c>
      <c r="J30" s="499">
        <v>7760.7340000000077</v>
      </c>
      <c r="K30" s="499">
        <v>284.48400000000004</v>
      </c>
      <c r="L30" s="499">
        <v>372.24999999999994</v>
      </c>
      <c r="M30" s="499">
        <f t="shared" ref="M30:M35" si="22">+N30+O30</f>
        <v>1494.6559999999999</v>
      </c>
      <c r="N30" s="499">
        <v>130.90299999999999</v>
      </c>
      <c r="O30" s="499">
        <v>1363.7529999999999</v>
      </c>
      <c r="P30" s="468"/>
      <c r="Q30" s="468"/>
      <c r="R30" s="500"/>
      <c r="S30" s="500"/>
      <c r="U30" s="456">
        <f t="shared" si="19"/>
        <v>2020</v>
      </c>
      <c r="V30" s="458">
        <f>C32</f>
        <v>15186.97000000001</v>
      </c>
      <c r="W30" s="458">
        <f t="shared" ref="W30:Z30" si="23">D32</f>
        <v>5416.5830000000033</v>
      </c>
      <c r="X30" s="458">
        <f t="shared" si="23"/>
        <v>9072.3630000000085</v>
      </c>
      <c r="Y30" s="458">
        <f t="shared" si="23"/>
        <v>289.03399999999999</v>
      </c>
      <c r="Z30" s="458">
        <f t="shared" si="23"/>
        <v>408.98999999999995</v>
      </c>
      <c r="AB30" s="459"/>
    </row>
    <row r="31" spans="2:28" x14ac:dyDescent="0.25">
      <c r="B31" s="489">
        <v>2019</v>
      </c>
      <c r="C31" s="490">
        <f t="shared" si="13"/>
        <v>15122.840000000011</v>
      </c>
      <c r="D31" s="491">
        <f t="shared" si="18"/>
        <v>5397.2050000000027</v>
      </c>
      <c r="E31" s="492">
        <f t="shared" si="18"/>
        <v>9064.3510000000097</v>
      </c>
      <c r="F31" s="493">
        <f t="shared" si="21"/>
        <v>289.03399999999999</v>
      </c>
      <c r="G31" s="493">
        <f t="shared" si="15"/>
        <v>372.24999999999994</v>
      </c>
      <c r="H31" s="491">
        <f t="shared" si="16"/>
        <v>13650.195000000011</v>
      </c>
      <c r="I31" s="493">
        <v>5266.3020000000024</v>
      </c>
      <c r="J31" s="493">
        <v>7722.6090000000086</v>
      </c>
      <c r="K31" s="493">
        <v>289.03399999999999</v>
      </c>
      <c r="L31" s="493">
        <v>372.24999999999994</v>
      </c>
      <c r="M31" s="493">
        <f t="shared" si="22"/>
        <v>1472.6450000000007</v>
      </c>
      <c r="N31" s="493">
        <v>130.90299999999999</v>
      </c>
      <c r="O31" s="493">
        <v>1341.7420000000006</v>
      </c>
      <c r="P31" s="468"/>
      <c r="Q31" s="468"/>
      <c r="R31" s="500"/>
      <c r="S31" s="500"/>
      <c r="U31" s="438">
        <v>2021</v>
      </c>
      <c r="V31" s="458">
        <f>C33</f>
        <v>15340.308999999972</v>
      </c>
      <c r="W31" s="458">
        <f t="shared" ref="W31" si="24">D33</f>
        <v>5513.7740000000113</v>
      </c>
      <c r="X31" s="458">
        <f t="shared" ref="X31" si="25">E33</f>
        <v>9131.0349999999617</v>
      </c>
      <c r="Y31" s="458">
        <f t="shared" ref="Y31" si="26">F33</f>
        <v>286.51000000000022</v>
      </c>
      <c r="Z31" s="458">
        <f t="shared" ref="Z31" si="27">G33</f>
        <v>408.98999999999995</v>
      </c>
      <c r="AB31" s="459"/>
    </row>
    <row r="32" spans="2:28" x14ac:dyDescent="0.25">
      <c r="B32" s="495">
        <v>2020</v>
      </c>
      <c r="C32" s="496">
        <f t="shared" si="13"/>
        <v>15186.97000000001</v>
      </c>
      <c r="D32" s="497">
        <f t="shared" si="18"/>
        <v>5416.5830000000033</v>
      </c>
      <c r="E32" s="498">
        <f t="shared" si="18"/>
        <v>9072.3630000000085</v>
      </c>
      <c r="F32" s="499">
        <f t="shared" si="21"/>
        <v>289.03399999999999</v>
      </c>
      <c r="G32" s="499">
        <f t="shared" si="15"/>
        <v>408.98999999999995</v>
      </c>
      <c r="H32" s="497">
        <f t="shared" si="16"/>
        <v>13724.04800000001</v>
      </c>
      <c r="I32" s="499">
        <v>5285.680000000003</v>
      </c>
      <c r="J32" s="499">
        <v>7740.3440000000073</v>
      </c>
      <c r="K32" s="499">
        <v>289.03399999999999</v>
      </c>
      <c r="L32" s="499">
        <v>408.98999999999995</v>
      </c>
      <c r="M32" s="499">
        <f t="shared" si="22"/>
        <v>1462.9220000000009</v>
      </c>
      <c r="N32" s="499">
        <v>130.90299999999999</v>
      </c>
      <c r="O32" s="499">
        <v>1332.0190000000009</v>
      </c>
      <c r="P32" s="468"/>
      <c r="Q32" s="468"/>
      <c r="R32" s="500"/>
      <c r="S32" s="500"/>
      <c r="U32" s="438">
        <v>2022</v>
      </c>
      <c r="V32" s="458">
        <f t="shared" ref="V32:V33" si="28">C34</f>
        <v>15759.502000000102</v>
      </c>
      <c r="W32" s="458">
        <f t="shared" ref="W32:W33" si="29">D34</f>
        <v>5514.3140000000194</v>
      </c>
      <c r="X32" s="458">
        <f t="shared" ref="X32:X33" si="30">E34</f>
        <v>9419.688000000082</v>
      </c>
      <c r="Y32" s="458">
        <f t="shared" ref="Y32:Y33" si="31">F34</f>
        <v>286.51</v>
      </c>
      <c r="Z32" s="458">
        <f t="shared" ref="Z32:Z33" si="32">G34</f>
        <v>538.98999999999967</v>
      </c>
    </row>
    <row r="33" spans="2:26" x14ac:dyDescent="0.25">
      <c r="B33" s="489">
        <v>2021</v>
      </c>
      <c r="C33" s="490">
        <f t="shared" si="13"/>
        <v>15340.308999999972</v>
      </c>
      <c r="D33" s="491">
        <f t="shared" ref="D33:D35" si="33">SUM(I33,N33)</f>
        <v>5513.7740000000113</v>
      </c>
      <c r="E33" s="492">
        <f t="shared" ref="E33:E35" si="34">SUM(J33,O33)</f>
        <v>9131.0349999999617</v>
      </c>
      <c r="F33" s="493">
        <f t="shared" si="21"/>
        <v>286.51000000000022</v>
      </c>
      <c r="G33" s="493">
        <f t="shared" si="15"/>
        <v>408.98999999999995</v>
      </c>
      <c r="H33" s="491">
        <f t="shared" si="16"/>
        <v>13860.954999999973</v>
      </c>
      <c r="I33" s="493">
        <v>5383.871000000011</v>
      </c>
      <c r="J33" s="493">
        <v>7781.5839999999625</v>
      </c>
      <c r="K33" s="493">
        <v>286.51000000000022</v>
      </c>
      <c r="L33" s="493">
        <v>408.98999999999995</v>
      </c>
      <c r="M33" s="493">
        <f t="shared" si="22"/>
        <v>1479.3539999999996</v>
      </c>
      <c r="N33" s="493">
        <v>129.90300000000002</v>
      </c>
      <c r="O33" s="493">
        <v>1349.4509999999996</v>
      </c>
      <c r="P33" s="468"/>
      <c r="Q33" s="468"/>
      <c r="R33" s="500"/>
      <c r="S33" s="500"/>
      <c r="U33" s="438">
        <v>2023</v>
      </c>
      <c r="V33" s="458">
        <f t="shared" si="28"/>
        <v>16363.45200000001</v>
      </c>
      <c r="W33" s="458">
        <f t="shared" si="29"/>
        <v>5529.7020000000111</v>
      </c>
      <c r="X33" s="458">
        <f t="shared" si="30"/>
        <v>9416.6190000000006</v>
      </c>
      <c r="Y33" s="458">
        <f t="shared" si="31"/>
        <v>401.4409999999998</v>
      </c>
      <c r="Z33" s="458">
        <f t="shared" si="32"/>
        <v>1015.6900000000012</v>
      </c>
    </row>
    <row r="34" spans="2:26" x14ac:dyDescent="0.25">
      <c r="B34" s="495">
        <v>2022</v>
      </c>
      <c r="C34" s="496">
        <f t="shared" si="13"/>
        <v>15759.502000000102</v>
      </c>
      <c r="D34" s="497">
        <f t="shared" ref="D34" si="35">SUM(I34,N34)</f>
        <v>5514.3140000000194</v>
      </c>
      <c r="E34" s="498">
        <f t="shared" ref="E34" si="36">SUM(J34,O34)</f>
        <v>9419.688000000082</v>
      </c>
      <c r="F34" s="499">
        <f t="shared" si="21"/>
        <v>286.51</v>
      </c>
      <c r="G34" s="499">
        <f t="shared" ref="G34" si="37">SUM(L34)</f>
        <v>538.98999999999967</v>
      </c>
      <c r="H34" s="497">
        <f t="shared" ref="H34" si="38">SUM(I34:L34)</f>
        <v>14248.478000000105</v>
      </c>
      <c r="I34" s="499">
        <v>5384.4110000000192</v>
      </c>
      <c r="J34" s="499">
        <v>8038.5670000000846</v>
      </c>
      <c r="K34" s="499">
        <v>286.51</v>
      </c>
      <c r="L34" s="499">
        <v>538.98999999999967</v>
      </c>
      <c r="M34" s="499">
        <f t="shared" si="22"/>
        <v>1511.0239999999983</v>
      </c>
      <c r="N34" s="499">
        <v>129.90299999999993</v>
      </c>
      <c r="O34" s="499">
        <v>1381.1209999999983</v>
      </c>
      <c r="P34" s="468"/>
      <c r="Q34" s="468"/>
      <c r="R34" s="500"/>
      <c r="S34" s="500"/>
      <c r="V34" s="459"/>
      <c r="W34" s="459"/>
      <c r="X34" s="459"/>
    </row>
    <row r="35" spans="2:26" x14ac:dyDescent="0.25">
      <c r="B35" s="501">
        <v>2023</v>
      </c>
      <c r="C35" s="490">
        <f t="shared" ref="C35" si="39">SUM(D35:G35)</f>
        <v>16363.45200000001</v>
      </c>
      <c r="D35" s="491">
        <f t="shared" si="33"/>
        <v>5529.7020000000111</v>
      </c>
      <c r="E35" s="492">
        <f t="shared" si="34"/>
        <v>9416.6190000000006</v>
      </c>
      <c r="F35" s="493">
        <f t="shared" si="21"/>
        <v>401.4409999999998</v>
      </c>
      <c r="G35" s="493">
        <f t="shared" ref="G35" si="40">SUM(L35)</f>
        <v>1015.6900000000012</v>
      </c>
      <c r="H35" s="491">
        <f t="shared" ref="H35" si="41">SUM(I35:L35)</f>
        <v>14842.810000000007</v>
      </c>
      <c r="I35" s="493">
        <v>5399.7990000000109</v>
      </c>
      <c r="J35" s="493">
        <v>8025.8799999999947</v>
      </c>
      <c r="K35" s="493">
        <v>401.4409999999998</v>
      </c>
      <c r="L35" s="493">
        <v>1015.6900000000012</v>
      </c>
      <c r="M35" s="493">
        <f t="shared" si="22"/>
        <v>1520.6420000000064</v>
      </c>
      <c r="N35" s="493">
        <v>129.90299999999999</v>
      </c>
      <c r="O35" s="493">
        <v>1390.7390000000064</v>
      </c>
      <c r="P35" s="468"/>
      <c r="Q35" s="468"/>
      <c r="R35" s="500"/>
      <c r="S35" s="500"/>
      <c r="V35" s="459"/>
      <c r="W35" s="459"/>
      <c r="X35" s="459"/>
    </row>
    <row r="36" spans="2:26" ht="14.25" thickBot="1" x14ac:dyDescent="0.3">
      <c r="B36" s="502"/>
      <c r="C36" s="503"/>
      <c r="D36" s="504"/>
      <c r="E36" s="505"/>
      <c r="F36" s="506"/>
      <c r="G36" s="507"/>
      <c r="H36" s="504"/>
      <c r="I36" s="506"/>
      <c r="J36" s="506"/>
      <c r="K36" s="506"/>
      <c r="L36" s="507"/>
      <c r="M36" s="506"/>
      <c r="N36" s="507"/>
      <c r="O36" s="506"/>
      <c r="P36" s="468"/>
      <c r="Q36" s="468"/>
      <c r="R36" s="468"/>
      <c r="S36" s="468"/>
      <c r="V36" s="459"/>
      <c r="W36" s="459"/>
      <c r="X36" s="459"/>
    </row>
    <row r="37" spans="2:26" x14ac:dyDescent="0.25">
      <c r="B37" s="508" t="s">
        <v>326</v>
      </c>
      <c r="C37" s="509">
        <f>(C35/C34)-1</f>
        <v>3.8322911472704169E-2</v>
      </c>
      <c r="D37" s="510">
        <f t="shared" ref="D37:O37" si="42">(D35/D34)-1</f>
        <v>2.7905556339358206E-3</v>
      </c>
      <c r="E37" s="510">
        <f t="shared" si="42"/>
        <v>-3.2580696941142406E-4</v>
      </c>
      <c r="F37" s="510">
        <f t="shared" si="42"/>
        <v>0.40114132141984515</v>
      </c>
      <c r="G37" s="510">
        <f t="shared" si="42"/>
        <v>0.8844319931724185</v>
      </c>
      <c r="H37" s="510">
        <f t="shared" si="42"/>
        <v>4.1711963902382854E-2</v>
      </c>
      <c r="I37" s="510">
        <f t="shared" si="42"/>
        <v>2.8578799055256621E-3</v>
      </c>
      <c r="J37" s="510">
        <f t="shared" si="42"/>
        <v>-1.578266375100168E-3</v>
      </c>
      <c r="K37" s="510">
        <f t="shared" si="42"/>
        <v>0.40114132141984515</v>
      </c>
      <c r="L37" s="510">
        <f t="shared" si="42"/>
        <v>0.8844319931724185</v>
      </c>
      <c r="M37" s="510">
        <f t="shared" si="42"/>
        <v>6.3652198773864743E-3</v>
      </c>
      <c r="N37" s="510">
        <f t="shared" si="42"/>
        <v>0</v>
      </c>
      <c r="O37" s="510">
        <f t="shared" si="42"/>
        <v>6.9639083034782612E-3</v>
      </c>
      <c r="P37" s="511"/>
      <c r="Q37" s="511"/>
      <c r="R37" s="512"/>
      <c r="S37" s="512"/>
      <c r="V37" s="459"/>
      <c r="W37" s="459"/>
      <c r="X37" s="459"/>
    </row>
    <row r="38" spans="2:26" ht="12.75" customHeight="1" x14ac:dyDescent="0.25">
      <c r="B38" s="513" t="s">
        <v>327</v>
      </c>
      <c r="C38" s="514">
        <f>((C35/C30)^(1/5))-1</f>
        <v>1.5601898923648161E-2</v>
      </c>
      <c r="D38" s="515">
        <f t="shared" ref="D38:O38" si="43">((D35/D30)^(1/5))-1</f>
        <v>6.1271646665908008E-3</v>
      </c>
      <c r="E38" s="515">
        <f t="shared" si="43"/>
        <v>6.3227906322986804E-3</v>
      </c>
      <c r="F38" s="515">
        <f t="shared" si="43"/>
        <v>7.1304122208847298E-2</v>
      </c>
      <c r="G38" s="515">
        <f t="shared" si="43"/>
        <v>0.22232105867490337</v>
      </c>
      <c r="H38" s="515">
        <f t="shared" si="43"/>
        <v>1.6897409028835186E-2</v>
      </c>
      <c r="I38" s="515">
        <f t="shared" si="43"/>
        <v>6.3158247676828871E-3</v>
      </c>
      <c r="J38" s="515">
        <f t="shared" si="43"/>
        <v>6.7415029102204649E-3</v>
      </c>
      <c r="K38" s="515">
        <f t="shared" si="43"/>
        <v>7.1304122208847298E-2</v>
      </c>
      <c r="L38" s="515">
        <f t="shared" si="43"/>
        <v>0.22232105867490337</v>
      </c>
      <c r="M38" s="515">
        <f t="shared" si="43"/>
        <v>3.4532556110997703E-3</v>
      </c>
      <c r="N38" s="515">
        <f t="shared" si="43"/>
        <v>-1.5325390235474412E-3</v>
      </c>
      <c r="O38" s="515">
        <f t="shared" si="43"/>
        <v>3.9266496792176309E-3</v>
      </c>
      <c r="P38" s="511"/>
      <c r="Q38" s="511"/>
      <c r="R38" s="511"/>
      <c r="S38" s="511"/>
      <c r="V38" s="459"/>
      <c r="W38" s="459"/>
      <c r="X38" s="459"/>
    </row>
    <row r="39" spans="2:26" x14ac:dyDescent="0.25">
      <c r="B39" s="516" t="s">
        <v>328</v>
      </c>
      <c r="C39" s="517">
        <f>(C35/C25)-1</f>
        <v>0.48075903477411797</v>
      </c>
      <c r="D39" s="518">
        <f t="shared" ref="D39:O39" si="44">(D35/D25)-1</f>
        <v>0.55495472391458356</v>
      </c>
      <c r="E39" s="518">
        <f t="shared" si="44"/>
        <v>0.27014108888555244</v>
      </c>
      <c r="F39" s="518"/>
      <c r="G39" s="518"/>
      <c r="H39" s="518">
        <f t="shared" si="44"/>
        <v>0.54056860091476278</v>
      </c>
      <c r="I39" s="518">
        <f t="shared" si="44"/>
        <v>0.5649110126597352</v>
      </c>
      <c r="J39" s="518">
        <f t="shared" si="44"/>
        <v>0.31498853750640476</v>
      </c>
      <c r="K39" s="518"/>
      <c r="L39" s="518"/>
      <c r="M39" s="518">
        <f t="shared" si="44"/>
        <v>7.3832982131058822E-2</v>
      </c>
      <c r="N39" s="518">
        <f t="shared" si="44"/>
        <v>0.22973446300941913</v>
      </c>
      <c r="O39" s="518">
        <f t="shared" si="44"/>
        <v>6.126583708077038E-2</v>
      </c>
      <c r="P39" s="511"/>
      <c r="Q39" s="511"/>
      <c r="R39" s="512"/>
      <c r="S39" s="512"/>
      <c r="V39" s="459"/>
      <c r="W39" s="459"/>
      <c r="X39" s="459"/>
    </row>
    <row r="40" spans="2:26" ht="12.75" customHeight="1" thickBot="1" x14ac:dyDescent="0.3">
      <c r="B40" s="519" t="s">
        <v>329</v>
      </c>
      <c r="C40" s="520">
        <f>((C35/C25)^(1/10))-1</f>
        <v>4.0036159983912079E-2</v>
      </c>
      <c r="D40" s="521">
        <f t="shared" ref="D40:O40" si="45">((D35/D25)^(1/10))-1</f>
        <v>4.5133515072820041E-2</v>
      </c>
      <c r="E40" s="521">
        <f t="shared" si="45"/>
        <v>2.4201002430874086E-2</v>
      </c>
      <c r="F40" s="521"/>
      <c r="G40" s="521"/>
      <c r="H40" s="521">
        <f t="shared" si="45"/>
        <v>4.4162529525054728E-2</v>
      </c>
      <c r="I40" s="521">
        <f t="shared" si="45"/>
        <v>4.5800787878433225E-2</v>
      </c>
      <c r="J40" s="521">
        <f t="shared" si="45"/>
        <v>2.7761149185799638E-2</v>
      </c>
      <c r="K40" s="521"/>
      <c r="L40" s="521"/>
      <c r="M40" s="521">
        <f t="shared" si="45"/>
        <v>7.1488794909257969E-3</v>
      </c>
      <c r="N40" s="521">
        <f t="shared" si="45"/>
        <v>2.0895135465719639E-2</v>
      </c>
      <c r="O40" s="522">
        <f t="shared" si="45"/>
        <v>5.963952124836025E-3</v>
      </c>
      <c r="P40" s="511"/>
      <c r="Q40" s="511"/>
      <c r="R40" s="511"/>
      <c r="S40" s="511"/>
    </row>
    <row r="41" spans="2:26" ht="14.25" x14ac:dyDescent="0.3">
      <c r="B41" s="523"/>
      <c r="V41" s="438" t="s">
        <v>45</v>
      </c>
    </row>
    <row r="42" spans="2:26" x14ac:dyDescent="0.25">
      <c r="B42" s="524"/>
      <c r="V42" s="438" t="s">
        <v>0</v>
      </c>
      <c r="W42" s="438" t="s">
        <v>4</v>
      </c>
      <c r="X42" s="438" t="s">
        <v>5</v>
      </c>
      <c r="Y42" s="438" t="s">
        <v>57</v>
      </c>
      <c r="Z42" s="438" t="s">
        <v>6</v>
      </c>
    </row>
    <row r="43" spans="2:26" x14ac:dyDescent="0.25">
      <c r="U43" s="438">
        <v>1995</v>
      </c>
      <c r="V43" s="459">
        <f t="shared" ref="V43:V66" si="46">H7</f>
        <v>3185.7</v>
      </c>
      <c r="W43" s="459">
        <f t="shared" ref="W43:W66" si="47">I7</f>
        <v>2190</v>
      </c>
      <c r="X43" s="459">
        <f t="shared" ref="X43:X66" si="48">J7</f>
        <v>995.7</v>
      </c>
      <c r="Z43" s="459"/>
    </row>
    <row r="44" spans="2:26" x14ac:dyDescent="0.25">
      <c r="U44" s="438">
        <v>1996</v>
      </c>
      <c r="V44" s="459">
        <f t="shared" si="46"/>
        <v>3352.8809999999999</v>
      </c>
      <c r="W44" s="459">
        <f t="shared" si="47"/>
        <v>2200.1839999999997</v>
      </c>
      <c r="X44" s="459">
        <f t="shared" si="48"/>
        <v>1152.4470000000001</v>
      </c>
      <c r="Z44" s="459"/>
    </row>
    <row r="45" spans="2:26" x14ac:dyDescent="0.25">
      <c r="U45" s="438">
        <v>1997</v>
      </c>
      <c r="V45" s="459">
        <f t="shared" si="46"/>
        <v>4325.0209999999997</v>
      </c>
      <c r="W45" s="459">
        <f t="shared" si="47"/>
        <v>2411.5189999999998</v>
      </c>
      <c r="X45" s="459">
        <f t="shared" si="48"/>
        <v>1913.252</v>
      </c>
      <c r="Z45" s="459"/>
    </row>
    <row r="46" spans="2:26" x14ac:dyDescent="0.25">
      <c r="U46" s="438">
        <v>1998</v>
      </c>
      <c r="V46" s="459">
        <f t="shared" si="46"/>
        <v>4632.2780000000002</v>
      </c>
      <c r="W46" s="459">
        <f t="shared" si="47"/>
        <v>2467.4160000000002</v>
      </c>
      <c r="X46" s="459">
        <f t="shared" si="48"/>
        <v>2164.6119999999996</v>
      </c>
      <c r="Z46" s="459"/>
    </row>
    <row r="47" spans="2:26" x14ac:dyDescent="0.25">
      <c r="U47" s="438">
        <v>1999</v>
      </c>
      <c r="V47" s="459">
        <f t="shared" si="46"/>
        <v>4828.2429999999995</v>
      </c>
      <c r="W47" s="459">
        <f t="shared" si="47"/>
        <v>2587.1289999999999</v>
      </c>
      <c r="X47" s="459">
        <f t="shared" si="48"/>
        <v>2240.4140000000002</v>
      </c>
      <c r="Z47" s="459"/>
    </row>
    <row r="48" spans="2:26" x14ac:dyDescent="0.25">
      <c r="U48" s="438">
        <v>2000</v>
      </c>
      <c r="V48" s="459">
        <f t="shared" si="46"/>
        <v>5148.8509999999997</v>
      </c>
      <c r="W48" s="459">
        <f t="shared" si="47"/>
        <v>2779.26</v>
      </c>
      <c r="X48" s="459">
        <f t="shared" si="48"/>
        <v>2368.8910000000001</v>
      </c>
      <c r="Z48" s="459"/>
    </row>
    <row r="49" spans="21:26" x14ac:dyDescent="0.25">
      <c r="U49" s="438">
        <v>2001</v>
      </c>
      <c r="V49" s="459">
        <f t="shared" si="46"/>
        <v>5050.8139999999994</v>
      </c>
      <c r="W49" s="459">
        <f t="shared" si="47"/>
        <v>2889.433</v>
      </c>
      <c r="X49" s="459">
        <f t="shared" si="48"/>
        <v>2160.681</v>
      </c>
      <c r="Z49" s="459"/>
    </row>
    <row r="50" spans="21:26" x14ac:dyDescent="0.25">
      <c r="U50" s="525">
        <v>2002</v>
      </c>
      <c r="V50" s="459">
        <f t="shared" si="46"/>
        <v>5068.0510000000004</v>
      </c>
      <c r="W50" s="459">
        <f t="shared" si="47"/>
        <v>2917.6020000000012</v>
      </c>
      <c r="X50" s="459">
        <f t="shared" si="48"/>
        <v>2149.7489999999998</v>
      </c>
      <c r="Z50" s="459"/>
    </row>
    <row r="51" spans="21:26" x14ac:dyDescent="0.25">
      <c r="U51" s="438">
        <v>2003</v>
      </c>
      <c r="V51" s="459">
        <f t="shared" si="46"/>
        <v>5095.1030000000001</v>
      </c>
      <c r="W51" s="459">
        <f t="shared" si="47"/>
        <v>2946.8210000000004</v>
      </c>
      <c r="X51" s="459">
        <f t="shared" si="48"/>
        <v>2147.5819999999999</v>
      </c>
      <c r="Z51" s="459"/>
    </row>
    <row r="52" spans="21:26" x14ac:dyDescent="0.25">
      <c r="U52" s="438">
        <v>2004</v>
      </c>
      <c r="V52" s="459">
        <f t="shared" si="46"/>
        <v>5096.0216000000028</v>
      </c>
      <c r="W52" s="459">
        <f t="shared" si="47"/>
        <v>2969.0596000000023</v>
      </c>
      <c r="X52" s="459">
        <f t="shared" si="48"/>
        <v>2126.2620000000002</v>
      </c>
      <c r="Z52" s="459"/>
    </row>
    <row r="53" spans="21:26" x14ac:dyDescent="0.25">
      <c r="U53" s="438">
        <v>2005</v>
      </c>
      <c r="V53" s="459">
        <f t="shared" si="46"/>
        <v>5220.6336000000001</v>
      </c>
      <c r="W53" s="459">
        <f t="shared" si="47"/>
        <v>3119.1996000000004</v>
      </c>
      <c r="X53" s="459">
        <f t="shared" si="48"/>
        <v>2100.7339999999995</v>
      </c>
      <c r="Z53" s="459"/>
    </row>
    <row r="54" spans="21:26" x14ac:dyDescent="0.25">
      <c r="U54" s="438">
        <v>2006</v>
      </c>
      <c r="V54" s="459">
        <f t="shared" si="46"/>
        <v>5625.1415999999999</v>
      </c>
      <c r="W54" s="459">
        <f t="shared" si="47"/>
        <v>3127.8006</v>
      </c>
      <c r="X54" s="459">
        <f t="shared" si="48"/>
        <v>2496.6410000000001</v>
      </c>
      <c r="Z54" s="459"/>
    </row>
    <row r="55" spans="21:26" x14ac:dyDescent="0.25">
      <c r="U55" s="525">
        <v>2007</v>
      </c>
      <c r="V55" s="459">
        <f t="shared" si="46"/>
        <v>5989.7251999999999</v>
      </c>
      <c r="W55" s="459">
        <f t="shared" si="47"/>
        <v>3145.1412000000005</v>
      </c>
      <c r="X55" s="459">
        <f t="shared" si="48"/>
        <v>2843.884</v>
      </c>
      <c r="Z55" s="459"/>
    </row>
    <row r="56" spans="21:26" x14ac:dyDescent="0.25">
      <c r="U56" s="438">
        <v>2008</v>
      </c>
      <c r="V56" s="459">
        <f t="shared" si="46"/>
        <v>5996.9830000000029</v>
      </c>
      <c r="W56" s="459">
        <f t="shared" si="47"/>
        <v>3152.0380000000018</v>
      </c>
      <c r="X56" s="459">
        <f t="shared" si="48"/>
        <v>2844.2450000000008</v>
      </c>
      <c r="Z56" s="459"/>
    </row>
    <row r="57" spans="21:26" x14ac:dyDescent="0.25">
      <c r="U57" s="438">
        <v>2009</v>
      </c>
      <c r="V57" s="459">
        <f t="shared" si="46"/>
        <v>6723.5160000000024</v>
      </c>
      <c r="W57" s="459">
        <f t="shared" si="47"/>
        <v>3183.1260000000016</v>
      </c>
      <c r="X57" s="459">
        <f t="shared" si="48"/>
        <v>3539.6900000000005</v>
      </c>
      <c r="Z57" s="459"/>
    </row>
    <row r="58" spans="21:26" x14ac:dyDescent="0.25">
      <c r="U58" s="438">
        <v>2010</v>
      </c>
      <c r="V58" s="459">
        <f t="shared" si="46"/>
        <v>7309.1659999999965</v>
      </c>
      <c r="W58" s="459">
        <f t="shared" si="47"/>
        <v>3344.7949999999996</v>
      </c>
      <c r="X58" s="459">
        <f t="shared" si="48"/>
        <v>3963.6709999999966</v>
      </c>
      <c r="Z58" s="459"/>
    </row>
    <row r="59" spans="21:26" x14ac:dyDescent="0.25">
      <c r="U59" s="438">
        <v>2011</v>
      </c>
      <c r="V59" s="459">
        <f t="shared" si="46"/>
        <v>7314.2369999999992</v>
      </c>
      <c r="W59" s="459">
        <f t="shared" si="47"/>
        <v>3357.0599999999986</v>
      </c>
      <c r="X59" s="459">
        <f t="shared" si="48"/>
        <v>3956.4770000000008</v>
      </c>
      <c r="Z59" s="459"/>
    </row>
    <row r="60" spans="21:26" x14ac:dyDescent="0.25">
      <c r="U60" s="438">
        <v>2012</v>
      </c>
      <c r="V60" s="459">
        <f t="shared" si="46"/>
        <v>8267.1709999999985</v>
      </c>
      <c r="W60" s="459">
        <f t="shared" si="47"/>
        <v>3380.8299999999981</v>
      </c>
      <c r="X60" s="459">
        <f t="shared" si="48"/>
        <v>4805.6409999999996</v>
      </c>
      <c r="Y60" s="459">
        <f t="shared" ref="Y60:Y66" si="49">K24</f>
        <v>80</v>
      </c>
      <c r="Z60" s="459"/>
    </row>
    <row r="61" spans="21:26" x14ac:dyDescent="0.25">
      <c r="U61" s="438">
        <v>2013</v>
      </c>
      <c r="V61" s="459">
        <f t="shared" si="46"/>
        <v>9634.631000000003</v>
      </c>
      <c r="W61" s="459">
        <f t="shared" si="47"/>
        <v>3450.5469999999996</v>
      </c>
      <c r="X61" s="459">
        <f t="shared" si="48"/>
        <v>6103.3840000000027</v>
      </c>
      <c r="Y61" s="459">
        <f t="shared" si="49"/>
        <v>80</v>
      </c>
      <c r="Z61" s="459"/>
    </row>
    <row r="62" spans="21:26" x14ac:dyDescent="0.25">
      <c r="U62" s="438">
        <v>2014</v>
      </c>
      <c r="V62" s="459">
        <f t="shared" si="46"/>
        <v>9739.2480000000032</v>
      </c>
      <c r="W62" s="459">
        <f t="shared" si="47"/>
        <v>3558.2689999999961</v>
      </c>
      <c r="X62" s="459">
        <f t="shared" si="48"/>
        <v>5942.2790000000059</v>
      </c>
      <c r="Y62" s="459">
        <f t="shared" si="49"/>
        <v>96</v>
      </c>
      <c r="Z62" s="459">
        <f>L26</f>
        <v>142.69999999999999</v>
      </c>
    </row>
    <row r="63" spans="21:26" x14ac:dyDescent="0.25">
      <c r="U63" s="438">
        <v>2015</v>
      </c>
      <c r="V63" s="459">
        <f t="shared" si="46"/>
        <v>10717.713000000002</v>
      </c>
      <c r="W63" s="459">
        <f t="shared" si="47"/>
        <v>4047.8669999999961</v>
      </c>
      <c r="X63" s="459">
        <f t="shared" si="48"/>
        <v>6334.0460000000057</v>
      </c>
      <c r="Y63" s="459">
        <f t="shared" si="49"/>
        <v>96</v>
      </c>
      <c r="Z63" s="459">
        <f>L27</f>
        <v>239.79999999999998</v>
      </c>
    </row>
    <row r="64" spans="21:26" x14ac:dyDescent="0.25">
      <c r="U64" s="438">
        <v>2016</v>
      </c>
      <c r="V64" s="459">
        <f t="shared" si="46"/>
        <v>13044.474000000006</v>
      </c>
      <c r="W64" s="459">
        <f t="shared" si="47"/>
        <v>5072.4689999999973</v>
      </c>
      <c r="X64" s="459">
        <f t="shared" si="48"/>
        <v>7632.0550000000067</v>
      </c>
      <c r="Y64" s="459">
        <f t="shared" si="49"/>
        <v>100</v>
      </c>
      <c r="Z64" s="459">
        <f>L28</f>
        <v>239.95</v>
      </c>
    </row>
    <row r="65" spans="21:26" x14ac:dyDescent="0.25">
      <c r="U65" s="438">
        <v>2017</v>
      </c>
      <c r="V65" s="459">
        <f t="shared" si="46"/>
        <v>13238.762000000199</v>
      </c>
      <c r="W65" s="459">
        <f t="shared" si="47"/>
        <v>5115.7070000000231</v>
      </c>
      <c r="X65" s="459">
        <f t="shared" si="48"/>
        <v>7638.6210000001747</v>
      </c>
      <c r="Y65" s="459">
        <f t="shared" si="49"/>
        <v>244.48399999999998</v>
      </c>
      <c r="Z65" s="459">
        <f>L29</f>
        <v>239.94999999999985</v>
      </c>
    </row>
    <row r="66" spans="21:26" x14ac:dyDescent="0.25">
      <c r="U66" s="438">
        <v>2018</v>
      </c>
      <c r="V66" s="459">
        <f t="shared" si="46"/>
        <v>13649.930000000008</v>
      </c>
      <c r="W66" s="459">
        <f t="shared" si="47"/>
        <v>5232.4620000000004</v>
      </c>
      <c r="X66" s="459">
        <f t="shared" si="48"/>
        <v>7760.7340000000077</v>
      </c>
      <c r="Y66" s="459">
        <f t="shared" si="49"/>
        <v>284.48400000000004</v>
      </c>
      <c r="Z66" s="459">
        <f>L30</f>
        <v>372.24999999999994</v>
      </c>
    </row>
    <row r="67" spans="21:26" x14ac:dyDescent="0.25">
      <c r="U67" s="438">
        <v>2019</v>
      </c>
      <c r="V67" s="459">
        <f>H31</f>
        <v>13650.195000000011</v>
      </c>
      <c r="W67" s="459">
        <f t="shared" ref="W67:Z67" si="50">I31</f>
        <v>5266.3020000000024</v>
      </c>
      <c r="X67" s="459">
        <f t="shared" si="50"/>
        <v>7722.6090000000086</v>
      </c>
      <c r="Y67" s="459">
        <f t="shared" si="50"/>
        <v>289.03399999999999</v>
      </c>
      <c r="Z67" s="459">
        <f t="shared" si="50"/>
        <v>372.24999999999994</v>
      </c>
    </row>
    <row r="68" spans="21:26" x14ac:dyDescent="0.25">
      <c r="U68" s="438">
        <v>2020</v>
      </c>
      <c r="V68" s="459">
        <f>H32</f>
        <v>13724.04800000001</v>
      </c>
      <c r="W68" s="459">
        <f t="shared" ref="W68:Z68" si="51">I32</f>
        <v>5285.680000000003</v>
      </c>
      <c r="X68" s="459">
        <f t="shared" si="51"/>
        <v>7740.3440000000073</v>
      </c>
      <c r="Y68" s="459">
        <f t="shared" si="51"/>
        <v>289.03399999999999</v>
      </c>
      <c r="Z68" s="459">
        <f t="shared" si="51"/>
        <v>408.98999999999995</v>
      </c>
    </row>
    <row r="69" spans="21:26" x14ac:dyDescent="0.25">
      <c r="U69" s="438">
        <v>2021</v>
      </c>
      <c r="V69" s="459">
        <f>H33</f>
        <v>13860.954999999973</v>
      </c>
      <c r="W69" s="459">
        <f t="shared" ref="W69" si="52">I33</f>
        <v>5383.871000000011</v>
      </c>
      <c r="X69" s="459">
        <f t="shared" ref="X69" si="53">J33</f>
        <v>7781.5839999999625</v>
      </c>
      <c r="Y69" s="459">
        <f t="shared" ref="Y69" si="54">K33</f>
        <v>286.51000000000022</v>
      </c>
      <c r="Z69" s="459">
        <f t="shared" ref="Z69" si="55">L33</f>
        <v>408.98999999999995</v>
      </c>
    </row>
    <row r="70" spans="21:26" x14ac:dyDescent="0.25">
      <c r="U70" s="438">
        <v>2022</v>
      </c>
      <c r="V70" s="459">
        <f t="shared" ref="V70:V71" si="56">H34</f>
        <v>14248.478000000105</v>
      </c>
      <c r="W70" s="459">
        <f t="shared" ref="W70:W71" si="57">I34</f>
        <v>5384.4110000000192</v>
      </c>
      <c r="X70" s="459">
        <f t="shared" ref="X70:X71" si="58">J34</f>
        <v>8038.5670000000846</v>
      </c>
      <c r="Y70" s="459">
        <f t="shared" ref="Y70:Y71" si="59">K34</f>
        <v>286.51</v>
      </c>
      <c r="Z70" s="459">
        <f t="shared" ref="Z70:Z71" si="60">L34</f>
        <v>538.98999999999967</v>
      </c>
    </row>
    <row r="71" spans="21:26" x14ac:dyDescent="0.25">
      <c r="U71" s="438">
        <v>2023</v>
      </c>
      <c r="V71" s="459">
        <f t="shared" si="56"/>
        <v>14842.810000000007</v>
      </c>
      <c r="W71" s="459">
        <f t="shared" si="57"/>
        <v>5399.7990000000109</v>
      </c>
      <c r="X71" s="459">
        <f t="shared" si="58"/>
        <v>8025.8799999999947</v>
      </c>
      <c r="Y71" s="459">
        <f t="shared" si="59"/>
        <v>401.4409999999998</v>
      </c>
      <c r="Z71" s="459">
        <f t="shared" si="60"/>
        <v>1015.6900000000012</v>
      </c>
    </row>
    <row r="74" spans="21:26" x14ac:dyDescent="0.25">
      <c r="V74" s="438" t="s">
        <v>46</v>
      </c>
    </row>
    <row r="75" spans="21:26" x14ac:dyDescent="0.25">
      <c r="V75" s="438" t="s">
        <v>0</v>
      </c>
      <c r="W75" s="438" t="s">
        <v>4</v>
      </c>
      <c r="X75" s="438" t="s">
        <v>5</v>
      </c>
    </row>
    <row r="76" spans="21:26" x14ac:dyDescent="0.25">
      <c r="U76" s="438">
        <v>1995</v>
      </c>
      <c r="V76" s="459">
        <f t="shared" ref="V76:V102" si="61">M7</f>
        <v>1276</v>
      </c>
      <c r="W76" s="459">
        <f t="shared" ref="W76:W102" si="62">N7</f>
        <v>289.39999999999998</v>
      </c>
      <c r="X76" s="459">
        <f t="shared" ref="X76:X102" si="63">O7</f>
        <v>986.59999999999991</v>
      </c>
    </row>
    <row r="77" spans="21:26" x14ac:dyDescent="0.25">
      <c r="U77" s="438">
        <v>1996</v>
      </c>
      <c r="V77" s="459">
        <f t="shared" si="61"/>
        <v>1309.7239999999999</v>
      </c>
      <c r="W77" s="459">
        <f t="shared" si="62"/>
        <v>292.54000000000002</v>
      </c>
      <c r="X77" s="459">
        <f t="shared" si="63"/>
        <v>1017.184</v>
      </c>
    </row>
    <row r="78" spans="21:26" x14ac:dyDescent="0.25">
      <c r="U78" s="438">
        <v>1997</v>
      </c>
      <c r="V78" s="459">
        <f t="shared" si="61"/>
        <v>867.47699999999998</v>
      </c>
      <c r="W78" s="459">
        <f t="shared" si="62"/>
        <v>101.47499999999999</v>
      </c>
      <c r="X78" s="459">
        <f t="shared" si="63"/>
        <v>766.00199999999995</v>
      </c>
    </row>
    <row r="79" spans="21:26" x14ac:dyDescent="0.25">
      <c r="U79" s="438">
        <v>1998</v>
      </c>
      <c r="V79" s="459">
        <f t="shared" si="61"/>
        <v>883.01200000000006</v>
      </c>
      <c r="W79" s="459">
        <f t="shared" si="62"/>
        <v>104.645</v>
      </c>
      <c r="X79" s="459">
        <f t="shared" si="63"/>
        <v>778.36700000000008</v>
      </c>
    </row>
    <row r="80" spans="21:26" x14ac:dyDescent="0.25">
      <c r="U80" s="438">
        <v>1999</v>
      </c>
      <c r="V80" s="459">
        <f t="shared" si="61"/>
        <v>914.18499999999995</v>
      </c>
      <c r="W80" s="459">
        <f t="shared" si="62"/>
        <v>86.150999999999982</v>
      </c>
      <c r="X80" s="459">
        <f t="shared" si="63"/>
        <v>828.03399999999999</v>
      </c>
    </row>
    <row r="81" spans="21:24" x14ac:dyDescent="0.25">
      <c r="U81" s="438">
        <v>2000</v>
      </c>
      <c r="V81" s="459">
        <f t="shared" si="61"/>
        <v>917.33800000000019</v>
      </c>
      <c r="W81" s="459">
        <f t="shared" si="62"/>
        <v>77.564999999999998</v>
      </c>
      <c r="X81" s="459">
        <f t="shared" si="63"/>
        <v>839.77300000000014</v>
      </c>
    </row>
    <row r="82" spans="21:24" x14ac:dyDescent="0.25">
      <c r="U82" s="438">
        <v>2001</v>
      </c>
      <c r="V82" s="459">
        <f t="shared" si="61"/>
        <v>855.87900000000002</v>
      </c>
      <c r="W82" s="459">
        <f t="shared" si="62"/>
        <v>76.894999999999996</v>
      </c>
      <c r="X82" s="459">
        <f t="shared" si="63"/>
        <v>778.98400000000004</v>
      </c>
    </row>
    <row r="83" spans="21:24" x14ac:dyDescent="0.25">
      <c r="U83" s="438">
        <v>2002</v>
      </c>
      <c r="V83" s="459">
        <f t="shared" si="61"/>
        <v>867.48199999999974</v>
      </c>
      <c r="W83" s="459">
        <f t="shared" si="62"/>
        <v>78.868999999999971</v>
      </c>
      <c r="X83" s="459">
        <f t="shared" si="63"/>
        <v>788.61299999999983</v>
      </c>
    </row>
    <row r="84" spans="21:24" x14ac:dyDescent="0.25">
      <c r="U84" s="438">
        <v>2003</v>
      </c>
      <c r="V84" s="459">
        <f t="shared" si="61"/>
        <v>874.96</v>
      </c>
      <c r="W84" s="459">
        <f t="shared" si="62"/>
        <v>85.48599999999999</v>
      </c>
      <c r="X84" s="459">
        <f t="shared" si="63"/>
        <v>789.47400000000005</v>
      </c>
    </row>
    <row r="85" spans="21:24" x14ac:dyDescent="0.25">
      <c r="U85" s="438">
        <v>2004</v>
      </c>
      <c r="V85" s="459">
        <f t="shared" si="61"/>
        <v>920.29700000000003</v>
      </c>
      <c r="W85" s="459">
        <f t="shared" si="62"/>
        <v>86.807999999999964</v>
      </c>
      <c r="X85" s="459">
        <f t="shared" si="63"/>
        <v>833.48900000000003</v>
      </c>
    </row>
    <row r="86" spans="21:24" x14ac:dyDescent="0.25">
      <c r="U86" s="438">
        <v>2005</v>
      </c>
      <c r="V86" s="459">
        <f t="shared" si="61"/>
        <v>979.89199999999994</v>
      </c>
      <c r="W86" s="459">
        <f t="shared" si="62"/>
        <v>87.861999999999981</v>
      </c>
      <c r="X86" s="459">
        <f t="shared" si="63"/>
        <v>892.03</v>
      </c>
    </row>
    <row r="87" spans="21:24" x14ac:dyDescent="0.25">
      <c r="U87" s="438">
        <v>2006</v>
      </c>
      <c r="V87" s="459">
        <f t="shared" si="61"/>
        <v>1033.0019999999997</v>
      </c>
      <c r="W87" s="459">
        <f t="shared" si="62"/>
        <v>88.201999999999998</v>
      </c>
      <c r="X87" s="459">
        <f t="shared" si="63"/>
        <v>944.79999999999973</v>
      </c>
    </row>
    <row r="88" spans="21:24" x14ac:dyDescent="0.25">
      <c r="U88" s="525">
        <v>2007</v>
      </c>
      <c r="V88" s="459">
        <f t="shared" si="61"/>
        <v>1037.7919999999999</v>
      </c>
      <c r="W88" s="459">
        <f t="shared" si="62"/>
        <v>88.456999999999994</v>
      </c>
      <c r="X88" s="459">
        <f t="shared" si="63"/>
        <v>949.33499999999992</v>
      </c>
    </row>
    <row r="89" spans="21:24" x14ac:dyDescent="0.25">
      <c r="U89" s="438">
        <v>2008</v>
      </c>
      <c r="V89" s="459">
        <f t="shared" si="61"/>
        <v>1160.9520000000007</v>
      </c>
      <c r="W89" s="459">
        <f t="shared" si="62"/>
        <v>89.987999999999971</v>
      </c>
      <c r="X89" s="459">
        <f t="shared" si="63"/>
        <v>1070.9640000000006</v>
      </c>
    </row>
    <row r="90" spans="21:24" x14ac:dyDescent="0.25">
      <c r="U90" s="438">
        <v>2009</v>
      </c>
      <c r="V90" s="459">
        <f t="shared" si="61"/>
        <v>1262.9800000000002</v>
      </c>
      <c r="W90" s="459">
        <f t="shared" si="62"/>
        <v>94.337999999999994</v>
      </c>
      <c r="X90" s="459">
        <f t="shared" si="63"/>
        <v>1168.6420000000003</v>
      </c>
    </row>
    <row r="91" spans="21:24" x14ac:dyDescent="0.25">
      <c r="U91" s="438">
        <v>2010</v>
      </c>
      <c r="V91" s="459">
        <f t="shared" si="61"/>
        <v>1303.3910000000008</v>
      </c>
      <c r="W91" s="459">
        <f t="shared" si="62"/>
        <v>92.806999999999974</v>
      </c>
      <c r="X91" s="459">
        <f t="shared" si="63"/>
        <v>1210.5840000000007</v>
      </c>
    </row>
    <row r="92" spans="21:24" x14ac:dyDescent="0.25">
      <c r="U92" s="438">
        <v>2011</v>
      </c>
      <c r="V92" s="459">
        <f t="shared" si="61"/>
        <v>1377.087</v>
      </c>
      <c r="W92" s="459">
        <f t="shared" si="62"/>
        <v>93.893000000000001</v>
      </c>
      <c r="X92" s="459">
        <f t="shared" si="63"/>
        <v>1283.194</v>
      </c>
    </row>
    <row r="93" spans="21:24" x14ac:dyDescent="0.25">
      <c r="U93" s="438">
        <v>2012</v>
      </c>
      <c r="V93" s="459">
        <f t="shared" si="61"/>
        <v>1432.2640000000001</v>
      </c>
      <c r="W93" s="459">
        <f t="shared" si="62"/>
        <v>103.494</v>
      </c>
      <c r="X93" s="459">
        <f t="shared" si="63"/>
        <v>1328.7700000000002</v>
      </c>
    </row>
    <row r="94" spans="21:24" x14ac:dyDescent="0.25">
      <c r="U94" s="438">
        <v>2013</v>
      </c>
      <c r="V94" s="459">
        <f t="shared" si="61"/>
        <v>1416.0879999999997</v>
      </c>
      <c r="W94" s="459">
        <f t="shared" si="62"/>
        <v>105.63500000000001</v>
      </c>
      <c r="X94" s="459">
        <f t="shared" si="63"/>
        <v>1310.4529999999997</v>
      </c>
    </row>
    <row r="95" spans="21:24" x14ac:dyDescent="0.25">
      <c r="U95" s="438">
        <v>2014</v>
      </c>
      <c r="V95" s="459">
        <f t="shared" si="61"/>
        <v>1463.3709999999996</v>
      </c>
      <c r="W95" s="459">
        <f t="shared" si="62"/>
        <v>103.59599999999998</v>
      </c>
      <c r="X95" s="459">
        <f t="shared" si="63"/>
        <v>1359.7749999999996</v>
      </c>
    </row>
    <row r="96" spans="21:24" x14ac:dyDescent="0.25">
      <c r="U96" s="438">
        <v>2015</v>
      </c>
      <c r="V96" s="459">
        <f t="shared" si="61"/>
        <v>1470.9139999999993</v>
      </c>
      <c r="W96" s="459">
        <f t="shared" si="62"/>
        <v>103.97599999999998</v>
      </c>
      <c r="X96" s="459">
        <f t="shared" si="63"/>
        <v>1366.9379999999994</v>
      </c>
    </row>
    <row r="97" spans="21:24" x14ac:dyDescent="0.25">
      <c r="U97" s="438">
        <v>2016</v>
      </c>
      <c r="V97" s="459">
        <f t="shared" si="61"/>
        <v>1473.241</v>
      </c>
      <c r="W97" s="459">
        <f t="shared" si="62"/>
        <v>116.776</v>
      </c>
      <c r="X97" s="459">
        <f t="shared" si="63"/>
        <v>1356.4649999999999</v>
      </c>
    </row>
    <row r="98" spans="21:24" x14ac:dyDescent="0.25">
      <c r="U98" s="438">
        <v>2017</v>
      </c>
      <c r="V98" s="459">
        <f t="shared" si="61"/>
        <v>1496.0089999999977</v>
      </c>
      <c r="W98" s="459">
        <f t="shared" si="62"/>
        <v>130.2229999999997</v>
      </c>
      <c r="X98" s="459">
        <f t="shared" si="63"/>
        <v>1365.785999999998</v>
      </c>
    </row>
    <row r="99" spans="21:24" x14ac:dyDescent="0.25">
      <c r="U99" s="438">
        <v>2018</v>
      </c>
      <c r="V99" s="459">
        <f t="shared" si="61"/>
        <v>1494.6559999999999</v>
      </c>
      <c r="W99" s="459">
        <f t="shared" si="62"/>
        <v>130.90299999999999</v>
      </c>
      <c r="X99" s="459">
        <f t="shared" si="63"/>
        <v>1363.7529999999999</v>
      </c>
    </row>
    <row r="100" spans="21:24" x14ac:dyDescent="0.25">
      <c r="U100" s="438">
        <v>2019</v>
      </c>
      <c r="V100" s="459">
        <f t="shared" si="61"/>
        <v>1472.6450000000007</v>
      </c>
      <c r="W100" s="459">
        <f t="shared" si="62"/>
        <v>130.90299999999999</v>
      </c>
      <c r="X100" s="459">
        <f t="shared" si="63"/>
        <v>1341.7420000000006</v>
      </c>
    </row>
    <row r="101" spans="21:24" x14ac:dyDescent="0.25">
      <c r="U101" s="438">
        <v>2020</v>
      </c>
      <c r="V101" s="459">
        <f t="shared" si="61"/>
        <v>1462.9220000000009</v>
      </c>
      <c r="W101" s="459">
        <f t="shared" si="62"/>
        <v>130.90299999999999</v>
      </c>
      <c r="X101" s="459">
        <f t="shared" si="63"/>
        <v>1332.0190000000009</v>
      </c>
    </row>
    <row r="102" spans="21:24" x14ac:dyDescent="0.25">
      <c r="U102" s="438">
        <v>2021</v>
      </c>
      <c r="V102" s="459">
        <f t="shared" si="61"/>
        <v>1479.3539999999996</v>
      </c>
      <c r="W102" s="459">
        <f t="shared" si="62"/>
        <v>129.90300000000002</v>
      </c>
      <c r="X102" s="459">
        <f t="shared" si="63"/>
        <v>1349.4509999999996</v>
      </c>
    </row>
    <row r="103" spans="21:24" x14ac:dyDescent="0.25">
      <c r="U103" s="438">
        <v>2022</v>
      </c>
      <c r="V103" s="459">
        <f t="shared" ref="V103:X103" si="64">M34</f>
        <v>1511.0239999999983</v>
      </c>
      <c r="W103" s="459">
        <f t="shared" si="64"/>
        <v>129.90299999999993</v>
      </c>
      <c r="X103" s="459">
        <f t="shared" si="64"/>
        <v>1381.1209999999983</v>
      </c>
    </row>
    <row r="104" spans="21:24" x14ac:dyDescent="0.25">
      <c r="U104" s="438">
        <v>2023</v>
      </c>
      <c r="V104" s="459">
        <f t="shared" ref="V104:X104" si="65">M35</f>
        <v>1520.6420000000064</v>
      </c>
      <c r="W104" s="459">
        <f t="shared" si="65"/>
        <v>129.90299999999999</v>
      </c>
      <c r="X104" s="459">
        <f t="shared" si="65"/>
        <v>1390.7390000000064</v>
      </c>
    </row>
  </sheetData>
  <mergeCells count="5">
    <mergeCell ref="M4:O4"/>
    <mergeCell ref="D4:G4"/>
    <mergeCell ref="H4:L4"/>
    <mergeCell ref="B4:B5"/>
    <mergeCell ref="C4:C5"/>
  </mergeCells>
  <printOptions horizontalCentered="1" verticalCentered="1"/>
  <pageMargins left="0.78740157480314965" right="0.59055118110236227" top="0.78740157480314965" bottom="0.59055118110236227" header="0" footer="0"/>
  <pageSetup paperSize="9" scale="5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97"/>
  <sheetViews>
    <sheetView showGridLines="0" view="pageBreakPreview" zoomScale="90" zoomScaleNormal="100" zoomScaleSheetLayoutView="90" workbookViewId="0">
      <selection activeCell="B37" sqref="B37:C40"/>
    </sheetView>
  </sheetViews>
  <sheetFormatPr baseColWidth="10" defaultRowHeight="13.5" x14ac:dyDescent="0.25"/>
  <cols>
    <col min="1" max="1" width="2.85546875" style="437" customWidth="1"/>
    <col min="2" max="2" width="23" style="437" customWidth="1"/>
    <col min="3" max="6" width="19.7109375" style="437" customWidth="1"/>
    <col min="7" max="7" width="20.5703125" style="437" customWidth="1"/>
    <col min="8" max="8" width="3" style="577" customWidth="1"/>
    <col min="9" max="9" width="10.7109375" style="437" customWidth="1"/>
    <col min="10" max="10" width="10.7109375" style="1021" customWidth="1"/>
    <col min="11" max="11" width="12" style="1021" customWidth="1"/>
    <col min="12" max="12" width="11.85546875" style="1021" customWidth="1"/>
    <col min="13" max="13" width="13.140625" style="1021" customWidth="1"/>
    <col min="14" max="14" width="16.85546875" style="1021" customWidth="1"/>
    <col min="15" max="17" width="11.42578125" style="437"/>
    <col min="18" max="18" width="12.5703125" style="437" bestFit="1" customWidth="1"/>
    <col min="19" max="16384" width="11.42578125" style="437"/>
  </cols>
  <sheetData>
    <row r="1" spans="1:20" ht="15.75" x14ac:dyDescent="0.25">
      <c r="A1" s="618" t="s">
        <v>170</v>
      </c>
      <c r="B1" s="577"/>
      <c r="C1" s="982"/>
      <c r="D1" s="982"/>
      <c r="E1" s="982"/>
      <c r="F1" s="982"/>
      <c r="G1" s="982"/>
      <c r="I1" s="983"/>
      <c r="J1" s="984"/>
      <c r="K1" s="984"/>
      <c r="L1" s="984"/>
      <c r="M1" s="984"/>
      <c r="N1" s="984"/>
      <c r="O1" s="983"/>
      <c r="P1" s="983"/>
      <c r="Q1" s="983"/>
      <c r="R1" s="983"/>
      <c r="S1" s="983"/>
      <c r="T1" s="983"/>
    </row>
    <row r="2" spans="1:20" ht="15" x14ac:dyDescent="0.25">
      <c r="A2" s="577"/>
      <c r="B2" s="985"/>
      <c r="C2" s="985"/>
      <c r="D2" s="985"/>
      <c r="E2" s="985"/>
      <c r="F2" s="985"/>
      <c r="G2" s="985"/>
      <c r="I2" s="877"/>
      <c r="J2" s="986"/>
      <c r="K2" s="986"/>
      <c r="L2" s="986"/>
      <c r="M2" s="986"/>
      <c r="N2" s="986"/>
      <c r="O2" s="877"/>
      <c r="P2" s="877"/>
      <c r="Q2" s="877"/>
      <c r="R2" s="877"/>
      <c r="S2" s="987"/>
      <c r="T2" s="954"/>
    </row>
    <row r="3" spans="1:20" ht="14.25" thickBot="1" x14ac:dyDescent="0.3">
      <c r="A3" s="577"/>
      <c r="B3" s="577"/>
      <c r="C3" s="577"/>
      <c r="D3" s="577"/>
      <c r="E3" s="577"/>
      <c r="F3" s="577"/>
      <c r="G3" s="577"/>
      <c r="I3" s="877"/>
      <c r="J3" s="986"/>
      <c r="K3" s="986"/>
      <c r="L3" s="986"/>
      <c r="M3" s="986"/>
      <c r="N3" s="986"/>
      <c r="O3" s="877"/>
      <c r="P3" s="877"/>
      <c r="Q3" s="877"/>
      <c r="R3" s="877"/>
      <c r="S3" s="987"/>
      <c r="T3" s="954"/>
    </row>
    <row r="4" spans="1:20" s="583" customFormat="1" ht="17.25" customHeight="1" x14ac:dyDescent="0.2">
      <c r="A4" s="578"/>
      <c r="B4" s="988" t="s">
        <v>18</v>
      </c>
      <c r="C4" s="989" t="s">
        <v>50</v>
      </c>
      <c r="D4" s="990"/>
      <c r="E4" s="990"/>
      <c r="F4" s="990"/>
      <c r="G4" s="991"/>
      <c r="H4" s="578"/>
      <c r="I4" s="992"/>
      <c r="J4" s="993"/>
      <c r="K4" s="993"/>
      <c r="L4" s="993"/>
      <c r="M4" s="993"/>
      <c r="N4" s="993"/>
      <c r="O4" s="992"/>
      <c r="P4" s="992"/>
      <c r="Q4" s="992"/>
      <c r="R4" s="992"/>
      <c r="S4" s="994"/>
      <c r="T4" s="995"/>
    </row>
    <row r="5" spans="1:20" s="583" customFormat="1" ht="17.25" customHeight="1" x14ac:dyDescent="0.2">
      <c r="A5" s="578"/>
      <c r="B5" s="996"/>
      <c r="C5" s="950" t="s">
        <v>40</v>
      </c>
      <c r="D5" s="948" t="s">
        <v>41</v>
      </c>
      <c r="E5" s="948" t="s">
        <v>42</v>
      </c>
      <c r="F5" s="997" t="s">
        <v>43</v>
      </c>
      <c r="G5" s="998" t="s">
        <v>0</v>
      </c>
      <c r="H5" s="999"/>
      <c r="I5" s="992"/>
      <c r="J5" s="993"/>
      <c r="K5" s="993"/>
      <c r="L5" s="993"/>
      <c r="M5" s="993"/>
      <c r="N5" s="993"/>
      <c r="O5" s="992"/>
      <c r="P5" s="992"/>
      <c r="Q5" s="992"/>
      <c r="R5" s="992"/>
      <c r="S5" s="994"/>
      <c r="T5" s="995"/>
    </row>
    <row r="6" spans="1:20" x14ac:dyDescent="0.25">
      <c r="A6" s="577"/>
      <c r="B6" s="1000"/>
      <c r="C6" s="1001"/>
      <c r="D6" s="1002"/>
      <c r="E6" s="1002"/>
      <c r="F6" s="1003"/>
      <c r="G6" s="1004"/>
      <c r="H6" s="1005"/>
      <c r="I6" s="877"/>
      <c r="J6" s="438"/>
      <c r="K6" s="438" t="s">
        <v>40</v>
      </c>
      <c r="L6" s="438" t="s">
        <v>41</v>
      </c>
      <c r="M6" s="438" t="s">
        <v>42</v>
      </c>
      <c r="N6" s="438" t="s">
        <v>204</v>
      </c>
      <c r="O6" s="877"/>
      <c r="P6" s="877"/>
      <c r="Q6" s="877"/>
      <c r="R6" s="877"/>
      <c r="S6" s="987"/>
      <c r="T6" s="954"/>
    </row>
    <row r="7" spans="1:20" x14ac:dyDescent="0.25">
      <c r="A7" s="577"/>
      <c r="B7" s="1006">
        <v>1995</v>
      </c>
      <c r="C7" s="1007">
        <v>229035.54403785348</v>
      </c>
      <c r="D7" s="1008">
        <v>200811.42160772084</v>
      </c>
      <c r="E7" s="1008">
        <v>355896.20422925544</v>
      </c>
      <c r="F7" s="1009">
        <v>40932.831814912512</v>
      </c>
      <c r="G7" s="1010">
        <f>+SUM(C7:F7)</f>
        <v>826676.0016897422</v>
      </c>
      <c r="H7" s="1005"/>
      <c r="I7" s="1011"/>
      <c r="J7" s="1012">
        <v>1995</v>
      </c>
      <c r="K7" s="1013">
        <f t="shared" ref="K7:K33" si="0">+C7</f>
        <v>229035.54403785348</v>
      </c>
      <c r="L7" s="1013">
        <f t="shared" ref="L7:L33" si="1">+D7</f>
        <v>200811.42160772084</v>
      </c>
      <c r="M7" s="1013">
        <f t="shared" ref="M7:M33" si="2">+E7</f>
        <v>355896.20422925544</v>
      </c>
      <c r="N7" s="1013">
        <f t="shared" ref="N7:N33" si="3">+F7</f>
        <v>40932.831814912512</v>
      </c>
    </row>
    <row r="8" spans="1:20" x14ac:dyDescent="0.25">
      <c r="A8" s="577"/>
      <c r="B8" s="1014">
        <v>1996</v>
      </c>
      <c r="C8" s="1015">
        <v>258447.72612741796</v>
      </c>
      <c r="D8" s="1016">
        <v>213222.6714817289</v>
      </c>
      <c r="E8" s="1016">
        <v>372677.77599551878</v>
      </c>
      <c r="F8" s="1017">
        <v>49022.221536151759</v>
      </c>
      <c r="G8" s="1018">
        <f>+SUM(C8:F8)</f>
        <v>893370.39514081739</v>
      </c>
      <c r="H8" s="1005"/>
      <c r="I8" s="1011"/>
      <c r="J8" s="1012">
        <v>1996</v>
      </c>
      <c r="K8" s="1013">
        <f t="shared" si="0"/>
        <v>258447.72612741796</v>
      </c>
      <c r="L8" s="1013">
        <f t="shared" si="1"/>
        <v>213222.6714817289</v>
      </c>
      <c r="M8" s="1013">
        <f t="shared" si="2"/>
        <v>372677.77599551878</v>
      </c>
      <c r="N8" s="1013">
        <f t="shared" si="3"/>
        <v>49022.221536151759</v>
      </c>
    </row>
    <row r="9" spans="1:20" ht="12.75" customHeight="1" x14ac:dyDescent="0.25">
      <c r="A9" s="577"/>
      <c r="B9" s="1006">
        <v>1997</v>
      </c>
      <c r="C9" s="1007">
        <v>355516.10470524785</v>
      </c>
      <c r="D9" s="1008">
        <v>221239.00181128312</v>
      </c>
      <c r="E9" s="1008">
        <v>392117.28436542355</v>
      </c>
      <c r="F9" s="1009">
        <v>50665.14573498242</v>
      </c>
      <c r="G9" s="1010">
        <f t="shared" ref="G9:G29" si="4">+SUM(C9:F9)</f>
        <v>1019537.5366169369</v>
      </c>
      <c r="H9" s="1005"/>
      <c r="I9" s="1011"/>
      <c r="J9" s="1012">
        <v>1997</v>
      </c>
      <c r="K9" s="1013">
        <f t="shared" si="0"/>
        <v>355516.10470524785</v>
      </c>
      <c r="L9" s="1013">
        <f t="shared" si="1"/>
        <v>221239.00181128312</v>
      </c>
      <c r="M9" s="1013">
        <f t="shared" si="2"/>
        <v>392117.28436542355</v>
      </c>
      <c r="N9" s="1013">
        <f t="shared" si="3"/>
        <v>50665.14573498242</v>
      </c>
    </row>
    <row r="10" spans="1:20" x14ac:dyDescent="0.25">
      <c r="A10" s="577"/>
      <c r="B10" s="1014">
        <v>1998</v>
      </c>
      <c r="C10" s="1015">
        <v>405108.58810399019</v>
      </c>
      <c r="D10" s="1016">
        <v>175416.57536486135</v>
      </c>
      <c r="E10" s="1016">
        <v>362781.21835892892</v>
      </c>
      <c r="F10" s="1017">
        <v>44838.588717470884</v>
      </c>
      <c r="G10" s="1018">
        <f t="shared" si="4"/>
        <v>988144.97054525127</v>
      </c>
      <c r="H10" s="1005"/>
      <c r="I10" s="1011"/>
      <c r="J10" s="1012">
        <v>1998</v>
      </c>
      <c r="K10" s="1013">
        <f t="shared" si="0"/>
        <v>405108.58810399019</v>
      </c>
      <c r="L10" s="1013">
        <f t="shared" si="1"/>
        <v>175416.57536486135</v>
      </c>
      <c r="M10" s="1013">
        <f t="shared" si="2"/>
        <v>362781.21835892892</v>
      </c>
      <c r="N10" s="1013">
        <f t="shared" si="3"/>
        <v>44838.588717470884</v>
      </c>
    </row>
    <row r="11" spans="1:20" x14ac:dyDescent="0.25">
      <c r="A11" s="577"/>
      <c r="B11" s="1006">
        <v>1999</v>
      </c>
      <c r="C11" s="1007">
        <v>419536.44763941609</v>
      </c>
      <c r="D11" s="1008">
        <v>170042.7141646184</v>
      </c>
      <c r="E11" s="1008">
        <v>358196.54564842128</v>
      </c>
      <c r="F11" s="1009">
        <v>44183.660814274546</v>
      </c>
      <c r="G11" s="1010">
        <f t="shared" si="4"/>
        <v>991959.36826673034</v>
      </c>
      <c r="H11" s="1005"/>
      <c r="I11" s="1011"/>
      <c r="J11" s="1012">
        <v>1999</v>
      </c>
      <c r="K11" s="1013">
        <f t="shared" si="0"/>
        <v>419536.44763941609</v>
      </c>
      <c r="L11" s="1013">
        <f t="shared" si="1"/>
        <v>170042.7141646184</v>
      </c>
      <c r="M11" s="1013">
        <f t="shared" si="2"/>
        <v>358196.54564842128</v>
      </c>
      <c r="N11" s="1013">
        <f t="shared" si="3"/>
        <v>44183.660814274546</v>
      </c>
    </row>
    <row r="12" spans="1:20" x14ac:dyDescent="0.25">
      <c r="A12" s="577"/>
      <c r="B12" s="1014">
        <v>2000</v>
      </c>
      <c r="C12" s="1015">
        <v>470947.31940472691</v>
      </c>
      <c r="D12" s="1016">
        <v>197172.92008066195</v>
      </c>
      <c r="E12" s="1016">
        <v>396689.58182878082</v>
      </c>
      <c r="F12" s="1017">
        <v>48259.678954052164</v>
      </c>
      <c r="G12" s="1018">
        <f t="shared" si="4"/>
        <v>1113069.5002682218</v>
      </c>
      <c r="H12" s="1005"/>
      <c r="I12" s="1011"/>
      <c r="J12" s="1012">
        <v>2000</v>
      </c>
      <c r="K12" s="1013">
        <f t="shared" si="0"/>
        <v>470947.31940472691</v>
      </c>
      <c r="L12" s="1013">
        <f t="shared" si="1"/>
        <v>197172.92008066195</v>
      </c>
      <c r="M12" s="1013">
        <f t="shared" si="2"/>
        <v>396689.58182878082</v>
      </c>
      <c r="N12" s="1013">
        <f t="shared" si="3"/>
        <v>48259.678954052164</v>
      </c>
    </row>
    <row r="13" spans="1:20" x14ac:dyDescent="0.25">
      <c r="A13" s="577"/>
      <c r="B13" s="1006">
        <v>2001</v>
      </c>
      <c r="C13" s="1007">
        <v>479868.23409751739</v>
      </c>
      <c r="D13" s="1008">
        <v>202560.16293720153</v>
      </c>
      <c r="E13" s="1008">
        <v>406024.2542681364</v>
      </c>
      <c r="F13" s="1009">
        <v>50905.862535693137</v>
      </c>
      <c r="G13" s="1010">
        <f t="shared" si="4"/>
        <v>1139358.5138385484</v>
      </c>
      <c r="H13" s="1005"/>
      <c r="I13" s="1011"/>
      <c r="J13" s="1012">
        <v>2001</v>
      </c>
      <c r="K13" s="1013">
        <f t="shared" si="0"/>
        <v>479868.23409751739</v>
      </c>
      <c r="L13" s="1013">
        <f t="shared" si="1"/>
        <v>202560.16293720153</v>
      </c>
      <c r="M13" s="1013">
        <f t="shared" si="2"/>
        <v>406024.2542681364</v>
      </c>
      <c r="N13" s="1013">
        <f t="shared" si="3"/>
        <v>50905.862535693137</v>
      </c>
    </row>
    <row r="14" spans="1:20" x14ac:dyDescent="0.25">
      <c r="A14" s="577"/>
      <c r="B14" s="1014">
        <v>2002</v>
      </c>
      <c r="C14" s="1015">
        <v>488098.27845652425</v>
      </c>
      <c r="D14" s="1016">
        <v>223817.53067643259</v>
      </c>
      <c r="E14" s="1016">
        <v>400798.0547307923</v>
      </c>
      <c r="F14" s="1017">
        <v>44353.296403984248</v>
      </c>
      <c r="G14" s="1018">
        <f t="shared" si="4"/>
        <v>1157067.1602677335</v>
      </c>
      <c r="H14" s="1005"/>
      <c r="I14" s="1011"/>
      <c r="J14" s="1012">
        <v>2002</v>
      </c>
      <c r="K14" s="1013">
        <f t="shared" si="0"/>
        <v>488098.27845652425</v>
      </c>
      <c r="L14" s="1013">
        <f t="shared" si="1"/>
        <v>223817.53067643259</v>
      </c>
      <c r="M14" s="1013">
        <f t="shared" si="2"/>
        <v>400798.0547307923</v>
      </c>
      <c r="N14" s="1013">
        <f t="shared" si="3"/>
        <v>44353.296403984248</v>
      </c>
    </row>
    <row r="15" spans="1:20" x14ac:dyDescent="0.25">
      <c r="A15" s="577"/>
      <c r="B15" s="1006">
        <v>2003</v>
      </c>
      <c r="C15" s="1007">
        <v>506532.8631156623</v>
      </c>
      <c r="D15" s="1008">
        <v>238398.63946284784</v>
      </c>
      <c r="E15" s="1008">
        <v>427974.96816134849</v>
      </c>
      <c r="F15" s="1009">
        <v>44303.672929736647</v>
      </c>
      <c r="G15" s="1010">
        <f t="shared" si="4"/>
        <v>1217210.1436695952</v>
      </c>
      <c r="H15" s="1005"/>
      <c r="I15" s="1011"/>
      <c r="J15" s="1012">
        <v>2003</v>
      </c>
      <c r="K15" s="1013">
        <f t="shared" si="0"/>
        <v>506532.8631156623</v>
      </c>
      <c r="L15" s="1013">
        <f t="shared" si="1"/>
        <v>238398.63946284784</v>
      </c>
      <c r="M15" s="1013">
        <f t="shared" si="2"/>
        <v>427974.96816134849</v>
      </c>
      <c r="N15" s="1013">
        <f t="shared" si="3"/>
        <v>44303.672929736647</v>
      </c>
    </row>
    <row r="16" spans="1:20" x14ac:dyDescent="0.25">
      <c r="A16" s="577"/>
      <c r="B16" s="1014">
        <v>2004</v>
      </c>
      <c r="C16" s="1015">
        <v>596267.04432617116</v>
      </c>
      <c r="D16" s="1016">
        <v>257743.9102776775</v>
      </c>
      <c r="E16" s="1016">
        <v>470011.6333799953</v>
      </c>
      <c r="F16" s="1017">
        <v>58277.423826264436</v>
      </c>
      <c r="G16" s="1018">
        <f t="shared" si="4"/>
        <v>1382300.0118101083</v>
      </c>
      <c r="H16" s="1005"/>
      <c r="I16" s="1011"/>
      <c r="J16" s="1012">
        <v>2004</v>
      </c>
      <c r="K16" s="1013">
        <f t="shared" si="0"/>
        <v>596267.04432617116</v>
      </c>
      <c r="L16" s="1013">
        <f t="shared" si="1"/>
        <v>257743.9102776775</v>
      </c>
      <c r="M16" s="1013">
        <f t="shared" si="2"/>
        <v>470011.6333799953</v>
      </c>
      <c r="N16" s="1013">
        <f t="shared" si="3"/>
        <v>58277.423826264436</v>
      </c>
    </row>
    <row r="17" spans="1:14" x14ac:dyDescent="0.25">
      <c r="A17" s="577"/>
      <c r="B17" s="1006">
        <v>2005</v>
      </c>
      <c r="C17" s="1007">
        <v>669716.05900215998</v>
      </c>
      <c r="D17" s="1008">
        <v>300420.25850854366</v>
      </c>
      <c r="E17" s="1008">
        <v>544065.3677454039</v>
      </c>
      <c r="F17" s="1009">
        <v>65007.585840271378</v>
      </c>
      <c r="G17" s="1010">
        <f t="shared" si="4"/>
        <v>1579209.2710963788</v>
      </c>
      <c r="H17" s="1005"/>
      <c r="I17" s="1011"/>
      <c r="J17" s="1012">
        <v>2005</v>
      </c>
      <c r="K17" s="1013">
        <f t="shared" si="0"/>
        <v>669716.05900215998</v>
      </c>
      <c r="L17" s="1013">
        <f t="shared" si="1"/>
        <v>300420.25850854366</v>
      </c>
      <c r="M17" s="1013">
        <f t="shared" si="2"/>
        <v>544065.3677454039</v>
      </c>
      <c r="N17" s="1013">
        <f t="shared" si="3"/>
        <v>65007.585840271378</v>
      </c>
    </row>
    <row r="18" spans="1:14" x14ac:dyDescent="0.25">
      <c r="A18" s="577"/>
      <c r="B18" s="1014">
        <v>2006</v>
      </c>
      <c r="C18" s="1015">
        <v>715993.84226713481</v>
      </c>
      <c r="D18" s="1016">
        <v>317868.59748703917</v>
      </c>
      <c r="E18" s="1016">
        <v>579597.98697812622</v>
      </c>
      <c r="F18" s="1017">
        <v>69708.477573607859</v>
      </c>
      <c r="G18" s="1018">
        <f t="shared" si="4"/>
        <v>1683168.9043059081</v>
      </c>
      <c r="H18" s="1005"/>
      <c r="I18" s="1011"/>
      <c r="J18" s="1012">
        <v>2006</v>
      </c>
      <c r="K18" s="1013">
        <f t="shared" si="0"/>
        <v>715993.84226713481</v>
      </c>
      <c r="L18" s="1013">
        <f t="shared" si="1"/>
        <v>317868.59748703917</v>
      </c>
      <c r="M18" s="1013">
        <f t="shared" si="2"/>
        <v>579597.98697812622</v>
      </c>
      <c r="N18" s="1013">
        <f t="shared" si="3"/>
        <v>69708.477573607859</v>
      </c>
    </row>
    <row r="19" spans="1:14" x14ac:dyDescent="0.25">
      <c r="A19" s="577"/>
      <c r="B19" s="1006">
        <v>2007</v>
      </c>
      <c r="C19" s="1007">
        <v>794759.59169783501</v>
      </c>
      <c r="D19" s="1008">
        <v>340153.50271927071</v>
      </c>
      <c r="E19" s="1008">
        <v>628258.89821243391</v>
      </c>
      <c r="F19" s="1009">
        <v>67459.670804701891</v>
      </c>
      <c r="G19" s="1010">
        <f t="shared" si="4"/>
        <v>1830631.6634342417</v>
      </c>
      <c r="H19" s="1005"/>
      <c r="I19" s="1011"/>
      <c r="J19" s="1012">
        <v>2007</v>
      </c>
      <c r="K19" s="1013">
        <f t="shared" si="0"/>
        <v>794759.59169783501</v>
      </c>
      <c r="L19" s="1013">
        <f t="shared" si="1"/>
        <v>340153.50271927071</v>
      </c>
      <c r="M19" s="1013">
        <f t="shared" si="2"/>
        <v>628258.89821243391</v>
      </c>
      <c r="N19" s="1013">
        <f t="shared" si="3"/>
        <v>67459.670804701891</v>
      </c>
    </row>
    <row r="20" spans="1:14" x14ac:dyDescent="0.25">
      <c r="A20" s="577"/>
      <c r="B20" s="1014">
        <v>2008</v>
      </c>
      <c r="C20" s="1015">
        <v>1027831.8916520025</v>
      </c>
      <c r="D20" s="1016">
        <v>399555.0703387963</v>
      </c>
      <c r="E20" s="1016">
        <v>716691.01010196272</v>
      </c>
      <c r="F20" s="1017">
        <v>72022.001090604914</v>
      </c>
      <c r="G20" s="1018">
        <f t="shared" si="4"/>
        <v>2216099.9731833665</v>
      </c>
      <c r="H20" s="1005"/>
      <c r="I20" s="1011"/>
      <c r="J20" s="1012">
        <v>2008</v>
      </c>
      <c r="K20" s="1013">
        <f t="shared" si="0"/>
        <v>1027831.8916520025</v>
      </c>
      <c r="L20" s="1013">
        <f t="shared" si="1"/>
        <v>399555.0703387963</v>
      </c>
      <c r="M20" s="1013">
        <f t="shared" si="2"/>
        <v>716691.01010196272</v>
      </c>
      <c r="N20" s="1013">
        <f t="shared" si="3"/>
        <v>72022.001090604914</v>
      </c>
    </row>
    <row r="21" spans="1:14" x14ac:dyDescent="0.25">
      <c r="A21" s="577"/>
      <c r="B21" s="1006">
        <v>2009</v>
      </c>
      <c r="C21" s="1007">
        <v>910151.82885370869</v>
      </c>
      <c r="D21" s="1008">
        <v>454550.76665939082</v>
      </c>
      <c r="E21" s="1008">
        <v>792475.92957778438</v>
      </c>
      <c r="F21" s="1009">
        <v>78879.628738922736</v>
      </c>
      <c r="G21" s="1010">
        <f t="shared" si="4"/>
        <v>2236058.1538298065</v>
      </c>
      <c r="H21" s="1005"/>
      <c r="I21" s="1019"/>
      <c r="J21" s="1012">
        <v>2009</v>
      </c>
      <c r="K21" s="1013">
        <f t="shared" si="0"/>
        <v>910151.82885370869</v>
      </c>
      <c r="L21" s="1013">
        <f t="shared" si="1"/>
        <v>454550.76665939082</v>
      </c>
      <c r="M21" s="1013">
        <f t="shared" si="2"/>
        <v>792475.92957778438</v>
      </c>
      <c r="N21" s="1013">
        <f t="shared" si="3"/>
        <v>78879.628738922736</v>
      </c>
    </row>
    <row r="22" spans="1:14" x14ac:dyDescent="0.25">
      <c r="A22" s="577"/>
      <c r="B22" s="1014">
        <v>2010</v>
      </c>
      <c r="C22" s="1015">
        <v>971594.08601682109</v>
      </c>
      <c r="D22" s="1016">
        <v>526340.05433409393</v>
      </c>
      <c r="E22" s="1016">
        <v>864962.42369105283</v>
      </c>
      <c r="F22" s="1017">
        <v>85638.464160990639</v>
      </c>
      <c r="G22" s="1018">
        <f t="shared" si="4"/>
        <v>2448535.0282029584</v>
      </c>
      <c r="H22" s="1005"/>
      <c r="I22" s="1019"/>
      <c r="J22" s="1012">
        <v>2010</v>
      </c>
      <c r="K22" s="1013">
        <f t="shared" si="0"/>
        <v>971594.08601682109</v>
      </c>
      <c r="L22" s="1013">
        <f t="shared" si="1"/>
        <v>526340.05433409393</v>
      </c>
      <c r="M22" s="1013">
        <f t="shared" si="2"/>
        <v>864962.42369105283</v>
      </c>
      <c r="N22" s="1013">
        <f t="shared" si="3"/>
        <v>85638.464160990639</v>
      </c>
    </row>
    <row r="23" spans="1:14" x14ac:dyDescent="0.25">
      <c r="A23" s="577"/>
      <c r="B23" s="1006">
        <v>2011</v>
      </c>
      <c r="C23" s="1007">
        <v>1196612.7704490384</v>
      </c>
      <c r="D23" s="1008">
        <v>568041.68320329254</v>
      </c>
      <c r="E23" s="1008">
        <v>999500.05360099196</v>
      </c>
      <c r="F23" s="1009">
        <v>96237.048105473543</v>
      </c>
      <c r="G23" s="1010">
        <f t="shared" si="4"/>
        <v>2860391.5553587964</v>
      </c>
      <c r="H23" s="1005"/>
      <c r="I23" s="1019"/>
      <c r="J23" s="1012">
        <v>2011</v>
      </c>
      <c r="K23" s="1013">
        <f t="shared" si="0"/>
        <v>1196612.7704490384</v>
      </c>
      <c r="L23" s="1013">
        <f t="shared" si="1"/>
        <v>568041.68320329254</v>
      </c>
      <c r="M23" s="1013">
        <f t="shared" si="2"/>
        <v>999500.05360099196</v>
      </c>
      <c r="N23" s="1013">
        <f t="shared" si="3"/>
        <v>96237.048105473543</v>
      </c>
    </row>
    <row r="24" spans="1:14" x14ac:dyDescent="0.25">
      <c r="A24" s="577"/>
      <c r="B24" s="1014">
        <v>2012</v>
      </c>
      <c r="C24" s="1015">
        <v>1379656.1115939592</v>
      </c>
      <c r="D24" s="1016">
        <v>665764.93903639342</v>
      </c>
      <c r="E24" s="1016">
        <v>1143905.3448795595</v>
      </c>
      <c r="F24" s="1017">
        <v>109799.10381710083</v>
      </c>
      <c r="G24" s="1018">
        <f t="shared" si="4"/>
        <v>3299125.4993270123</v>
      </c>
      <c r="H24" s="1005"/>
      <c r="I24" s="1019"/>
      <c r="J24" s="1012">
        <v>2012</v>
      </c>
      <c r="K24" s="1013">
        <f t="shared" si="0"/>
        <v>1379656.1115939592</v>
      </c>
      <c r="L24" s="1013">
        <f t="shared" si="1"/>
        <v>665764.93903639342</v>
      </c>
      <c r="M24" s="1013">
        <f t="shared" si="2"/>
        <v>1143905.3448795595</v>
      </c>
      <c r="N24" s="1013">
        <f t="shared" si="3"/>
        <v>109799.10381710083</v>
      </c>
    </row>
    <row r="25" spans="1:14" x14ac:dyDescent="0.25">
      <c r="A25" s="577"/>
      <c r="B25" s="1006">
        <v>2013</v>
      </c>
      <c r="C25" s="1007">
        <v>1441539.8024168243</v>
      </c>
      <c r="D25" s="1008">
        <v>737391.51220428827</v>
      </c>
      <c r="E25" s="1008">
        <v>1241000.8431573522</v>
      </c>
      <c r="F25" s="1009">
        <v>116294.17167812247</v>
      </c>
      <c r="G25" s="1010">
        <f t="shared" si="4"/>
        <v>3536226.3294565869</v>
      </c>
      <c r="H25" s="1005"/>
      <c r="I25" s="1019"/>
      <c r="J25" s="1012">
        <v>2013</v>
      </c>
      <c r="K25" s="1013">
        <f t="shared" si="0"/>
        <v>1441539.8024168243</v>
      </c>
      <c r="L25" s="1013">
        <f t="shared" si="1"/>
        <v>737391.51220428827</v>
      </c>
      <c r="M25" s="1013">
        <f t="shared" si="2"/>
        <v>1241000.8431573522</v>
      </c>
      <c r="N25" s="1013">
        <f t="shared" si="3"/>
        <v>116294.17167812247</v>
      </c>
    </row>
    <row r="26" spans="1:14" x14ac:dyDescent="0.25">
      <c r="A26" s="577"/>
      <c r="B26" s="1014">
        <v>2014</v>
      </c>
      <c r="C26" s="1015">
        <f>1665455.82668933+156.829571</f>
        <v>1665612.65626033</v>
      </c>
      <c r="D26" s="1016">
        <v>836842.30774737417</v>
      </c>
      <c r="E26" s="1016">
        <v>1407774.9448299771</v>
      </c>
      <c r="F26" s="1017">
        <v>115116.20663604917</v>
      </c>
      <c r="G26" s="1018">
        <f t="shared" si="4"/>
        <v>4025346.1154737305</v>
      </c>
      <c r="H26" s="1005"/>
      <c r="I26" s="1019"/>
      <c r="J26" s="1012">
        <v>2014</v>
      </c>
      <c r="K26" s="1013">
        <f t="shared" si="0"/>
        <v>1665612.65626033</v>
      </c>
      <c r="L26" s="1013">
        <f t="shared" si="1"/>
        <v>836842.30774737417</v>
      </c>
      <c r="M26" s="1013">
        <f t="shared" si="2"/>
        <v>1407774.9448299771</v>
      </c>
      <c r="N26" s="1013">
        <f t="shared" si="3"/>
        <v>115116.20663604917</v>
      </c>
    </row>
    <row r="27" spans="1:14" x14ac:dyDescent="0.25">
      <c r="A27" s="577"/>
      <c r="B27" s="1006">
        <v>2015</v>
      </c>
      <c r="C27" s="1007">
        <v>1728275.9300000002</v>
      </c>
      <c r="D27" s="1008">
        <v>883699.57999999973</v>
      </c>
      <c r="E27" s="1008">
        <v>1428790.09</v>
      </c>
      <c r="F27" s="1009">
        <v>130645.79</v>
      </c>
      <c r="G27" s="1010">
        <f t="shared" si="4"/>
        <v>4171411.3899999997</v>
      </c>
      <c r="H27" s="1005"/>
      <c r="I27" s="1019"/>
      <c r="J27" s="1012">
        <v>2015</v>
      </c>
      <c r="K27" s="1013">
        <f t="shared" si="0"/>
        <v>1728275.9300000002</v>
      </c>
      <c r="L27" s="1013">
        <f t="shared" si="1"/>
        <v>883699.57999999973</v>
      </c>
      <c r="M27" s="1013">
        <f t="shared" si="2"/>
        <v>1428790.09</v>
      </c>
      <c r="N27" s="1013">
        <f t="shared" si="3"/>
        <v>130645.79</v>
      </c>
    </row>
    <row r="28" spans="1:14" x14ac:dyDescent="0.25">
      <c r="A28" s="577"/>
      <c r="B28" s="1014">
        <v>2016</v>
      </c>
      <c r="C28" s="1015">
        <v>1860291.9919229595</v>
      </c>
      <c r="D28" s="1016">
        <v>937495.5716511088</v>
      </c>
      <c r="E28" s="1016">
        <v>1504775.322915006</v>
      </c>
      <c r="F28" s="1017">
        <v>146893.56904509378</v>
      </c>
      <c r="G28" s="1018">
        <f t="shared" si="4"/>
        <v>4449456.4555341685</v>
      </c>
      <c r="H28" s="1005"/>
      <c r="I28" s="1019"/>
      <c r="J28" s="1012">
        <v>2016</v>
      </c>
      <c r="K28" s="1013">
        <f t="shared" si="0"/>
        <v>1860291.9919229595</v>
      </c>
      <c r="L28" s="1013">
        <f t="shared" si="1"/>
        <v>937495.5716511088</v>
      </c>
      <c r="M28" s="1013">
        <f t="shared" si="2"/>
        <v>1504775.322915006</v>
      </c>
      <c r="N28" s="1013">
        <f t="shared" si="3"/>
        <v>146893.56904509378</v>
      </c>
    </row>
    <row r="29" spans="1:14" x14ac:dyDescent="0.25">
      <c r="A29" s="577"/>
      <c r="B29" s="1006">
        <v>2017</v>
      </c>
      <c r="C29" s="1007">
        <v>1797961.2811510575</v>
      </c>
      <c r="D29" s="1008">
        <v>942448.2152739797</v>
      </c>
      <c r="E29" s="1008">
        <v>1586189.5239483442</v>
      </c>
      <c r="F29" s="1009">
        <v>153099.14598403813</v>
      </c>
      <c r="G29" s="1010">
        <f t="shared" si="4"/>
        <v>4479698.1663574195</v>
      </c>
      <c r="H29" s="1005"/>
      <c r="J29" s="1012">
        <v>2017</v>
      </c>
      <c r="K29" s="1013">
        <f t="shared" si="0"/>
        <v>1797961.2811510575</v>
      </c>
      <c r="L29" s="1013">
        <f t="shared" si="1"/>
        <v>942448.2152739797</v>
      </c>
      <c r="M29" s="1013">
        <f t="shared" si="2"/>
        <v>1586189.5239483442</v>
      </c>
      <c r="N29" s="1013">
        <f t="shared" si="3"/>
        <v>153099.14598403813</v>
      </c>
    </row>
    <row r="30" spans="1:14" x14ac:dyDescent="0.25">
      <c r="A30" s="577"/>
      <c r="B30" s="1014">
        <v>2018</v>
      </c>
      <c r="C30" s="1015">
        <v>1852333.4751519687</v>
      </c>
      <c r="D30" s="1016">
        <v>1004206.1397633412</v>
      </c>
      <c r="E30" s="1016">
        <v>1709828.2802331455</v>
      </c>
      <c r="F30" s="1017">
        <v>166188.19137482424</v>
      </c>
      <c r="G30" s="1018">
        <f>+SUM(C30:F30)</f>
        <v>4732556.0865232795</v>
      </c>
      <c r="H30" s="1005"/>
      <c r="I30" s="1019"/>
      <c r="J30" s="1012">
        <v>2018</v>
      </c>
      <c r="K30" s="1013">
        <f t="shared" si="0"/>
        <v>1852333.4751519687</v>
      </c>
      <c r="L30" s="1013">
        <f t="shared" si="1"/>
        <v>1004206.1397633412</v>
      </c>
      <c r="M30" s="1013">
        <f t="shared" si="2"/>
        <v>1709828.2802331455</v>
      </c>
      <c r="N30" s="1013">
        <f t="shared" si="3"/>
        <v>166188.19137482424</v>
      </c>
    </row>
    <row r="31" spans="1:14" x14ac:dyDescent="0.25">
      <c r="A31" s="577"/>
      <c r="B31" s="1006">
        <v>2019</v>
      </c>
      <c r="C31" s="1007">
        <v>1887444.9591489658</v>
      </c>
      <c r="D31" s="1008">
        <v>1051965.5863518859</v>
      </c>
      <c r="E31" s="1008">
        <v>1802635.3668811198</v>
      </c>
      <c r="F31" s="1009">
        <v>190663.32467361999</v>
      </c>
      <c r="G31" s="1010">
        <f t="shared" ref="G31:G35" si="5">+SUM(C31:F31)</f>
        <v>4932709.2370555913</v>
      </c>
      <c r="H31" s="1005"/>
      <c r="I31" s="1019"/>
      <c r="J31" s="1012">
        <v>2019</v>
      </c>
      <c r="K31" s="1013">
        <f t="shared" si="0"/>
        <v>1887444.9591489658</v>
      </c>
      <c r="L31" s="1013">
        <f t="shared" si="1"/>
        <v>1051965.5863518859</v>
      </c>
      <c r="M31" s="1013">
        <f t="shared" si="2"/>
        <v>1802635.3668811198</v>
      </c>
      <c r="N31" s="1013">
        <f t="shared" si="3"/>
        <v>190663.32467361999</v>
      </c>
    </row>
    <row r="32" spans="1:14" x14ac:dyDescent="0.25">
      <c r="A32" s="577"/>
      <c r="B32" s="1014">
        <v>2020</v>
      </c>
      <c r="C32" s="1015">
        <v>1694734.0585575684</v>
      </c>
      <c r="D32" s="1016">
        <v>913791.57928267948</v>
      </c>
      <c r="E32" s="1016">
        <v>1783084.6724198409</v>
      </c>
      <c r="F32" s="1017">
        <v>190436.09809923172</v>
      </c>
      <c r="G32" s="1018">
        <f t="shared" si="5"/>
        <v>4582046.4083593208</v>
      </c>
      <c r="H32" s="1005"/>
      <c r="I32" s="1019"/>
      <c r="J32" s="1012">
        <v>2020</v>
      </c>
      <c r="K32" s="1013">
        <f t="shared" si="0"/>
        <v>1694734.0585575684</v>
      </c>
      <c r="L32" s="1013">
        <f t="shared" si="1"/>
        <v>913791.57928267948</v>
      </c>
      <c r="M32" s="1013">
        <f t="shared" si="2"/>
        <v>1783084.6724198409</v>
      </c>
      <c r="N32" s="1013">
        <f t="shared" si="3"/>
        <v>190436.09809923172</v>
      </c>
    </row>
    <row r="33" spans="1:14" x14ac:dyDescent="0.25">
      <c r="A33" s="577"/>
      <c r="B33" s="1006">
        <v>2021</v>
      </c>
      <c r="C33" s="1007">
        <v>1846129.7332982924</v>
      </c>
      <c r="D33" s="1008">
        <v>916913.38982809172</v>
      </c>
      <c r="E33" s="1008">
        <v>1831263.8846345069</v>
      </c>
      <c r="F33" s="1009">
        <v>188659.1057418405</v>
      </c>
      <c r="G33" s="1010">
        <f>+SUM(C33:F33)</f>
        <v>4782966.1135027315</v>
      </c>
      <c r="H33" s="1005"/>
      <c r="I33" s="1019"/>
      <c r="J33" s="936">
        <v>2021</v>
      </c>
      <c r="K33" s="1013">
        <f t="shared" si="0"/>
        <v>1846129.7332982924</v>
      </c>
      <c r="L33" s="1013">
        <f t="shared" si="1"/>
        <v>916913.38982809172</v>
      </c>
      <c r="M33" s="1013">
        <f t="shared" si="2"/>
        <v>1831263.8846345069</v>
      </c>
      <c r="N33" s="1013">
        <f t="shared" si="3"/>
        <v>188659.1057418405</v>
      </c>
    </row>
    <row r="34" spans="1:14" x14ac:dyDescent="0.25">
      <c r="A34" s="577"/>
      <c r="B34" s="1014">
        <v>2022</v>
      </c>
      <c r="C34" s="1015">
        <v>2144134.3785014953</v>
      </c>
      <c r="D34" s="1016">
        <v>1112014.7827549046</v>
      </c>
      <c r="E34" s="1016">
        <v>2038562.7317271014</v>
      </c>
      <c r="F34" s="1017">
        <v>214755.58413219982</v>
      </c>
      <c r="G34" s="1018">
        <f t="shared" si="5"/>
        <v>5509467.4771157019</v>
      </c>
      <c r="H34" s="1005"/>
      <c r="I34" s="1019"/>
      <c r="J34" s="936">
        <v>2022</v>
      </c>
      <c r="K34" s="1013">
        <f t="shared" ref="K34" si="6">+C34</f>
        <v>2144134.3785014953</v>
      </c>
      <c r="L34" s="1013">
        <f t="shared" ref="L34" si="7">+D34</f>
        <v>1112014.7827549046</v>
      </c>
      <c r="M34" s="1013">
        <f t="shared" ref="M34" si="8">+E34</f>
        <v>2038562.7317271014</v>
      </c>
      <c r="N34" s="1013">
        <f t="shared" ref="N34" si="9">+F34</f>
        <v>214755.58413219982</v>
      </c>
    </row>
    <row r="35" spans="1:14" x14ac:dyDescent="0.25">
      <c r="A35" s="577"/>
      <c r="B35" s="1020">
        <v>2023</v>
      </c>
      <c r="C35" s="1007">
        <v>2368037.5130515024</v>
      </c>
      <c r="D35" s="1008">
        <v>1289042.5670388979</v>
      </c>
      <c r="E35" s="1008">
        <v>2157758.5844712988</v>
      </c>
      <c r="F35" s="1009">
        <v>228315.13771149993</v>
      </c>
      <c r="G35" s="1010">
        <f>+SUM(C35:F35)</f>
        <v>6043153.802273199</v>
      </c>
      <c r="H35" s="1005"/>
      <c r="I35" s="1019"/>
      <c r="J35" s="936">
        <v>2023</v>
      </c>
      <c r="K35" s="1013">
        <f t="shared" ref="K35" si="10">+C35</f>
        <v>2368037.5130515024</v>
      </c>
      <c r="L35" s="1013">
        <f t="shared" ref="L35" si="11">+D35</f>
        <v>1289042.5670388979</v>
      </c>
      <c r="M35" s="1013">
        <f t="shared" ref="M35" si="12">+E35</f>
        <v>2157758.5844712988</v>
      </c>
      <c r="N35" s="1013">
        <f t="shared" ref="N35" si="13">+F35</f>
        <v>228315.13771149993</v>
      </c>
    </row>
    <row r="36" spans="1:14" ht="14.25" thickBot="1" x14ac:dyDescent="0.3">
      <c r="A36" s="577"/>
      <c r="B36" s="1014"/>
      <c r="C36" s="1015"/>
      <c r="D36" s="1016"/>
      <c r="E36" s="1016"/>
      <c r="F36" s="1017"/>
      <c r="G36" s="1018"/>
      <c r="H36" s="1005"/>
      <c r="J36" s="438"/>
    </row>
    <row r="37" spans="1:14" x14ac:dyDescent="0.25">
      <c r="A37" s="577"/>
      <c r="B37" s="1022" t="s">
        <v>326</v>
      </c>
      <c r="C37" s="1023">
        <f>(C35/C34)-1</f>
        <v>0.1044258871062409</v>
      </c>
      <c r="D37" s="804">
        <f t="shared" ref="D37:G37" si="14">(D35/D34)-1</f>
        <v>0.15919553141678988</v>
      </c>
      <c r="E37" s="804">
        <f t="shared" si="14"/>
        <v>5.8470534602196311E-2</v>
      </c>
      <c r="F37" s="804">
        <f t="shared" si="14"/>
        <v>6.313946915090729E-2</v>
      </c>
      <c r="G37" s="1024">
        <f t="shared" si="14"/>
        <v>9.6867134142134992E-2</v>
      </c>
      <c r="H37" s="1005"/>
      <c r="J37" s="438"/>
    </row>
    <row r="38" spans="1:14" x14ac:dyDescent="0.25">
      <c r="A38" s="577"/>
      <c r="B38" s="1025" t="s">
        <v>327</v>
      </c>
      <c r="C38" s="1026">
        <f>((C35/C30)^(1/5))-1</f>
        <v>5.0349614850790703E-2</v>
      </c>
      <c r="D38" s="813">
        <f t="shared" ref="D38:G38" si="15">((D35/D30)^(1/5))-1</f>
        <v>5.1208532475929491E-2</v>
      </c>
      <c r="E38" s="813">
        <f t="shared" si="15"/>
        <v>4.7635174333182428E-2</v>
      </c>
      <c r="F38" s="813">
        <f t="shared" si="15"/>
        <v>6.5582081945982917E-2</v>
      </c>
      <c r="G38" s="1027">
        <f t="shared" si="15"/>
        <v>5.0107053405625157E-2</v>
      </c>
      <c r="H38" s="1005"/>
      <c r="J38" s="438"/>
    </row>
    <row r="39" spans="1:14" x14ac:dyDescent="0.25">
      <c r="A39" s="577"/>
      <c r="B39" s="1028" t="s">
        <v>328</v>
      </c>
      <c r="C39" s="1029">
        <f>(C35/C25)-1</f>
        <v>0.64271392928683024</v>
      </c>
      <c r="D39" s="1030">
        <f t="shared" ref="D39:G39" si="16">(D35/D25)-1</f>
        <v>0.74811147905073683</v>
      </c>
      <c r="E39" s="1030">
        <f t="shared" si="16"/>
        <v>0.73872451124330674</v>
      </c>
      <c r="F39" s="1030">
        <f t="shared" si="16"/>
        <v>0.96325520373822071</v>
      </c>
      <c r="G39" s="1031">
        <f t="shared" si="16"/>
        <v>0.70892732513584678</v>
      </c>
      <c r="H39" s="1005"/>
      <c r="J39" s="1012"/>
      <c r="K39" s="1013"/>
      <c r="L39" s="1013"/>
      <c r="M39" s="1013"/>
      <c r="N39" s="1013"/>
    </row>
    <row r="40" spans="1:14" ht="14.25" thickBot="1" x14ac:dyDescent="0.3">
      <c r="A40" s="577"/>
      <c r="B40" s="1032" t="s">
        <v>329</v>
      </c>
      <c r="C40" s="1033">
        <f>((C35/C25)^(1/10))-1</f>
        <v>5.0887421868132776E-2</v>
      </c>
      <c r="D40" s="1034">
        <f t="shared" ref="D40:G40" si="17">((D35/D25)^(1/10))-1</f>
        <v>5.7442868098442457E-2</v>
      </c>
      <c r="E40" s="1034">
        <f t="shared" si="17"/>
        <v>5.6873668148015311E-2</v>
      </c>
      <c r="F40" s="1034">
        <f t="shared" si="17"/>
        <v>6.978788594144314E-2</v>
      </c>
      <c r="G40" s="1035">
        <f t="shared" si="17"/>
        <v>5.5048342173922959E-2</v>
      </c>
      <c r="H40" s="1005"/>
    </row>
    <row r="41" spans="1:14" x14ac:dyDescent="0.25">
      <c r="A41" s="577"/>
      <c r="B41" s="938"/>
      <c r="C41" s="577"/>
      <c r="D41" s="577"/>
      <c r="E41" s="577"/>
      <c r="F41" s="577"/>
      <c r="G41" s="577"/>
      <c r="H41" s="1005"/>
    </row>
    <row r="42" spans="1:14" ht="15.75" x14ac:dyDescent="0.25">
      <c r="A42" s="577"/>
      <c r="B42" s="577"/>
      <c r="C42" s="1036"/>
      <c r="D42" s="1036"/>
      <c r="E42" s="1036"/>
      <c r="F42" s="1037"/>
      <c r="G42" s="1038"/>
      <c r="H42" s="1005"/>
    </row>
    <row r="43" spans="1:14" x14ac:dyDescent="0.25">
      <c r="A43" s="577"/>
      <c r="B43" s="577"/>
      <c r="C43" s="577"/>
      <c r="D43" s="577"/>
      <c r="E43" s="577"/>
      <c r="F43" s="577"/>
      <c r="G43" s="577"/>
      <c r="H43" s="1005"/>
    </row>
    <row r="44" spans="1:14" x14ac:dyDescent="0.25">
      <c r="A44" s="577"/>
      <c r="B44" s="577"/>
      <c r="C44" s="577"/>
      <c r="D44" s="577"/>
      <c r="E44" s="577"/>
      <c r="F44" s="577"/>
      <c r="G44" s="577"/>
    </row>
    <row r="45" spans="1:14" x14ac:dyDescent="0.25">
      <c r="A45" s="577"/>
      <c r="B45" s="577"/>
      <c r="C45" s="577"/>
      <c r="D45" s="577"/>
      <c r="E45" s="577"/>
      <c r="F45" s="577"/>
      <c r="G45" s="577"/>
    </row>
    <row r="46" spans="1:14" x14ac:dyDescent="0.25">
      <c r="A46" s="577"/>
      <c r="B46" s="577"/>
      <c r="C46" s="577"/>
      <c r="D46" s="577"/>
      <c r="E46" s="577"/>
      <c r="F46" s="577"/>
      <c r="G46" s="577"/>
    </row>
    <row r="47" spans="1:14" x14ac:dyDescent="0.25">
      <c r="A47" s="577"/>
      <c r="B47" s="577"/>
      <c r="C47" s="577"/>
      <c r="D47" s="577"/>
      <c r="E47" s="577"/>
      <c r="F47" s="577"/>
      <c r="G47" s="577"/>
    </row>
    <row r="48" spans="1:14" x14ac:dyDescent="0.25">
      <c r="A48" s="577"/>
      <c r="B48" s="577"/>
      <c r="C48" s="577"/>
      <c r="D48" s="577"/>
      <c r="E48" s="577"/>
      <c r="F48" s="577"/>
      <c r="G48" s="577"/>
    </row>
    <row r="49" spans="1:7" x14ac:dyDescent="0.25">
      <c r="A49" s="577"/>
      <c r="B49" s="577"/>
      <c r="C49" s="577"/>
      <c r="D49" s="577"/>
      <c r="E49" s="577"/>
      <c r="F49" s="577"/>
      <c r="G49" s="577"/>
    </row>
    <row r="50" spans="1:7" x14ac:dyDescent="0.25">
      <c r="A50" s="577"/>
      <c r="B50" s="577"/>
      <c r="C50" s="577"/>
      <c r="D50" s="577"/>
      <c r="E50" s="577"/>
      <c r="F50" s="577"/>
      <c r="G50" s="577"/>
    </row>
    <row r="51" spans="1:7" x14ac:dyDescent="0.25">
      <c r="A51" s="577"/>
      <c r="B51" s="577"/>
      <c r="C51" s="577"/>
      <c r="D51" s="577"/>
      <c r="E51" s="577"/>
      <c r="F51" s="577"/>
      <c r="G51" s="577"/>
    </row>
    <row r="52" spans="1:7" x14ac:dyDescent="0.25">
      <c r="A52" s="577"/>
      <c r="B52" s="577"/>
      <c r="C52" s="577"/>
      <c r="D52" s="577"/>
      <c r="E52" s="577"/>
      <c r="F52" s="577"/>
      <c r="G52" s="577"/>
    </row>
    <row r="53" spans="1:7" x14ac:dyDescent="0.25">
      <c r="A53" s="577"/>
      <c r="B53" s="577"/>
      <c r="C53" s="577"/>
      <c r="D53" s="577"/>
      <c r="E53" s="577"/>
      <c r="F53" s="577"/>
      <c r="G53" s="577"/>
    </row>
    <row r="54" spans="1:7" x14ac:dyDescent="0.25">
      <c r="A54" s="577"/>
      <c r="B54" s="577"/>
      <c r="C54" s="577"/>
      <c r="D54" s="577"/>
      <c r="E54" s="577"/>
      <c r="F54" s="577"/>
      <c r="G54" s="577"/>
    </row>
    <row r="55" spans="1:7" x14ac:dyDescent="0.25">
      <c r="A55" s="577"/>
      <c r="B55" s="577"/>
      <c r="C55" s="577"/>
      <c r="D55" s="577"/>
      <c r="E55" s="577"/>
      <c r="F55" s="577"/>
      <c r="G55" s="577"/>
    </row>
    <row r="56" spans="1:7" x14ac:dyDescent="0.25">
      <c r="A56" s="577"/>
      <c r="B56" s="577"/>
      <c r="C56" s="577"/>
      <c r="D56" s="577"/>
      <c r="E56" s="577"/>
      <c r="F56" s="577"/>
      <c r="G56" s="577"/>
    </row>
    <row r="57" spans="1:7" x14ac:dyDescent="0.25">
      <c r="A57" s="577"/>
      <c r="B57" s="577"/>
      <c r="C57" s="577"/>
      <c r="D57" s="577"/>
      <c r="E57" s="577"/>
      <c r="F57" s="577"/>
      <c r="G57" s="577"/>
    </row>
    <row r="58" spans="1:7" x14ac:dyDescent="0.25">
      <c r="A58" s="577"/>
      <c r="B58" s="577"/>
      <c r="C58" s="577"/>
      <c r="D58" s="577"/>
      <c r="E58" s="577"/>
      <c r="F58" s="577"/>
      <c r="G58" s="577"/>
    </row>
    <row r="59" spans="1:7" x14ac:dyDescent="0.25">
      <c r="A59" s="577"/>
      <c r="B59" s="577"/>
      <c r="C59" s="577"/>
      <c r="D59" s="577"/>
      <c r="E59" s="577"/>
      <c r="F59" s="577"/>
      <c r="G59" s="577"/>
    </row>
    <row r="60" spans="1:7" x14ac:dyDescent="0.25">
      <c r="A60" s="577"/>
      <c r="B60" s="577"/>
      <c r="C60" s="577"/>
      <c r="D60" s="577"/>
      <c r="E60" s="577"/>
      <c r="F60" s="577"/>
      <c r="G60" s="577"/>
    </row>
    <row r="61" spans="1:7" x14ac:dyDescent="0.25">
      <c r="A61" s="577"/>
      <c r="B61" s="577"/>
      <c r="C61" s="577"/>
      <c r="D61" s="577"/>
      <c r="E61" s="577"/>
      <c r="F61" s="577"/>
      <c r="G61" s="577"/>
    </row>
    <row r="62" spans="1:7" x14ac:dyDescent="0.25">
      <c r="A62" s="577"/>
      <c r="B62" s="577"/>
      <c r="C62" s="577"/>
      <c r="D62" s="577"/>
      <c r="E62" s="577"/>
      <c r="F62" s="577"/>
      <c r="G62" s="577"/>
    </row>
    <row r="63" spans="1:7" x14ac:dyDescent="0.25">
      <c r="A63" s="577"/>
      <c r="B63" s="577"/>
      <c r="C63" s="577"/>
      <c r="D63" s="577"/>
      <c r="E63" s="577"/>
      <c r="F63" s="577"/>
      <c r="G63" s="577"/>
    </row>
    <row r="64" spans="1:7" x14ac:dyDescent="0.25">
      <c r="A64" s="577"/>
      <c r="B64" s="577"/>
      <c r="C64" s="577"/>
      <c r="D64" s="577"/>
      <c r="E64" s="577"/>
      <c r="F64" s="577"/>
      <c r="G64" s="577"/>
    </row>
    <row r="65" spans="1:7" x14ac:dyDescent="0.25">
      <c r="A65" s="577"/>
      <c r="B65" s="577"/>
      <c r="C65" s="577"/>
      <c r="D65" s="577"/>
      <c r="E65" s="577"/>
      <c r="F65" s="577"/>
      <c r="G65" s="577"/>
    </row>
    <row r="66" spans="1:7" x14ac:dyDescent="0.25">
      <c r="A66" s="577"/>
      <c r="B66" s="577"/>
      <c r="C66" s="577"/>
      <c r="D66" s="577"/>
      <c r="E66" s="577"/>
      <c r="F66" s="577"/>
      <c r="G66" s="577"/>
    </row>
    <row r="67" spans="1:7" x14ac:dyDescent="0.25">
      <c r="A67" s="577"/>
      <c r="B67" s="577"/>
      <c r="C67" s="577"/>
      <c r="D67" s="577"/>
      <c r="E67" s="577"/>
      <c r="F67" s="577"/>
      <c r="G67" s="577"/>
    </row>
    <row r="68" spans="1:7" x14ac:dyDescent="0.25">
      <c r="A68" s="577"/>
      <c r="B68" s="577"/>
      <c r="C68" s="577"/>
      <c r="D68" s="577"/>
      <c r="E68" s="577"/>
      <c r="F68" s="577"/>
      <c r="G68" s="577"/>
    </row>
    <row r="69" spans="1:7" x14ac:dyDescent="0.25">
      <c r="A69" s="577"/>
      <c r="B69" s="577"/>
      <c r="C69" s="577"/>
      <c r="D69" s="577"/>
      <c r="E69" s="577"/>
      <c r="F69" s="577"/>
      <c r="G69" s="577"/>
    </row>
    <row r="70" spans="1:7" x14ac:dyDescent="0.25">
      <c r="A70" s="577"/>
      <c r="B70" s="577"/>
      <c r="C70" s="577"/>
      <c r="D70" s="577"/>
      <c r="E70" s="577"/>
      <c r="F70" s="577"/>
      <c r="G70" s="577"/>
    </row>
    <row r="71" spans="1:7" x14ac:dyDescent="0.25">
      <c r="A71" s="577"/>
      <c r="B71" s="577"/>
      <c r="C71" s="577"/>
      <c r="D71" s="577"/>
      <c r="E71" s="577"/>
      <c r="F71" s="577"/>
      <c r="G71" s="577"/>
    </row>
    <row r="72" spans="1:7" x14ac:dyDescent="0.25">
      <c r="A72" s="577"/>
      <c r="B72" s="577"/>
      <c r="C72" s="577"/>
      <c r="D72" s="577"/>
      <c r="E72" s="577"/>
      <c r="F72" s="577"/>
      <c r="G72" s="577"/>
    </row>
    <row r="73" spans="1:7" x14ac:dyDescent="0.25">
      <c r="A73" s="577"/>
      <c r="B73" s="577"/>
      <c r="C73" s="577"/>
      <c r="D73" s="577"/>
      <c r="E73" s="577"/>
      <c r="F73" s="577"/>
      <c r="G73" s="577"/>
    </row>
    <row r="74" spans="1:7" x14ac:dyDescent="0.25">
      <c r="A74" s="577"/>
      <c r="B74" s="577"/>
      <c r="C74" s="577"/>
      <c r="D74" s="577"/>
      <c r="E74" s="577"/>
      <c r="F74" s="577"/>
      <c r="G74" s="577"/>
    </row>
    <row r="75" spans="1:7" x14ac:dyDescent="0.25">
      <c r="A75" s="577"/>
      <c r="B75" s="577"/>
      <c r="C75" s="577"/>
      <c r="D75" s="577"/>
      <c r="E75" s="577"/>
      <c r="F75" s="577"/>
      <c r="G75" s="577"/>
    </row>
    <row r="76" spans="1:7" x14ac:dyDescent="0.25">
      <c r="A76" s="577"/>
      <c r="B76" s="577"/>
      <c r="C76" s="577"/>
      <c r="D76" s="577"/>
      <c r="E76" s="577"/>
      <c r="F76" s="577"/>
      <c r="G76" s="577"/>
    </row>
    <row r="77" spans="1:7" x14ac:dyDescent="0.25">
      <c r="A77" s="577"/>
      <c r="B77" s="577"/>
      <c r="C77" s="577"/>
      <c r="D77" s="577"/>
      <c r="E77" s="577"/>
      <c r="F77" s="577"/>
      <c r="G77" s="577"/>
    </row>
    <row r="78" spans="1:7" x14ac:dyDescent="0.25">
      <c r="A78" s="577"/>
      <c r="B78" s="577"/>
      <c r="C78" s="577"/>
      <c r="D78" s="577"/>
      <c r="E78" s="577"/>
      <c r="F78" s="577"/>
      <c r="G78" s="577"/>
    </row>
    <row r="79" spans="1:7" x14ac:dyDescent="0.25">
      <c r="A79" s="577"/>
      <c r="B79" s="577"/>
      <c r="C79" s="577"/>
      <c r="D79" s="577"/>
      <c r="E79" s="577"/>
      <c r="F79" s="577"/>
      <c r="G79" s="577"/>
    </row>
    <row r="80" spans="1:7" x14ac:dyDescent="0.25">
      <c r="A80" s="577"/>
      <c r="B80" s="577"/>
      <c r="C80" s="577"/>
      <c r="D80" s="577"/>
      <c r="E80" s="577"/>
      <c r="F80" s="577"/>
      <c r="G80" s="577"/>
    </row>
    <row r="81" spans="1:7" x14ac:dyDescent="0.25">
      <c r="A81" s="577"/>
      <c r="B81" s="577"/>
      <c r="C81" s="577"/>
      <c r="D81" s="577"/>
      <c r="E81" s="577"/>
      <c r="F81" s="577"/>
      <c r="G81" s="577"/>
    </row>
    <row r="82" spans="1:7" x14ac:dyDescent="0.25">
      <c r="A82" s="577"/>
      <c r="B82" s="577"/>
      <c r="C82" s="577"/>
      <c r="D82" s="577"/>
      <c r="E82" s="577"/>
      <c r="F82" s="577"/>
      <c r="G82" s="577"/>
    </row>
    <row r="83" spans="1:7" x14ac:dyDescent="0.25">
      <c r="A83" s="577"/>
      <c r="B83" s="577"/>
      <c r="C83" s="577"/>
      <c r="D83" s="577"/>
      <c r="E83" s="577"/>
      <c r="F83" s="577"/>
      <c r="G83" s="577"/>
    </row>
    <row r="84" spans="1:7" x14ac:dyDescent="0.25">
      <c r="A84" s="577"/>
      <c r="B84" s="577"/>
      <c r="C84" s="577"/>
      <c r="D84" s="577"/>
      <c r="E84" s="577"/>
      <c r="F84" s="577"/>
      <c r="G84" s="577"/>
    </row>
    <row r="85" spans="1:7" x14ac:dyDescent="0.25">
      <c r="A85" s="577"/>
      <c r="B85" s="577"/>
      <c r="C85" s="577"/>
      <c r="D85" s="577"/>
      <c r="E85" s="577"/>
      <c r="F85" s="577"/>
      <c r="G85" s="577"/>
    </row>
    <row r="86" spans="1:7" x14ac:dyDescent="0.25">
      <c r="A86" s="577"/>
      <c r="B86" s="577"/>
      <c r="C86" s="577"/>
      <c r="D86" s="577"/>
      <c r="E86" s="577"/>
      <c r="F86" s="577"/>
      <c r="G86" s="577"/>
    </row>
    <row r="87" spans="1:7" x14ac:dyDescent="0.25">
      <c r="A87" s="577"/>
      <c r="B87" s="577"/>
      <c r="C87" s="577"/>
      <c r="D87" s="577"/>
      <c r="E87" s="577"/>
      <c r="F87" s="577"/>
      <c r="G87" s="577"/>
    </row>
    <row r="88" spans="1:7" x14ac:dyDescent="0.25">
      <c r="A88" s="577"/>
      <c r="B88" s="577"/>
      <c r="C88" s="577"/>
      <c r="D88" s="577"/>
      <c r="E88" s="577"/>
      <c r="F88" s="577"/>
      <c r="G88" s="577"/>
    </row>
    <row r="89" spans="1:7" x14ac:dyDescent="0.25">
      <c r="A89" s="577"/>
      <c r="B89" s="577"/>
      <c r="C89" s="577"/>
      <c r="D89" s="577"/>
      <c r="E89" s="577"/>
      <c r="F89" s="577"/>
      <c r="G89" s="577"/>
    </row>
    <row r="90" spans="1:7" x14ac:dyDescent="0.25">
      <c r="A90" s="577"/>
      <c r="B90" s="577"/>
      <c r="C90" s="577"/>
      <c r="D90" s="577"/>
      <c r="E90" s="577"/>
      <c r="F90" s="577"/>
      <c r="G90" s="577"/>
    </row>
    <row r="91" spans="1:7" x14ac:dyDescent="0.25">
      <c r="A91" s="577"/>
      <c r="B91" s="577"/>
      <c r="C91" s="577"/>
      <c r="D91" s="577"/>
      <c r="E91" s="577"/>
      <c r="F91" s="577"/>
      <c r="G91" s="577"/>
    </row>
    <row r="92" spans="1:7" x14ac:dyDescent="0.25">
      <c r="A92" s="577"/>
      <c r="B92" s="577"/>
      <c r="C92" s="577"/>
      <c r="D92" s="577"/>
      <c r="E92" s="577"/>
      <c r="F92" s="577"/>
      <c r="G92" s="577"/>
    </row>
    <row r="93" spans="1:7" x14ac:dyDescent="0.25">
      <c r="A93" s="577"/>
      <c r="B93" s="577"/>
      <c r="C93" s="577"/>
      <c r="D93" s="577"/>
      <c r="E93" s="577"/>
      <c r="F93" s="577"/>
      <c r="G93" s="577"/>
    </row>
    <row r="94" spans="1:7" x14ac:dyDescent="0.25">
      <c r="A94" s="577"/>
      <c r="B94" s="577"/>
      <c r="C94" s="577"/>
      <c r="D94" s="577"/>
      <c r="E94" s="577"/>
      <c r="F94" s="577"/>
      <c r="G94" s="577"/>
    </row>
    <row r="95" spans="1:7" x14ac:dyDescent="0.25">
      <c r="A95" s="577"/>
      <c r="B95" s="577"/>
      <c r="C95" s="577"/>
      <c r="D95" s="577"/>
      <c r="E95" s="577"/>
      <c r="F95" s="577"/>
      <c r="G95" s="577"/>
    </row>
    <row r="96" spans="1:7" x14ac:dyDescent="0.25">
      <c r="A96" s="577"/>
      <c r="B96" s="577"/>
      <c r="C96" s="577"/>
      <c r="D96" s="577"/>
      <c r="E96" s="577"/>
      <c r="F96" s="577"/>
      <c r="G96" s="577"/>
    </row>
    <row r="97" spans="1:7" x14ac:dyDescent="0.25">
      <c r="A97" s="577"/>
      <c r="B97" s="577"/>
      <c r="C97" s="577"/>
      <c r="D97" s="577"/>
      <c r="E97" s="577"/>
      <c r="F97" s="577"/>
      <c r="G97" s="577"/>
    </row>
  </sheetData>
  <mergeCells count="2">
    <mergeCell ref="B4:B5"/>
    <mergeCell ref="C4:G4"/>
  </mergeCells>
  <phoneticPr fontId="16" type="noConversion"/>
  <pageMargins left="0.78740157480314965" right="0.59055118110236215" top="0.78740157480314965" bottom="0.59055118110236215" header="0" footer="0"/>
  <pageSetup paperSize="9" scale="69" fitToHeight="0" orientation="portrait" r:id="rId1"/>
  <headerFooter alignWithMargins="0"/>
  <ignoredErrors>
    <ignoredError sqref="G7:G29 G30:G32 G34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46"/>
  <sheetViews>
    <sheetView showGridLines="0" view="pageBreakPreview" zoomScaleNormal="100" zoomScaleSheetLayoutView="100" workbookViewId="0">
      <selection activeCell="B37" sqref="B37:C40"/>
    </sheetView>
  </sheetViews>
  <sheetFormatPr baseColWidth="10" defaultRowHeight="13.5" x14ac:dyDescent="0.25"/>
  <cols>
    <col min="1" max="1" width="2.85546875" style="437" customWidth="1"/>
    <col min="2" max="2" width="24.85546875" style="437" customWidth="1"/>
    <col min="3" max="7" width="19.140625" style="437" customWidth="1"/>
    <col min="8" max="8" width="1.7109375" style="437" customWidth="1"/>
    <col min="9" max="9" width="10.7109375" style="437" customWidth="1"/>
    <col min="10" max="10" width="15.5703125" style="437" customWidth="1"/>
    <col min="11" max="11" width="10.7109375" style="437" customWidth="1"/>
    <col min="12" max="12" width="11.7109375" style="437" customWidth="1"/>
    <col min="13" max="13" width="10.7109375" style="437" customWidth="1"/>
    <col min="14" max="14" width="11.7109375" style="437" customWidth="1"/>
    <col min="15" max="17" width="10.7109375" style="437" customWidth="1"/>
    <col min="18" max="20" width="11.42578125" style="437"/>
    <col min="21" max="21" width="12.5703125" style="437" bestFit="1" customWidth="1"/>
    <col min="22" max="16384" width="11.42578125" style="437"/>
  </cols>
  <sheetData>
    <row r="1" spans="1:23" ht="15.75" x14ac:dyDescent="0.25">
      <c r="A1" s="436" t="s">
        <v>351</v>
      </c>
      <c r="D1" s="941"/>
      <c r="E1" s="941"/>
      <c r="F1" s="941"/>
      <c r="G1" s="941"/>
      <c r="I1" s="983"/>
      <c r="O1" s="877"/>
      <c r="P1" s="983"/>
      <c r="Q1" s="983"/>
      <c r="R1" s="983"/>
      <c r="S1" s="983"/>
      <c r="T1" s="983"/>
      <c r="U1" s="983"/>
      <c r="V1" s="983"/>
      <c r="W1" s="983"/>
    </row>
    <row r="2" spans="1:23" ht="15" x14ac:dyDescent="0.25">
      <c r="B2" s="1047"/>
      <c r="C2" s="1047"/>
      <c r="D2" s="1047"/>
      <c r="E2" s="1047"/>
      <c r="F2" s="1047"/>
      <c r="G2" s="1047"/>
      <c r="I2" s="877"/>
      <c r="O2" s="877"/>
      <c r="P2" s="877"/>
      <c r="Q2" s="877"/>
      <c r="R2" s="877"/>
      <c r="S2" s="877"/>
      <c r="T2" s="877"/>
      <c r="U2" s="877"/>
      <c r="V2" s="987"/>
      <c r="W2" s="954"/>
    </row>
    <row r="3" spans="1:23" ht="14.25" thickBot="1" x14ac:dyDescent="0.3">
      <c r="I3" s="877"/>
      <c r="O3" s="877"/>
      <c r="P3" s="877"/>
      <c r="Q3" s="877"/>
      <c r="R3" s="877"/>
      <c r="S3" s="877"/>
      <c r="T3" s="877"/>
      <c r="U3" s="877"/>
      <c r="V3" s="987"/>
      <c r="W3" s="954"/>
    </row>
    <row r="4" spans="1:23" ht="20.25" customHeight="1" thickBot="1" x14ac:dyDescent="0.3">
      <c r="B4" s="852" t="s">
        <v>18</v>
      </c>
      <c r="C4" s="1048" t="s">
        <v>59</v>
      </c>
      <c r="D4" s="1049"/>
      <c r="E4" s="1049"/>
      <c r="F4" s="1049"/>
      <c r="G4" s="1050"/>
      <c r="I4" s="877"/>
      <c r="P4" s="877"/>
      <c r="Q4" s="877"/>
      <c r="R4" s="877"/>
      <c r="S4" s="877"/>
      <c r="T4" s="877"/>
      <c r="U4" s="877"/>
      <c r="V4" s="987"/>
      <c r="W4" s="954"/>
    </row>
    <row r="5" spans="1:23" x14ac:dyDescent="0.25">
      <c r="B5" s="1051"/>
      <c r="C5" s="1052" t="s">
        <v>40</v>
      </c>
      <c r="D5" s="1053" t="s">
        <v>41</v>
      </c>
      <c r="E5" s="1053" t="s">
        <v>42</v>
      </c>
      <c r="F5" s="1054" t="s">
        <v>43</v>
      </c>
      <c r="G5" s="1055" t="s">
        <v>61</v>
      </c>
      <c r="H5" s="1056"/>
      <c r="I5" s="877"/>
      <c r="O5" s="877"/>
      <c r="P5" s="877"/>
      <c r="Q5" s="877"/>
      <c r="R5" s="877"/>
      <c r="S5" s="877"/>
      <c r="T5" s="877"/>
      <c r="U5" s="877"/>
      <c r="V5" s="987"/>
      <c r="W5" s="954"/>
    </row>
    <row r="6" spans="1:23" x14ac:dyDescent="0.25">
      <c r="B6" s="1057"/>
      <c r="C6" s="1058"/>
      <c r="D6" s="1059"/>
      <c r="E6" s="1059"/>
      <c r="F6" s="1059"/>
      <c r="G6" s="1060"/>
      <c r="H6" s="1056"/>
      <c r="O6" s="877"/>
    </row>
    <row r="7" spans="1:23" x14ac:dyDescent="0.25">
      <c r="B7" s="1006">
        <v>1995</v>
      </c>
      <c r="C7" s="1007">
        <v>5.7782302810253094</v>
      </c>
      <c r="D7" s="1008">
        <v>8.9302367672784584</v>
      </c>
      <c r="E7" s="1008">
        <v>11.283446398970833</v>
      </c>
      <c r="F7" s="1008">
        <v>8.4803805094420035</v>
      </c>
      <c r="G7" s="1061">
        <v>8.3932836249791052</v>
      </c>
      <c r="H7" s="1062"/>
    </row>
    <row r="8" spans="1:23" x14ac:dyDescent="0.25">
      <c r="B8" s="1057">
        <v>1996</v>
      </c>
      <c r="C8" s="1015">
        <v>6.0030181909749079</v>
      </c>
      <c r="D8" s="1016">
        <v>9.0694904684164612</v>
      </c>
      <c r="E8" s="1016">
        <v>11.700802658519068</v>
      </c>
      <c r="F8" s="1016">
        <v>10.015867859658382</v>
      </c>
      <c r="G8" s="1063">
        <v>8.6476466902058142</v>
      </c>
      <c r="H8" s="1056"/>
    </row>
    <row r="9" spans="1:23" x14ac:dyDescent="0.25">
      <c r="B9" s="1006">
        <v>1997</v>
      </c>
      <c r="C9" s="1007">
        <v>5.8684121848887303</v>
      </c>
      <c r="D9" s="1008">
        <v>8.9205556778745976</v>
      </c>
      <c r="E9" s="1008">
        <v>11.582177535507025</v>
      </c>
      <c r="F9" s="1008">
        <v>9.6052586075462489</v>
      </c>
      <c r="G9" s="1061">
        <v>8.1882472400080566</v>
      </c>
      <c r="H9" s="1056"/>
    </row>
    <row r="10" spans="1:23" x14ac:dyDescent="0.25">
      <c r="B10" s="1057">
        <v>1998</v>
      </c>
      <c r="C10" s="1015">
        <v>5.4203479173923501</v>
      </c>
      <c r="D10" s="1016">
        <v>7.4315449474932489</v>
      </c>
      <c r="E10" s="1016">
        <v>9.9684339944200495</v>
      </c>
      <c r="F10" s="1016">
        <v>8.3800249198594479</v>
      </c>
      <c r="G10" s="1063">
        <v>7.0538222851775645</v>
      </c>
      <c r="H10" s="1056"/>
    </row>
    <row r="11" spans="1:23" x14ac:dyDescent="0.25">
      <c r="B11" s="1006">
        <v>1999</v>
      </c>
      <c r="C11" s="1007">
        <v>5.3406034884593927</v>
      </c>
      <c r="D11" s="1008">
        <v>7.0256874835606498</v>
      </c>
      <c r="E11" s="1008">
        <v>9.4944349046683083</v>
      </c>
      <c r="F11" s="1008">
        <v>8.132461037046669</v>
      </c>
      <c r="G11" s="1061">
        <v>6.7980137491809174</v>
      </c>
      <c r="H11" s="1056"/>
    </row>
    <row r="12" spans="1:23" x14ac:dyDescent="0.25">
      <c r="B12" s="1057">
        <v>2000</v>
      </c>
      <c r="C12" s="1015">
        <v>5.6232403935526856</v>
      </c>
      <c r="D12" s="1016">
        <v>7.3207428422098104</v>
      </c>
      <c r="E12" s="1016">
        <v>10.077877207303533</v>
      </c>
      <c r="F12" s="1016">
        <v>8.9205908881321658</v>
      </c>
      <c r="G12" s="1063">
        <v>7.160031104190919</v>
      </c>
      <c r="H12" s="1056"/>
    </row>
    <row r="13" spans="1:23" x14ac:dyDescent="0.25">
      <c r="B13" s="1006">
        <v>2001</v>
      </c>
      <c r="C13" s="1007">
        <v>5.1706818557398941</v>
      </c>
      <c r="D13" s="1008">
        <v>7.3332801640044396</v>
      </c>
      <c r="E13" s="1008">
        <v>10.040241931531753</v>
      </c>
      <c r="F13" s="1008">
        <v>9.3918509603971447</v>
      </c>
      <c r="G13" s="1061">
        <v>6.8517369115141831</v>
      </c>
      <c r="H13" s="1056"/>
      <c r="K13" s="1064"/>
    </row>
    <row r="14" spans="1:23" x14ac:dyDescent="0.25">
      <c r="B14" s="1057">
        <v>2002</v>
      </c>
      <c r="C14" s="1015">
        <v>5.1015716422276212</v>
      </c>
      <c r="D14" s="1016">
        <v>7.4281104644374469</v>
      </c>
      <c r="E14" s="1016">
        <v>8.9766906984860597</v>
      </c>
      <c r="F14" s="1016">
        <v>7.9240644839032566</v>
      </c>
      <c r="G14" s="1063">
        <v>6.572256424100436</v>
      </c>
      <c r="H14" s="1056"/>
      <c r="K14" s="1064"/>
    </row>
    <row r="15" spans="1:23" x14ac:dyDescent="0.25">
      <c r="B15" s="1006">
        <v>2003</v>
      </c>
      <c r="C15" s="1007">
        <v>5.0458110286969831</v>
      </c>
      <c r="D15" s="1008">
        <v>7.1353528490967735</v>
      </c>
      <c r="E15" s="1008">
        <v>9.6710123586537318</v>
      </c>
      <c r="F15" s="1008">
        <v>7.7695003248875425</v>
      </c>
      <c r="G15" s="1061">
        <v>6.6241520344619476</v>
      </c>
      <c r="H15" s="1056"/>
    </row>
    <row r="16" spans="1:23" x14ac:dyDescent="0.25">
      <c r="B16" s="1057">
        <v>2004</v>
      </c>
      <c r="C16" s="1015">
        <v>5.3805626846567849</v>
      </c>
      <c r="D16" s="1016">
        <v>7.7661883737661785</v>
      </c>
      <c r="E16" s="1016">
        <v>9.9578542547562368</v>
      </c>
      <c r="F16" s="1016">
        <v>9.6732809065578866</v>
      </c>
      <c r="G16" s="1063">
        <v>7.0379541088956685</v>
      </c>
      <c r="H16" s="1056"/>
    </row>
    <row r="17" spans="2:15" x14ac:dyDescent="0.25">
      <c r="B17" s="1006">
        <v>2005</v>
      </c>
      <c r="C17" s="1007">
        <v>5.7710451565357364</v>
      </c>
      <c r="D17" s="1008">
        <v>8.4694383881362061</v>
      </c>
      <c r="E17" s="1008">
        <v>10.83636761874177</v>
      </c>
      <c r="F17" s="1008">
        <v>10.285576031650301</v>
      </c>
      <c r="G17" s="1061">
        <v>7.6285206656659241</v>
      </c>
      <c r="H17" s="1056"/>
    </row>
    <row r="18" spans="2:15" x14ac:dyDescent="0.25">
      <c r="B18" s="1057">
        <v>2006</v>
      </c>
      <c r="C18" s="1015">
        <v>5.7321248337003379</v>
      </c>
      <c r="D18" s="1016">
        <v>8.1955962043482309</v>
      </c>
      <c r="E18" s="1016">
        <v>10.756475285056688</v>
      </c>
      <c r="F18" s="1016">
        <v>10.825611995897283</v>
      </c>
      <c r="G18" s="1063">
        <v>7.5512081046012343</v>
      </c>
      <c r="H18" s="1056"/>
    </row>
    <row r="19" spans="2:15" x14ac:dyDescent="0.25">
      <c r="B19" s="1006">
        <v>2007</v>
      </c>
      <c r="C19" s="1007">
        <v>5.5975724267146312</v>
      </c>
      <c r="D19" s="1008">
        <v>8.2568829585447201</v>
      </c>
      <c r="E19" s="1008">
        <v>10.68990130553876</v>
      </c>
      <c r="F19" s="1008">
        <v>10.292187443523428</v>
      </c>
      <c r="G19" s="1061">
        <v>7.4049441102825782</v>
      </c>
      <c r="H19" s="1056"/>
      <c r="O19" s="1065"/>
    </row>
    <row r="20" spans="2:15" x14ac:dyDescent="0.25">
      <c r="B20" s="1057">
        <v>2008</v>
      </c>
      <c r="C20" s="1015">
        <v>6.6581265067235282</v>
      </c>
      <c r="D20" s="1016">
        <v>8.8890837350718002</v>
      </c>
      <c r="E20" s="1016">
        <v>11.273478337353472</v>
      </c>
      <c r="F20" s="1016">
        <v>10.670788413669451</v>
      </c>
      <c r="G20" s="1063">
        <v>8.2186096245238325</v>
      </c>
      <c r="H20" s="1056"/>
    </row>
    <row r="21" spans="2:15" x14ac:dyDescent="0.25">
      <c r="B21" s="1006">
        <v>2009</v>
      </c>
      <c r="C21" s="1007">
        <v>6.0908442865023833</v>
      </c>
      <c r="D21" s="1008">
        <v>9.4401478562870338</v>
      </c>
      <c r="E21" s="1008">
        <v>11.926617410595755</v>
      </c>
      <c r="F21" s="1008">
        <v>11.525785044073674</v>
      </c>
      <c r="G21" s="1061">
        <v>8.2550953480745317</v>
      </c>
      <c r="H21" s="1056"/>
      <c r="J21" s="1066"/>
      <c r="K21" s="1066"/>
    </row>
    <row r="22" spans="2:15" x14ac:dyDescent="0.25">
      <c r="B22" s="1057">
        <v>2010</v>
      </c>
      <c r="C22" s="1015">
        <v>5.9118425557976728</v>
      </c>
      <c r="D22" s="1016">
        <v>10.110599528616511</v>
      </c>
      <c r="E22" s="1016">
        <v>12.206216169236948</v>
      </c>
      <c r="F22" s="1016">
        <v>12.072008153137142</v>
      </c>
      <c r="G22" s="1063">
        <v>8.3181154409106988</v>
      </c>
      <c r="H22" s="1062"/>
      <c r="L22" s="1066"/>
      <c r="M22" s="1066"/>
      <c r="N22" s="1066"/>
    </row>
    <row r="23" spans="2:15" x14ac:dyDescent="0.25">
      <c r="B23" s="1006">
        <v>2011</v>
      </c>
      <c r="C23" s="1007">
        <v>6.7069368359999997</v>
      </c>
      <c r="D23" s="1008">
        <v>10.2108472</v>
      </c>
      <c r="E23" s="1008">
        <v>13.043042</v>
      </c>
      <c r="F23" s="1008">
        <v>12.7852389</v>
      </c>
      <c r="G23" s="1061">
        <v>8.9891895000000002</v>
      </c>
      <c r="H23" s="1062"/>
      <c r="I23" s="1067"/>
      <c r="J23" s="1067"/>
      <c r="K23" s="1066"/>
    </row>
    <row r="24" spans="2:15" x14ac:dyDescent="0.25">
      <c r="B24" s="1057">
        <v>2012</v>
      </c>
      <c r="C24" s="1015">
        <v>7.3816059640000002</v>
      </c>
      <c r="D24" s="1016">
        <v>10.983012199999999</v>
      </c>
      <c r="E24" s="1016">
        <v>14.1041095</v>
      </c>
      <c r="F24" s="1016">
        <v>13.9780652</v>
      </c>
      <c r="G24" s="1063">
        <v>9.8047636399999991</v>
      </c>
      <c r="H24" s="1062"/>
      <c r="I24" s="1067"/>
      <c r="J24" s="1067"/>
      <c r="K24" s="1066"/>
    </row>
    <row r="25" spans="2:15" x14ac:dyDescent="0.25">
      <c r="B25" s="1006">
        <v>2013</v>
      </c>
      <c r="C25" s="1007">
        <v>7.5023070970000001</v>
      </c>
      <c r="D25" s="1008">
        <v>10.907997099999999</v>
      </c>
      <c r="E25" s="1008">
        <v>14.170105599999999</v>
      </c>
      <c r="F25" s="1008">
        <v>13.259696699999999</v>
      </c>
      <c r="G25" s="1061">
        <v>9.9305281900000004</v>
      </c>
      <c r="H25" s="1062"/>
      <c r="I25" s="1067"/>
      <c r="J25" s="1067"/>
      <c r="K25" s="1066"/>
    </row>
    <row r="26" spans="2:15" x14ac:dyDescent="0.25">
      <c r="B26" s="1014">
        <v>2014</v>
      </c>
      <c r="C26" s="1068">
        <v>8.0312491311083765</v>
      </c>
      <c r="D26" s="1069">
        <v>12.301411987957612</v>
      </c>
      <c r="E26" s="1069">
        <v>15.78132862713845</v>
      </c>
      <c r="F26" s="1069">
        <v>13.303554800411794</v>
      </c>
      <c r="G26" s="1070">
        <v>10.783782050828687</v>
      </c>
      <c r="H26" s="1062"/>
    </row>
    <row r="27" spans="2:15" x14ac:dyDescent="0.25">
      <c r="B27" s="1006">
        <v>2015</v>
      </c>
      <c r="C27" s="1007">
        <v>7.7017087933678923</v>
      </c>
      <c r="D27" s="1008">
        <v>12.270698485647618</v>
      </c>
      <c r="E27" s="1008">
        <v>15.568993167433268</v>
      </c>
      <c r="F27" s="1008">
        <v>13.669802678698016</v>
      </c>
      <c r="G27" s="1061">
        <v>10.487588121433216</v>
      </c>
      <c r="H27" s="1062"/>
    </row>
    <row r="28" spans="2:15" x14ac:dyDescent="0.25">
      <c r="B28" s="1014">
        <v>2016</v>
      </c>
      <c r="C28" s="1068">
        <v>7.3001152641734652</v>
      </c>
      <c r="D28" s="1069">
        <v>12.4</v>
      </c>
      <c r="E28" s="1069">
        <v>16.075329350197936</v>
      </c>
      <c r="F28" s="1069">
        <v>15.225606159678609</v>
      </c>
      <c r="G28" s="1070">
        <v>10.26</v>
      </c>
      <c r="H28" s="1062"/>
    </row>
    <row r="29" spans="2:15" x14ac:dyDescent="0.25">
      <c r="B29" s="1006">
        <v>2017</v>
      </c>
      <c r="C29" s="1007">
        <v>6.9093560973171986</v>
      </c>
      <c r="D29" s="1008">
        <v>12.36150458399511</v>
      </c>
      <c r="E29" s="1008">
        <v>16.498263611023503</v>
      </c>
      <c r="F29" s="1008">
        <v>15.901634872294261</v>
      </c>
      <c r="G29" s="1061">
        <v>10.1297346553573</v>
      </c>
      <c r="H29" s="1062"/>
    </row>
    <row r="30" spans="2:15" x14ac:dyDescent="0.25">
      <c r="B30" s="1014">
        <v>2018</v>
      </c>
      <c r="C30" s="1068">
        <v>6.8268639100443682</v>
      </c>
      <c r="D30" s="1069">
        <v>12.878542073669545</v>
      </c>
      <c r="E30" s="1069">
        <v>17.262855749113854</v>
      </c>
      <c r="F30" s="1069">
        <v>16.094148722764423</v>
      </c>
      <c r="G30" s="1070">
        <v>10.317820651839202</v>
      </c>
      <c r="H30" s="1062"/>
    </row>
    <row r="31" spans="2:15" x14ac:dyDescent="0.25">
      <c r="B31" s="1006">
        <v>2019</v>
      </c>
      <c r="C31" s="1007">
        <f>('10.10 Fact-CIIU'!C31*100000)/('10.9 Ventas-CIIU'!C31*1000000)</f>
        <v>6.7397943685643487</v>
      </c>
      <c r="D31" s="1008">
        <f>('10.10 Fact-CIIU'!D31*100000)/('10.9 Ventas-CIIU'!E31*1000000)</f>
        <v>12.950614593544486</v>
      </c>
      <c r="E31" s="1008">
        <f>('10.10 Fact-CIIU'!E31*100000)/('10.9 Ventas-CIIU'!G31*1000000)</f>
        <v>17.695675257879802</v>
      </c>
      <c r="F31" s="1008">
        <f>('10.10 Fact-CIIU'!F31*100000)/('10.9 Ventas-CIIU'!I31*1000000)</f>
        <v>17.231541664440272</v>
      </c>
      <c r="G31" s="1061">
        <f>('10.10 Fact-CIIU'!G31*100000)/('10.9 Ventas-CIIU'!K31*1000000)</f>
        <v>10.402008601138379</v>
      </c>
      <c r="H31" s="1062"/>
    </row>
    <row r="32" spans="2:15" x14ac:dyDescent="0.25">
      <c r="B32" s="1014">
        <v>2020</v>
      </c>
      <c r="C32" s="1068">
        <f>('10.10 Fact-CIIU'!C32*100000)/('10.9 Ventas-CIIU'!C32*1000000)</f>
        <v>6.6898167227717495</v>
      </c>
      <c r="D32" s="1069">
        <f>('10.10 Fact-CIIU'!D32*100000)/('10.9 Ventas-CIIU'!E32*1000000)</f>
        <v>12.988429168125307</v>
      </c>
      <c r="E32" s="1069">
        <f>('10.10 Fact-CIIU'!E32*100000)/('10.9 Ventas-CIIU'!G32*1000000)</f>
        <v>17.378445494673276</v>
      </c>
      <c r="F32" s="1069">
        <f>('10.10 Fact-CIIU'!F32*100000)/('10.9 Ventas-CIIU'!I32*1000000)</f>
        <v>16.968732144480366</v>
      </c>
      <c r="G32" s="1070">
        <f>('10.10 Fact-CIIU'!G32*100000)/('10.9 Ventas-CIIU'!K32*1000000)</f>
        <v>10.472992945162083</v>
      </c>
      <c r="H32" s="1062"/>
    </row>
    <row r="33" spans="2:16" x14ac:dyDescent="0.25">
      <c r="B33" s="1006">
        <v>2021</v>
      </c>
      <c r="C33" s="1007">
        <f>('10.10 Fact-CIIU'!C33*100000)/('10.9 Ventas-CIIU'!C33*1000000)</f>
        <v>6.3724182755427767</v>
      </c>
      <c r="D33" s="1008">
        <f>('10.10 Fact-CIIU'!D33*100000)/('10.9 Ventas-CIIU'!E33*1000000)</f>
        <v>12.410461583796062</v>
      </c>
      <c r="E33" s="1008">
        <f>('10.10 Fact-CIIU'!E33*100000)/('10.9 Ventas-CIIU'!G33*1000000)</f>
        <v>17.357864204119331</v>
      </c>
      <c r="F33" s="1008">
        <f>('10.10 Fact-CIIU'!F33*100000)/('10.9 Ventas-CIIU'!I33*1000000)</f>
        <v>16.479207499626959</v>
      </c>
      <c r="G33" s="1061">
        <f>('10.10 Fact-CIIU'!G33*100000)/('10.9 Ventas-CIIU'!K33*1000000)</f>
        <v>9.9533682832236376</v>
      </c>
      <c r="H33" s="1062"/>
    </row>
    <row r="34" spans="2:16" x14ac:dyDescent="0.25">
      <c r="B34" s="1014">
        <v>2022</v>
      </c>
      <c r="C34" s="1068">
        <f>('10.10 Fact-CIIU'!C34*100000)/('10.9 Ventas-CIIU'!C34*1000000)</f>
        <v>6.9971207835475351</v>
      </c>
      <c r="D34" s="1069">
        <f>('10.10 Fact-CIIU'!D34*100000)/('10.9 Ventas-CIIU'!E34*1000000)</f>
        <v>13.872790441589812</v>
      </c>
      <c r="E34" s="1069">
        <f>('10.10 Fact-CIIU'!E34*100000)/('10.9 Ventas-CIIU'!G34*1000000)</f>
        <v>19.220202810195573</v>
      </c>
      <c r="F34" s="1069">
        <f>('10.10 Fact-CIIU'!F34*100000)/('10.9 Ventas-CIIU'!I34*1000000)</f>
        <v>18.389128354264717</v>
      </c>
      <c r="G34" s="1070">
        <f>('10.10 Fact-CIIU'!G34*100000)/('10.9 Ventas-CIIU'!K34*1000000)</f>
        <v>10.924311533046922</v>
      </c>
      <c r="H34" s="1062"/>
    </row>
    <row r="35" spans="2:16" x14ac:dyDescent="0.25">
      <c r="B35" s="1020">
        <v>2023</v>
      </c>
      <c r="C35" s="1007">
        <f>('10.10 Fact-CIIU'!C35*100000)/('10.9 Ventas-CIIU'!C35*1000000)</f>
        <v>7.4757877653652605</v>
      </c>
      <c r="D35" s="1008">
        <f>('10.10 Fact-CIIU'!D35*100000)/('10.9 Ventas-CIIU'!E35*1000000)</f>
        <v>14.577624070512309</v>
      </c>
      <c r="E35" s="1008">
        <f>('10.10 Fact-CIIU'!E35*100000)/('10.9 Ventas-CIIU'!G35*1000000)</f>
        <v>19.722702692521839</v>
      </c>
      <c r="F35" s="1008">
        <f>('10.10 Fact-CIIU'!F35*100000)/('10.9 Ventas-CIIU'!I35*1000000)</f>
        <v>19.618311736546843</v>
      </c>
      <c r="G35" s="1061">
        <f>('10.10 Fact-CIIU'!G35*100000)/('10.9 Ventas-CIIU'!K35*1000000)</f>
        <v>11.483870357276341</v>
      </c>
      <c r="H35" s="1062"/>
    </row>
    <row r="36" spans="2:16" ht="14.25" thickBot="1" x14ac:dyDescent="0.3">
      <c r="B36" s="1057"/>
      <c r="C36" s="1058"/>
      <c r="D36" s="1059"/>
      <c r="E36" s="1059"/>
      <c r="F36" s="1059"/>
      <c r="G36" s="1060"/>
      <c r="H36" s="1062"/>
      <c r="L36" s="987"/>
      <c r="M36" s="987"/>
      <c r="N36" s="987"/>
      <c r="O36" s="987"/>
      <c r="P36" s="987"/>
    </row>
    <row r="37" spans="2:16" x14ac:dyDescent="0.25">
      <c r="B37" s="508" t="s">
        <v>326</v>
      </c>
      <c r="C37" s="1071">
        <f>(C35/C34)-1</f>
        <v>6.8409135217906147E-2</v>
      </c>
      <c r="D37" s="804">
        <f t="shared" ref="D37:G37" si="0">(D35/D34)-1</f>
        <v>5.0806910973689057E-2</v>
      </c>
      <c r="E37" s="804">
        <f t="shared" si="0"/>
        <v>2.614435900019263E-2</v>
      </c>
      <c r="F37" s="804">
        <f t="shared" si="0"/>
        <v>6.684293886050674E-2</v>
      </c>
      <c r="G37" s="1072">
        <f t="shared" si="0"/>
        <v>5.1221426863991226E-2</v>
      </c>
      <c r="H37" s="1056"/>
      <c r="L37" s="987"/>
      <c r="M37" s="987"/>
      <c r="N37" s="987"/>
      <c r="O37" s="987"/>
      <c r="P37" s="987"/>
    </row>
    <row r="38" spans="2:16" x14ac:dyDescent="0.25">
      <c r="B38" s="513" t="s">
        <v>327</v>
      </c>
      <c r="C38" s="1073">
        <f>((C35/C30)^(1/5))-1</f>
        <v>1.8326729760217653E-2</v>
      </c>
      <c r="D38" s="813">
        <f t="shared" ref="D38:G38" si="1">((D35/D30)^(1/5))-1</f>
        <v>2.5094749432232888E-2</v>
      </c>
      <c r="E38" s="813">
        <f t="shared" si="1"/>
        <v>2.7000741843063336E-2</v>
      </c>
      <c r="F38" s="813">
        <f t="shared" si="1"/>
        <v>4.0396120734949026E-2</v>
      </c>
      <c r="G38" s="1074">
        <f t="shared" si="1"/>
        <v>2.1645111567004438E-2</v>
      </c>
      <c r="H38" s="1056"/>
      <c r="J38" s="1066"/>
      <c r="K38" s="1066"/>
      <c r="L38" s="987"/>
      <c r="M38" s="987"/>
      <c r="N38" s="987"/>
      <c r="O38" s="987"/>
      <c r="P38" s="987"/>
    </row>
    <row r="39" spans="2:16" x14ac:dyDescent="0.25">
      <c r="B39" s="516" t="s">
        <v>328</v>
      </c>
      <c r="C39" s="1075">
        <f>(C35/C25)-1</f>
        <v>-3.5348235271979167E-3</v>
      </c>
      <c r="D39" s="1030">
        <f t="shared" ref="D39:G39" si="2">(D35/D25)-1</f>
        <v>0.3364162033479372</v>
      </c>
      <c r="E39" s="1030">
        <f t="shared" si="2"/>
        <v>0.39185290845834198</v>
      </c>
      <c r="F39" s="1030">
        <f t="shared" si="2"/>
        <v>0.47954453110129158</v>
      </c>
      <c r="G39" s="1076">
        <f t="shared" si="2"/>
        <v>0.15642090103933737</v>
      </c>
      <c r="H39" s="1056"/>
      <c r="J39" s="1066"/>
      <c r="K39" s="1066"/>
      <c r="L39" s="1066"/>
      <c r="M39" s="1066"/>
      <c r="N39" s="1066"/>
    </row>
    <row r="40" spans="2:16" ht="14.25" thickBot="1" x14ac:dyDescent="0.3">
      <c r="B40" s="519" t="s">
        <v>329</v>
      </c>
      <c r="C40" s="1077">
        <f>((C35/C25)^(1/10))-1</f>
        <v>-3.5404588871112974E-4</v>
      </c>
      <c r="D40" s="1034">
        <f t="shared" ref="D40:G40" si="3">((D35/D25)^(1/10))-1</f>
        <v>2.9423725234648979E-2</v>
      </c>
      <c r="E40" s="1034">
        <f t="shared" si="3"/>
        <v>3.3616263478301489E-2</v>
      </c>
      <c r="F40" s="1034">
        <f t="shared" si="3"/>
        <v>3.9950825763359177E-2</v>
      </c>
      <c r="G40" s="1078">
        <f t="shared" si="3"/>
        <v>1.4639097727331407E-2</v>
      </c>
      <c r="H40" s="1056"/>
      <c r="I40" s="1067"/>
      <c r="J40" s="1066"/>
      <c r="K40" s="1066"/>
      <c r="L40" s="1066"/>
      <c r="M40" s="1066"/>
      <c r="N40" s="1066"/>
    </row>
    <row r="41" spans="2:16" x14ac:dyDescent="0.25">
      <c r="B41" s="1079" t="s">
        <v>60</v>
      </c>
      <c r="H41" s="1056"/>
    </row>
    <row r="42" spans="2:16" x14ac:dyDescent="0.25">
      <c r="B42" s="1079"/>
      <c r="H42" s="1056"/>
    </row>
    <row r="43" spans="2:16" ht="15.75" x14ac:dyDescent="0.25">
      <c r="C43" s="954"/>
      <c r="D43" s="954"/>
      <c r="E43" s="954"/>
      <c r="F43" s="1080"/>
      <c r="G43" s="1081"/>
      <c r="H43" s="1056"/>
    </row>
    <row r="44" spans="2:16" ht="15.75" x14ac:dyDescent="0.25">
      <c r="C44" s="954"/>
      <c r="D44" s="954"/>
      <c r="E44" s="954"/>
      <c r="F44" s="1080"/>
      <c r="G44" s="1081"/>
      <c r="H44" s="1056"/>
    </row>
    <row r="45" spans="2:16" ht="15.75" x14ac:dyDescent="0.25">
      <c r="B45" s="524"/>
      <c r="C45" s="954"/>
      <c r="D45" s="954"/>
      <c r="E45" s="954"/>
      <c r="F45" s="1080"/>
      <c r="G45" s="1081"/>
      <c r="H45" s="1056"/>
    </row>
    <row r="46" spans="2:16" x14ac:dyDescent="0.25">
      <c r="H46" s="1056"/>
    </row>
  </sheetData>
  <mergeCells count="2">
    <mergeCell ref="B4:B5"/>
    <mergeCell ref="C4:G4"/>
  </mergeCells>
  <pageMargins left="0.9" right="0.05" top="0.94" bottom="1" header="0" footer="0"/>
  <pageSetup paperSize="9" scale="7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42"/>
  <sheetViews>
    <sheetView showGridLines="0" view="pageBreakPreview" zoomScaleNormal="90" zoomScaleSheetLayoutView="100" workbookViewId="0">
      <selection activeCell="M50" sqref="M50"/>
    </sheetView>
  </sheetViews>
  <sheetFormatPr baseColWidth="10" defaultRowHeight="13.5" x14ac:dyDescent="0.25"/>
  <cols>
    <col min="1" max="1" width="2.85546875" style="437" customWidth="1"/>
    <col min="2" max="2" width="21.140625" style="437" customWidth="1"/>
    <col min="3" max="3" width="24.28515625" style="437" customWidth="1"/>
    <col min="4" max="6" width="18.140625" style="437" customWidth="1"/>
    <col min="7" max="7" width="19.5703125" style="437" customWidth="1"/>
    <col min="8" max="8" width="18.140625" style="437" customWidth="1"/>
    <col min="9" max="9" width="0.42578125" style="437" customWidth="1"/>
    <col min="10" max="10" width="13.85546875" style="437" customWidth="1"/>
    <col min="11" max="11" width="15.85546875" style="437" customWidth="1"/>
    <col min="12" max="13" width="13.42578125" style="437" customWidth="1"/>
    <col min="14" max="14" width="12.42578125" style="437" customWidth="1"/>
    <col min="15" max="15" width="49.28515625" style="437" customWidth="1"/>
    <col min="16" max="16" width="2.85546875" style="437" customWidth="1"/>
    <col min="17" max="16384" width="11.42578125" style="437"/>
  </cols>
  <sheetData>
    <row r="1" spans="1:16" ht="15.75" x14ac:dyDescent="0.25">
      <c r="A1" s="851" t="s">
        <v>62</v>
      </c>
    </row>
    <row r="2" spans="1:16" ht="18" x14ac:dyDescent="0.25">
      <c r="B2" s="704"/>
    </row>
    <row r="3" spans="1:16" ht="14.25" thickBot="1" x14ac:dyDescent="0.3">
      <c r="B3" s="1248"/>
    </row>
    <row r="4" spans="1:16" ht="15" customHeight="1" x14ac:dyDescent="0.25">
      <c r="B4" s="852" t="s">
        <v>18</v>
      </c>
      <c r="C4" s="1249" t="s">
        <v>51</v>
      </c>
      <c r="D4" s="1087" t="s">
        <v>52</v>
      </c>
      <c r="E4" s="1250"/>
      <c r="F4" s="1250"/>
      <c r="G4" s="1251" t="s">
        <v>353</v>
      </c>
      <c r="H4" s="1252" t="s">
        <v>13</v>
      </c>
    </row>
    <row r="5" spans="1:16" ht="15" customHeight="1" x14ac:dyDescent="0.25">
      <c r="B5" s="857"/>
      <c r="C5" s="1253" t="s">
        <v>0</v>
      </c>
      <c r="D5" s="948" t="s">
        <v>0</v>
      </c>
      <c r="E5" s="948" t="s">
        <v>10</v>
      </c>
      <c r="F5" s="948" t="s">
        <v>11</v>
      </c>
      <c r="G5" s="1254"/>
      <c r="H5" s="1255" t="s">
        <v>53</v>
      </c>
    </row>
    <row r="6" spans="1:16" x14ac:dyDescent="0.25">
      <c r="A6" s="577"/>
      <c r="B6" s="1256"/>
      <c r="C6" s="1257"/>
      <c r="D6" s="1258"/>
      <c r="E6" s="1258"/>
      <c r="F6" s="1258"/>
      <c r="G6" s="1259"/>
      <c r="H6" s="1260"/>
    </row>
    <row r="7" spans="1:16" ht="14.25" x14ac:dyDescent="0.3">
      <c r="A7" s="577"/>
      <c r="B7" s="1261">
        <v>1995</v>
      </c>
      <c r="C7" s="1262">
        <f t="shared" ref="C7:C16" si="0">SUM(E7+F7+H7)</f>
        <v>13623.056128000004</v>
      </c>
      <c r="D7" s="1263">
        <f>+E7+F7</f>
        <v>9849.2561280000045</v>
      </c>
      <c r="E7" s="1264">
        <v>8673.7080870000045</v>
      </c>
      <c r="F7" s="1264">
        <v>1175.548041</v>
      </c>
      <c r="G7" s="1265"/>
      <c r="H7" s="1266">
        <v>3773.8</v>
      </c>
      <c r="J7" s="954"/>
      <c r="K7" s="1267"/>
      <c r="N7" s="1065"/>
      <c r="O7" s="1065"/>
    </row>
    <row r="8" spans="1:16" ht="14.25" x14ac:dyDescent="0.3">
      <c r="A8" s="577"/>
      <c r="B8" s="615">
        <v>1996</v>
      </c>
      <c r="C8" s="1268">
        <f t="shared" si="0"/>
        <v>14303.139597999991</v>
      </c>
      <c r="D8" s="1269">
        <f t="shared" ref="D8:D16" si="1">+E8+F8</f>
        <v>10330.839597999991</v>
      </c>
      <c r="E8" s="1270">
        <v>8770.6107359999914</v>
      </c>
      <c r="F8" s="1270">
        <v>1560.2288619999999</v>
      </c>
      <c r="G8" s="1271"/>
      <c r="H8" s="1272">
        <v>3972.3</v>
      </c>
      <c r="J8" s="954"/>
      <c r="K8" s="1267"/>
      <c r="N8" s="983"/>
      <c r="O8" s="983"/>
      <c r="P8" s="983"/>
    </row>
    <row r="9" spans="1:16" ht="14.25" x14ac:dyDescent="0.3">
      <c r="A9" s="577"/>
      <c r="B9" s="1261">
        <v>1997</v>
      </c>
      <c r="C9" s="1262">
        <f t="shared" si="0"/>
        <v>15056.08015999999</v>
      </c>
      <c r="D9" s="1263">
        <f t="shared" si="1"/>
        <v>12451.23015999999</v>
      </c>
      <c r="E9" s="1264">
        <v>9377.8946799999903</v>
      </c>
      <c r="F9" s="1264">
        <v>3073.3354799999997</v>
      </c>
      <c r="G9" s="1265"/>
      <c r="H9" s="1266">
        <v>2604.85</v>
      </c>
      <c r="J9" s="954"/>
      <c r="K9" s="1267"/>
      <c r="N9" s="983"/>
      <c r="O9" s="983"/>
      <c r="P9" s="983"/>
    </row>
    <row r="10" spans="1:16" ht="14.25" x14ac:dyDescent="0.3">
      <c r="A10" s="577"/>
      <c r="B10" s="615">
        <v>1998</v>
      </c>
      <c r="C10" s="1268">
        <f t="shared" si="0"/>
        <v>15775.176823</v>
      </c>
      <c r="D10" s="1269">
        <f t="shared" si="1"/>
        <v>14008.576822999999</v>
      </c>
      <c r="E10" s="1270">
        <v>9878.6615729999976</v>
      </c>
      <c r="F10" s="1270">
        <v>4129.9152500000009</v>
      </c>
      <c r="G10" s="1271"/>
      <c r="H10" s="1272">
        <v>1766.6</v>
      </c>
      <c r="J10" s="954"/>
      <c r="K10" s="1267"/>
      <c r="N10" s="983"/>
      <c r="O10" s="983"/>
      <c r="P10" s="983"/>
    </row>
    <row r="11" spans="1:16" ht="14.25" x14ac:dyDescent="0.3">
      <c r="A11" s="577"/>
      <c r="B11" s="1261">
        <v>1999</v>
      </c>
      <c r="C11" s="1262">
        <f t="shared" si="0"/>
        <v>16274.991559000011</v>
      </c>
      <c r="D11" s="1263">
        <f t="shared" si="1"/>
        <v>14591.991559000011</v>
      </c>
      <c r="E11" s="1264">
        <v>10198.991027000011</v>
      </c>
      <c r="F11" s="1264">
        <v>4393.000532</v>
      </c>
      <c r="G11" s="1265"/>
      <c r="H11" s="1266">
        <v>1683</v>
      </c>
      <c r="J11" s="954"/>
      <c r="K11" s="1267"/>
      <c r="N11" s="983"/>
      <c r="O11" s="983"/>
      <c r="P11" s="983"/>
    </row>
    <row r="12" spans="1:16" ht="14.25" x14ac:dyDescent="0.3">
      <c r="A12" s="577"/>
      <c r="B12" s="615">
        <v>2000</v>
      </c>
      <c r="C12" s="1268">
        <f t="shared" si="0"/>
        <v>17140.395011000015</v>
      </c>
      <c r="D12" s="1269">
        <f t="shared" si="1"/>
        <v>15545.595392000014</v>
      </c>
      <c r="E12" s="1270">
        <v>10763.269271000014</v>
      </c>
      <c r="F12" s="1270">
        <v>4782.3261210000001</v>
      </c>
      <c r="G12" s="1271"/>
      <c r="H12" s="1272">
        <v>1594.7996189999999</v>
      </c>
      <c r="J12" s="954"/>
      <c r="K12" s="1267"/>
    </row>
    <row r="13" spans="1:16" ht="14.25" x14ac:dyDescent="0.3">
      <c r="A13" s="577"/>
      <c r="B13" s="1261">
        <v>2001</v>
      </c>
      <c r="C13" s="1262">
        <f t="shared" si="0"/>
        <v>18199.95454499999</v>
      </c>
      <c r="D13" s="1263">
        <f t="shared" si="1"/>
        <v>16628.754544999989</v>
      </c>
      <c r="E13" s="1264">
        <v>10522.374724999987</v>
      </c>
      <c r="F13" s="1264">
        <v>6106.3798200000001</v>
      </c>
      <c r="G13" s="1265"/>
      <c r="H13" s="1266">
        <v>1571.2</v>
      </c>
      <c r="J13" s="954"/>
      <c r="K13" s="1267"/>
      <c r="O13" s="983"/>
    </row>
    <row r="14" spans="1:16" ht="14.25" x14ac:dyDescent="0.3">
      <c r="A14" s="577"/>
      <c r="B14" s="615">
        <v>2002</v>
      </c>
      <c r="C14" s="1268">
        <f t="shared" si="0"/>
        <v>19168.140412848003</v>
      </c>
      <c r="D14" s="1269">
        <f t="shared" si="1"/>
        <v>17605.325913847999</v>
      </c>
      <c r="E14" s="1270">
        <v>11113.547163000001</v>
      </c>
      <c r="F14" s="1270">
        <v>6491.7787508479996</v>
      </c>
      <c r="G14" s="1271"/>
      <c r="H14" s="1272">
        <v>1562.8144990000035</v>
      </c>
      <c r="J14" s="954"/>
      <c r="K14" s="1267"/>
      <c r="O14" s="983"/>
    </row>
    <row r="15" spans="1:16" ht="14.25" x14ac:dyDescent="0.3">
      <c r="A15" s="577"/>
      <c r="B15" s="489">
        <v>2003</v>
      </c>
      <c r="C15" s="1262">
        <f>SUM(E15+F15+H15)</f>
        <v>19937.226353999995</v>
      </c>
      <c r="D15" s="1263">
        <f t="shared" si="1"/>
        <v>18375.335409999996</v>
      </c>
      <c r="E15" s="1264">
        <v>11303.613572999999</v>
      </c>
      <c r="F15" s="1264">
        <v>7071.7218369999982</v>
      </c>
      <c r="G15" s="1265"/>
      <c r="H15" s="1266">
        <v>1561.8909439999998</v>
      </c>
      <c r="J15" s="954"/>
      <c r="K15" s="1267"/>
      <c r="O15" s="983"/>
    </row>
    <row r="16" spans="1:16" ht="14.25" x14ac:dyDescent="0.3">
      <c r="A16" s="577"/>
      <c r="B16" s="615">
        <v>2004</v>
      </c>
      <c r="C16" s="1268">
        <f t="shared" si="0"/>
        <v>21287.724389999999</v>
      </c>
      <c r="D16" s="1269">
        <f t="shared" si="1"/>
        <v>19640.651109999999</v>
      </c>
      <c r="E16" s="1270">
        <v>12001.305316</v>
      </c>
      <c r="F16" s="1270">
        <v>7639.3457940000008</v>
      </c>
      <c r="G16" s="1271"/>
      <c r="H16" s="1272">
        <v>1647.0732800000003</v>
      </c>
      <c r="J16" s="954"/>
      <c r="K16" s="1267"/>
      <c r="O16" s="983"/>
    </row>
    <row r="17" spans="1:15" ht="14.25" x14ac:dyDescent="0.3">
      <c r="A17" s="577"/>
      <c r="B17" s="1261">
        <v>2005</v>
      </c>
      <c r="C17" s="1262">
        <f t="shared" ref="C17:C25" si="2">SUM(E17+F17+H17)</f>
        <v>22400.244750429476</v>
      </c>
      <c r="D17" s="1263">
        <f t="shared" ref="D17:D25" si="3">+E17+F17</f>
        <v>20701.382880222223</v>
      </c>
      <c r="E17" s="1264">
        <v>12914.287800222222</v>
      </c>
      <c r="F17" s="1264">
        <v>7787.095080000001</v>
      </c>
      <c r="G17" s="1265"/>
      <c r="H17" s="1266">
        <v>1698.8618702072531</v>
      </c>
      <c r="J17" s="954"/>
      <c r="K17" s="1267"/>
      <c r="O17" s="983"/>
    </row>
    <row r="18" spans="1:15" ht="14.25" x14ac:dyDescent="0.3">
      <c r="A18" s="577"/>
      <c r="B18" s="615">
        <v>2006</v>
      </c>
      <c r="C18" s="1268">
        <f t="shared" si="2"/>
        <v>24046.126090621408</v>
      </c>
      <c r="D18" s="1269">
        <f t="shared" si="3"/>
        <v>22290.061152999995</v>
      </c>
      <c r="E18" s="1270">
        <v>14043.638326999999</v>
      </c>
      <c r="F18" s="1270">
        <v>8246.4228259999982</v>
      </c>
      <c r="G18" s="1271"/>
      <c r="H18" s="1272">
        <v>1756.0649376214139</v>
      </c>
      <c r="J18" s="954"/>
      <c r="K18" s="1267"/>
      <c r="O18" s="983"/>
    </row>
    <row r="19" spans="1:15" ht="14.25" x14ac:dyDescent="0.3">
      <c r="A19" s="577"/>
      <c r="B19" s="1261">
        <v>2007</v>
      </c>
      <c r="C19" s="1262">
        <f t="shared" si="2"/>
        <v>26464.304604659999</v>
      </c>
      <c r="D19" s="1263">
        <f t="shared" si="3"/>
        <v>24721.748552999998</v>
      </c>
      <c r="E19" s="1264">
        <v>15032.180854999999</v>
      </c>
      <c r="F19" s="1264">
        <v>9689.5676979999989</v>
      </c>
      <c r="G19" s="1265"/>
      <c r="H19" s="1266">
        <v>1742.5560516600001</v>
      </c>
      <c r="K19" s="1267"/>
      <c r="O19" s="983"/>
    </row>
    <row r="20" spans="1:15" ht="14.25" x14ac:dyDescent="0.3">
      <c r="A20" s="577"/>
      <c r="B20" s="615">
        <v>2008</v>
      </c>
      <c r="C20" s="1268">
        <f t="shared" si="2"/>
        <v>28833.06706300001</v>
      </c>
      <c r="D20" s="1269">
        <f t="shared" si="3"/>
        <v>26964.41459600001</v>
      </c>
      <c r="E20" s="1270">
        <v>16297.176545000008</v>
      </c>
      <c r="F20" s="1270">
        <v>10667.238051000004</v>
      </c>
      <c r="G20" s="1271"/>
      <c r="H20" s="1272">
        <v>1868.6524669999999</v>
      </c>
      <c r="K20" s="1267"/>
      <c r="O20" s="983"/>
    </row>
    <row r="21" spans="1:15" ht="14.25" x14ac:dyDescent="0.3">
      <c r="A21" s="577"/>
      <c r="B21" s="489">
        <v>2009</v>
      </c>
      <c r="C21" s="1262">
        <f t="shared" si="2"/>
        <v>29109.838815000003</v>
      </c>
      <c r="D21" s="1263">
        <f t="shared" si="3"/>
        <v>27087.005777000002</v>
      </c>
      <c r="E21" s="1264">
        <v>17000.664145000002</v>
      </c>
      <c r="F21" s="1264">
        <v>10086.341632</v>
      </c>
      <c r="G21" s="1265"/>
      <c r="H21" s="1266">
        <v>2022.8330379999998</v>
      </c>
      <c r="K21" s="1267"/>
      <c r="O21" s="983"/>
    </row>
    <row r="22" spans="1:15" ht="14.25" x14ac:dyDescent="0.3">
      <c r="A22" s="577"/>
      <c r="B22" s="495">
        <v>2010</v>
      </c>
      <c r="C22" s="1268">
        <f t="shared" si="2"/>
        <v>31798.367258000002</v>
      </c>
      <c r="D22" s="1269">
        <f t="shared" si="3"/>
        <v>29436.175124000001</v>
      </c>
      <c r="E22" s="1270">
        <v>18195.325098000001</v>
      </c>
      <c r="F22" s="1270">
        <v>11240.850026</v>
      </c>
      <c r="G22" s="1271"/>
      <c r="H22" s="1272">
        <v>2362.1921340000008</v>
      </c>
      <c r="K22" s="1267"/>
      <c r="O22" s="983"/>
    </row>
    <row r="23" spans="1:15" ht="14.25" x14ac:dyDescent="0.3">
      <c r="A23" s="577"/>
      <c r="B23" s="489">
        <v>2011</v>
      </c>
      <c r="C23" s="1262">
        <f t="shared" si="2"/>
        <v>34378.279759024772</v>
      </c>
      <c r="D23" s="1263">
        <f t="shared" si="3"/>
        <v>31820.350805251102</v>
      </c>
      <c r="E23" s="1264">
        <v>19753.040698251105</v>
      </c>
      <c r="F23" s="1264">
        <v>12067.310106999999</v>
      </c>
      <c r="G23" s="1265"/>
      <c r="H23" s="1266">
        <v>2557.9289537736718</v>
      </c>
      <c r="K23" s="1267"/>
      <c r="O23" s="983"/>
    </row>
    <row r="24" spans="1:15" ht="14.25" x14ac:dyDescent="0.3">
      <c r="A24" s="577"/>
      <c r="B24" s="495">
        <v>2012</v>
      </c>
      <c r="C24" s="1268">
        <f t="shared" si="2"/>
        <v>36323.13966340795</v>
      </c>
      <c r="D24" s="1269">
        <f t="shared" si="3"/>
        <v>33648.185935000001</v>
      </c>
      <c r="E24" s="1270">
        <v>20947.295381</v>
      </c>
      <c r="F24" s="1270">
        <v>12700.890554</v>
      </c>
      <c r="G24" s="1271"/>
      <c r="H24" s="1272">
        <v>2674.953728407947</v>
      </c>
      <c r="K24" s="1267"/>
      <c r="O24" s="983"/>
    </row>
    <row r="25" spans="1:15" ht="14.25" x14ac:dyDescent="0.3">
      <c r="A25" s="577"/>
      <c r="B25" s="489">
        <v>2013</v>
      </c>
      <c r="C25" s="1262">
        <f t="shared" si="2"/>
        <v>38275.164241306404</v>
      </c>
      <c r="D25" s="1263">
        <f t="shared" si="3"/>
        <v>35609.652699999999</v>
      </c>
      <c r="E25" s="1264">
        <v>21935.480477000001</v>
      </c>
      <c r="F25" s="1264">
        <v>13674.172223</v>
      </c>
      <c r="G25" s="1265"/>
      <c r="H25" s="1266">
        <v>2665.5115413064059</v>
      </c>
      <c r="J25" s="1273"/>
      <c r="K25" s="1273"/>
      <c r="L25" s="1273"/>
      <c r="M25" s="1273"/>
      <c r="N25" s="1273"/>
      <c r="O25" s="983"/>
    </row>
    <row r="26" spans="1:15" ht="14.25" x14ac:dyDescent="0.3">
      <c r="A26" s="577"/>
      <c r="B26" s="495">
        <v>2014</v>
      </c>
      <c r="C26" s="1268">
        <f>SUM(E26+F26+H26)</f>
        <v>40029.372901330993</v>
      </c>
      <c r="D26" s="1269">
        <f>+E26+F26</f>
        <v>37325.801058197198</v>
      </c>
      <c r="E26" s="1270">
        <f>22779.9960573972</f>
        <v>22779.996057397198</v>
      </c>
      <c r="F26" s="1270">
        <v>14545.805000799999</v>
      </c>
      <c r="G26" s="1271"/>
      <c r="H26" s="1272">
        <v>2703.5718431337964</v>
      </c>
      <c r="K26" s="1267"/>
      <c r="O26" s="983"/>
    </row>
    <row r="27" spans="1:15" ht="14.25" x14ac:dyDescent="0.3">
      <c r="A27" s="577"/>
      <c r="B27" s="489">
        <v>2015</v>
      </c>
      <c r="C27" s="1262">
        <f>SUM(E27+F27+H27)</f>
        <v>42333.76078033018</v>
      </c>
      <c r="D27" s="1263">
        <f>+E27+F27</f>
        <v>39774.744600000005</v>
      </c>
      <c r="E27" s="1264">
        <v>23494.010900000001</v>
      </c>
      <c r="F27" s="1264">
        <v>16280.733700000001</v>
      </c>
      <c r="G27" s="1265"/>
      <c r="H27" s="1266">
        <v>2559.0161803301708</v>
      </c>
      <c r="K27" s="1267"/>
      <c r="O27" s="983"/>
    </row>
    <row r="28" spans="1:15" ht="14.25" x14ac:dyDescent="0.3">
      <c r="A28" s="577"/>
      <c r="B28" s="495">
        <v>2016</v>
      </c>
      <c r="C28" s="1268">
        <f>SUM(E28+F28+H28)</f>
        <v>45532.892131120541</v>
      </c>
      <c r="D28" s="1269">
        <f>+E28+F28</f>
        <v>43366.99911070001</v>
      </c>
      <c r="E28" s="1270">
        <v>22886.332354000002</v>
      </c>
      <c r="F28" s="1270">
        <v>20480.666756700004</v>
      </c>
      <c r="G28" s="1271"/>
      <c r="H28" s="1272">
        <v>2165.8930204205285</v>
      </c>
      <c r="K28" s="1267"/>
      <c r="O28" s="983"/>
    </row>
    <row r="29" spans="1:15" ht="14.25" x14ac:dyDescent="0.3">
      <c r="A29" s="577"/>
      <c r="B29" s="489">
        <v>2017</v>
      </c>
      <c r="C29" s="1262">
        <f>SUM(E29+F29+H29)</f>
        <v>46578.443952766262</v>
      </c>
      <c r="D29" s="1263">
        <f>+E29+F29</f>
        <v>44223.25281726996</v>
      </c>
      <c r="E29" s="1264">
        <v>22399.543247369966</v>
      </c>
      <c r="F29" s="1264">
        <v>21823.709569899995</v>
      </c>
      <c r="G29" s="1265"/>
      <c r="H29" s="1266">
        <v>2355.1911354963022</v>
      </c>
      <c r="K29" s="1267"/>
      <c r="O29" s="983"/>
    </row>
    <row r="30" spans="1:15" ht="14.25" x14ac:dyDescent="0.3">
      <c r="A30" s="577"/>
      <c r="B30" s="495">
        <v>2018</v>
      </c>
      <c r="C30" s="1268">
        <f>SUM(E30+F30+H30)</f>
        <v>48398.55041491711</v>
      </c>
      <c r="D30" s="1269">
        <f>+E30+F30</f>
        <v>45867.787842190068</v>
      </c>
      <c r="E30" s="1270">
        <v>22073.874790390117</v>
      </c>
      <c r="F30" s="1270">
        <v>23793.913051799947</v>
      </c>
      <c r="G30" s="1271"/>
      <c r="H30" s="1272">
        <v>2530.7625727270442</v>
      </c>
      <c r="K30" s="1267"/>
      <c r="O30" s="983"/>
    </row>
    <row r="31" spans="1:15" ht="14.25" x14ac:dyDescent="0.3">
      <c r="A31" s="577"/>
      <c r="B31" s="489">
        <v>2019</v>
      </c>
      <c r="C31" s="1262">
        <f t="shared" ref="C31:C33" si="4">SUM(E31+F31+H31)</f>
        <v>49940.650075603022</v>
      </c>
      <c r="D31" s="1263">
        <f t="shared" ref="D31:D33" si="5">+E31+F31</f>
        <v>47420.737912000004</v>
      </c>
      <c r="E31" s="1264">
        <v>22355.024662000003</v>
      </c>
      <c r="F31" s="1264">
        <v>25065.713250000001</v>
      </c>
      <c r="G31" s="1265"/>
      <c r="H31" s="1266">
        <v>2519.9121636030145</v>
      </c>
      <c r="K31" s="1267"/>
      <c r="O31" s="983"/>
    </row>
    <row r="32" spans="1:15" ht="14.25" x14ac:dyDescent="0.3">
      <c r="A32" s="577"/>
      <c r="B32" s="495">
        <v>2020</v>
      </c>
      <c r="C32" s="1268">
        <f>SUM(E32+F32+H32)</f>
        <v>45837.758694209886</v>
      </c>
      <c r="D32" s="1269">
        <f>+E32+F32</f>
        <v>43751.069368150056</v>
      </c>
      <c r="E32" s="1270">
        <v>20893.361044550002</v>
      </c>
      <c r="F32" s="1270">
        <v>22857.708323600058</v>
      </c>
      <c r="G32" s="1271"/>
      <c r="H32" s="1272">
        <v>2086.6893260598281</v>
      </c>
      <c r="K32" s="1267"/>
      <c r="L32" s="1274"/>
      <c r="O32" s="983"/>
    </row>
    <row r="33" spans="1:15" ht="14.25" x14ac:dyDescent="0.3">
      <c r="A33" s="577"/>
      <c r="B33" s="489">
        <v>2021</v>
      </c>
      <c r="C33" s="1262">
        <f t="shared" si="4"/>
        <v>49913.003918781171</v>
      </c>
      <c r="D33" s="1263">
        <f t="shared" si="5"/>
        <v>48053.743993019503</v>
      </c>
      <c r="E33" s="1264">
        <v>21959.303937619599</v>
      </c>
      <c r="F33" s="1264">
        <v>26094.440055399904</v>
      </c>
      <c r="G33" s="1265"/>
      <c r="H33" s="1266">
        <v>1859.2599257616707</v>
      </c>
      <c r="J33" s="1273"/>
      <c r="K33" s="1267"/>
      <c r="O33" s="983"/>
    </row>
    <row r="34" spans="1:15" ht="14.25" x14ac:dyDescent="0.3">
      <c r="A34" s="577"/>
      <c r="B34" s="495">
        <v>2022</v>
      </c>
      <c r="C34" s="1268">
        <f>SUM(E34+F34+H34)</f>
        <v>52331.202305137296</v>
      </c>
      <c r="D34" s="1269">
        <f>+E34+F34</f>
        <v>50433.086427910021</v>
      </c>
      <c r="E34" s="1270">
        <f>+'10.6 Ventas'!F34</f>
        <v>22653.615047510018</v>
      </c>
      <c r="F34" s="1270">
        <f>+'10.6 Ventas'!I34</f>
        <v>27779.471380399998</v>
      </c>
      <c r="G34" s="1271">
        <v>122.30309299999999</v>
      </c>
      <c r="H34" s="1272">
        <v>1898.1158772272759</v>
      </c>
      <c r="J34" s="1273"/>
      <c r="K34" s="1267"/>
      <c r="O34" s="983"/>
    </row>
    <row r="35" spans="1:15" ht="14.25" x14ac:dyDescent="0.3">
      <c r="A35" s="577"/>
      <c r="B35" s="501">
        <v>2023</v>
      </c>
      <c r="C35" s="1262">
        <f>SUM(E35+F35+G35+H35)</f>
        <v>54655.426537785919</v>
      </c>
      <c r="D35" s="1263">
        <f t="shared" ref="D35" si="6">+E35+F35</f>
        <v>52622.971300300953</v>
      </c>
      <c r="E35" s="1264">
        <v>23870.292829300852</v>
      </c>
      <c r="F35" s="1264">
        <v>28752.678471000097</v>
      </c>
      <c r="G35" s="1265">
        <v>109.28603899999999</v>
      </c>
      <c r="H35" s="1266">
        <v>1923.1691984849688</v>
      </c>
      <c r="J35" s="1273"/>
      <c r="K35" s="1267"/>
      <c r="O35" s="983"/>
    </row>
    <row r="36" spans="1:15" ht="15" thickBot="1" x14ac:dyDescent="0.35">
      <c r="A36" s="577"/>
      <c r="B36" s="1275"/>
      <c r="C36" s="1276"/>
      <c r="D36" s="1277"/>
      <c r="E36" s="1278"/>
      <c r="F36" s="1278"/>
      <c r="G36" s="1279"/>
      <c r="H36" s="1280"/>
      <c r="O36" s="983"/>
    </row>
    <row r="37" spans="1:15" x14ac:dyDescent="0.25">
      <c r="B37" s="508" t="s">
        <v>326</v>
      </c>
      <c r="C37" s="1281">
        <f>(C35/C34)-1</f>
        <v>4.4413736552360028E-2</v>
      </c>
      <c r="D37" s="1282">
        <f t="shared" ref="D37:H37" si="7">(D35/D34)-1</f>
        <v>4.3421591409464666E-2</v>
      </c>
      <c r="E37" s="1282">
        <f t="shared" si="7"/>
        <v>5.3707886323625109E-2</v>
      </c>
      <c r="F37" s="1282">
        <f t="shared" si="7"/>
        <v>3.5033319290832532E-2</v>
      </c>
      <c r="G37" s="1283">
        <f t="shared" si="7"/>
        <v>-0.106432745736038</v>
      </c>
      <c r="H37" s="1284">
        <f t="shared" si="7"/>
        <v>1.3199047307001166E-2</v>
      </c>
    </row>
    <row r="38" spans="1:15" x14ac:dyDescent="0.25">
      <c r="B38" s="513" t="s">
        <v>327</v>
      </c>
      <c r="C38" s="1285">
        <f>((C35/C30)^(1/5))-1</f>
        <v>2.4613766642156198E-2</v>
      </c>
      <c r="D38" s="1286">
        <f t="shared" ref="D38:H38" si="8">((D35/D30)^(1/5))-1</f>
        <v>2.7858932144225079E-2</v>
      </c>
      <c r="E38" s="1287">
        <f t="shared" si="8"/>
        <v>1.5771057822862478E-2</v>
      </c>
      <c r="F38" s="1286">
        <f t="shared" si="8"/>
        <v>3.8586056085023301E-2</v>
      </c>
      <c r="G38" s="1288"/>
      <c r="H38" s="1289">
        <f t="shared" si="8"/>
        <v>-5.3428948942622512E-2</v>
      </c>
    </row>
    <row r="39" spans="1:15" x14ac:dyDescent="0.25">
      <c r="B39" s="516" t="s">
        <v>328</v>
      </c>
      <c r="C39" s="1290">
        <f>(C35/C25)-1</f>
        <v>0.42796060111486089</v>
      </c>
      <c r="D39" s="1291">
        <f t="shared" ref="D39:H39" si="9">(D35/D25)-1</f>
        <v>0.47777266303697918</v>
      </c>
      <c r="E39" s="1291">
        <f t="shared" si="9"/>
        <v>8.8204694414127705E-2</v>
      </c>
      <c r="F39" s="1291">
        <f t="shared" si="9"/>
        <v>1.1026997467998836</v>
      </c>
      <c r="G39" s="1292"/>
      <c r="H39" s="1293">
        <f t="shared" si="9"/>
        <v>-0.27849901653684239</v>
      </c>
    </row>
    <row r="40" spans="1:15" ht="14.25" thickBot="1" x14ac:dyDescent="0.3">
      <c r="B40" s="519" t="s">
        <v>329</v>
      </c>
      <c r="C40" s="1294">
        <f>((C35/C25)^(1/10))-1</f>
        <v>3.6266890868350554E-2</v>
      </c>
      <c r="D40" s="1295">
        <f t="shared" ref="D40:H40" si="10">((D35/D25)^(1/10))-1</f>
        <v>3.9826216507174772E-2</v>
      </c>
      <c r="E40" s="1295">
        <f t="shared" si="10"/>
        <v>8.4887537613371755E-3</v>
      </c>
      <c r="F40" s="1295">
        <f t="shared" si="10"/>
        <v>7.7153820695805342E-2</v>
      </c>
      <c r="G40" s="1296"/>
      <c r="H40" s="1297">
        <f t="shared" si="10"/>
        <v>-3.211514842791785E-2</v>
      </c>
    </row>
    <row r="42" spans="1:15" x14ac:dyDescent="0.25">
      <c r="B42" s="524"/>
    </row>
  </sheetData>
  <mergeCells count="3">
    <mergeCell ref="D4:F4"/>
    <mergeCell ref="B4:B5"/>
    <mergeCell ref="G4:G5"/>
  </mergeCells>
  <phoneticPr fontId="16" type="noConversion"/>
  <printOptions horizontalCentered="1"/>
  <pageMargins left="0.78740157480314965" right="0.59055118110236215" top="0.78740157480314965" bottom="0.59055118110236215" header="0" footer="0"/>
  <pageSetup paperSize="9" scale="6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AC93"/>
  <sheetViews>
    <sheetView showGridLines="0" view="pageBreakPreview" zoomScale="90" zoomScaleNormal="100" zoomScaleSheetLayoutView="90" workbookViewId="0">
      <selection activeCell="B37" sqref="B37:B40"/>
    </sheetView>
  </sheetViews>
  <sheetFormatPr baseColWidth="10" defaultRowHeight="13.5" x14ac:dyDescent="0.25"/>
  <cols>
    <col min="1" max="1" width="3" style="577" customWidth="1"/>
    <col min="2" max="2" width="11.140625" style="437" customWidth="1"/>
    <col min="3" max="3" width="6.42578125" style="437" customWidth="1"/>
    <col min="4" max="4" width="12.42578125" style="437" customWidth="1"/>
    <col min="5" max="5" width="7.7109375" style="437" customWidth="1"/>
    <col min="6" max="6" width="7.140625" style="437" customWidth="1"/>
    <col min="7" max="7" width="8.42578125" style="437" customWidth="1"/>
    <col min="8" max="8" width="7.5703125" style="437" customWidth="1"/>
    <col min="9" max="9" width="9.5703125" style="437" customWidth="1"/>
    <col min="10" max="10" width="8.28515625" style="437" customWidth="1"/>
    <col min="11" max="11" width="7.5703125" style="437" customWidth="1"/>
    <col min="12" max="12" width="9.42578125" style="437" customWidth="1"/>
    <col min="13" max="13" width="12.42578125" style="437" customWidth="1"/>
    <col min="14" max="14" width="13.28515625" style="437" customWidth="1"/>
    <col min="15" max="15" width="11.42578125" style="437"/>
    <col min="16" max="16" width="2.140625" style="577" customWidth="1"/>
    <col min="17" max="17" width="14" style="437" customWidth="1"/>
    <col min="18" max="18" width="10" style="1021" customWidth="1"/>
    <col min="19" max="26" width="11.42578125" style="1021"/>
    <col min="27" max="27" width="11.7109375" style="1021" bestFit="1" customWidth="1"/>
    <col min="28" max="28" width="11.85546875" style="1021" bestFit="1" customWidth="1"/>
    <col min="29" max="29" width="11.42578125" style="1021"/>
    <col min="30" max="16384" width="11.42578125" style="437"/>
  </cols>
  <sheetData>
    <row r="1" spans="1:29" ht="15.75" x14ac:dyDescent="0.25">
      <c r="A1" s="1082" t="s">
        <v>54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</row>
    <row r="2" spans="1:29" x14ac:dyDescent="0.25"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</row>
    <row r="3" spans="1:29" ht="14.25" thickBot="1" x14ac:dyDescent="0.3"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</row>
    <row r="4" spans="1:29" s="583" customFormat="1" ht="18" customHeight="1" x14ac:dyDescent="0.2">
      <c r="A4" s="578"/>
      <c r="B4" s="1083" t="s">
        <v>18</v>
      </c>
      <c r="C4" s="1084"/>
      <c r="D4" s="1085" t="s">
        <v>27</v>
      </c>
      <c r="E4" s="1086" t="s">
        <v>19</v>
      </c>
      <c r="F4" s="1087"/>
      <c r="G4" s="1087"/>
      <c r="H4" s="1088"/>
      <c r="I4" s="1089" t="s">
        <v>25</v>
      </c>
      <c r="J4" s="1090" t="s">
        <v>20</v>
      </c>
      <c r="K4" s="1091"/>
      <c r="L4" s="1091"/>
      <c r="M4" s="1092"/>
      <c r="N4" s="1093" t="s">
        <v>26</v>
      </c>
      <c r="O4" s="1094" t="s">
        <v>352</v>
      </c>
      <c r="P4" s="578"/>
      <c r="R4" s="1095"/>
      <c r="S4" s="1096"/>
      <c r="T4" s="1096"/>
      <c r="U4" s="1096"/>
      <c r="V4" s="1096"/>
      <c r="W4" s="1096"/>
      <c r="X4" s="1096"/>
      <c r="Y4" s="1096"/>
      <c r="Z4" s="1096"/>
      <c r="AA4" s="1096"/>
      <c r="AB4" s="1096"/>
      <c r="AC4" s="1096"/>
    </row>
    <row r="5" spans="1:29" s="583" customFormat="1" ht="18" customHeight="1" thickBot="1" x14ac:dyDescent="0.25">
      <c r="A5" s="578"/>
      <c r="B5" s="1097"/>
      <c r="C5" s="1098"/>
      <c r="D5" s="1099" t="s">
        <v>28</v>
      </c>
      <c r="E5" s="1100" t="s">
        <v>21</v>
      </c>
      <c r="F5" s="1101" t="s">
        <v>22</v>
      </c>
      <c r="G5" s="1101" t="s">
        <v>23</v>
      </c>
      <c r="H5" s="1102" t="s">
        <v>24</v>
      </c>
      <c r="I5" s="1103"/>
      <c r="J5" s="1104" t="s">
        <v>21</v>
      </c>
      <c r="K5" s="1101" t="s">
        <v>22</v>
      </c>
      <c r="L5" s="1105" t="s">
        <v>23</v>
      </c>
      <c r="M5" s="1106" t="s">
        <v>24</v>
      </c>
      <c r="N5" s="1107"/>
      <c r="O5" s="1108" t="s">
        <v>44</v>
      </c>
      <c r="P5" s="578"/>
      <c r="R5" s="1109"/>
      <c r="S5" s="1096"/>
      <c r="T5" s="1096"/>
      <c r="U5" s="1096"/>
      <c r="V5" s="1096"/>
      <c r="W5" s="1096"/>
      <c r="X5" s="1096"/>
      <c r="Y5" s="1096"/>
      <c r="Z5" s="1096"/>
      <c r="AA5" s="1096"/>
      <c r="AB5" s="1096"/>
      <c r="AC5" s="1096"/>
    </row>
    <row r="6" spans="1:29" s="583" customFormat="1" x14ac:dyDescent="0.2">
      <c r="A6" s="578"/>
      <c r="B6" s="1110"/>
      <c r="C6" s="1111"/>
      <c r="D6" s="1112"/>
      <c r="E6" s="1113"/>
      <c r="F6" s="1114"/>
      <c r="G6" s="1114"/>
      <c r="H6" s="1114"/>
      <c r="I6" s="1115"/>
      <c r="J6" s="1116"/>
      <c r="K6" s="1113"/>
      <c r="L6" s="1117"/>
      <c r="M6" s="1117"/>
      <c r="N6" s="1118"/>
      <c r="O6" s="1119"/>
      <c r="P6" s="578"/>
      <c r="R6" s="1109"/>
      <c r="S6" s="1096"/>
      <c r="T6" s="1096"/>
      <c r="U6" s="1096"/>
      <c r="V6" s="1096"/>
      <c r="W6" s="1096"/>
      <c r="X6" s="1096"/>
      <c r="Y6" s="1096"/>
      <c r="Z6" s="1096"/>
      <c r="AA6" s="1096"/>
      <c r="AB6" s="1096"/>
      <c r="AC6" s="1096"/>
    </row>
    <row r="7" spans="1:29" ht="12" customHeight="1" x14ac:dyDescent="0.25">
      <c r="B7" s="1120">
        <v>1995</v>
      </c>
      <c r="C7" s="1121"/>
      <c r="D7" s="1122">
        <f t="shared" ref="D7:D25" si="0">SUM(I7,N7)</f>
        <v>2491835</v>
      </c>
      <c r="E7" s="1123">
        <v>7</v>
      </c>
      <c r="F7" s="1124">
        <v>28</v>
      </c>
      <c r="G7" s="1124">
        <v>156</v>
      </c>
      <c r="H7" s="1124">
        <v>15</v>
      </c>
      <c r="I7" s="1125">
        <f t="shared" ref="I7:I25" si="1">SUM(E7,F7,G7,H7)</f>
        <v>206</v>
      </c>
      <c r="J7" s="1126"/>
      <c r="K7" s="1123">
        <v>13</v>
      </c>
      <c r="L7" s="1127">
        <v>3747</v>
      </c>
      <c r="M7" s="1127">
        <v>2487869</v>
      </c>
      <c r="N7" s="1122">
        <f t="shared" ref="N7:N22" si="2">SUM(K7,L7,M7)</f>
        <v>2491629</v>
      </c>
      <c r="O7" s="1128"/>
    </row>
    <row r="8" spans="1:29" ht="12" customHeight="1" x14ac:dyDescent="0.25">
      <c r="B8" s="1129">
        <v>1996</v>
      </c>
      <c r="C8" s="1130"/>
      <c r="D8" s="1131">
        <f t="shared" si="0"/>
        <v>2775713</v>
      </c>
      <c r="E8" s="1132">
        <v>8</v>
      </c>
      <c r="F8" s="1133">
        <v>28</v>
      </c>
      <c r="G8" s="1133">
        <v>153</v>
      </c>
      <c r="H8" s="1133">
        <v>10</v>
      </c>
      <c r="I8" s="1134">
        <f t="shared" si="1"/>
        <v>199</v>
      </c>
      <c r="J8" s="1135"/>
      <c r="K8" s="1132">
        <v>15</v>
      </c>
      <c r="L8" s="1136">
        <v>4866</v>
      </c>
      <c r="M8" s="1136">
        <v>2770633</v>
      </c>
      <c r="N8" s="1131">
        <f t="shared" si="2"/>
        <v>2775514</v>
      </c>
      <c r="O8" s="1137">
        <f t="shared" ref="O8:O25" si="3">+(D8-D7)/D8</f>
        <v>0.10227210089803954</v>
      </c>
    </row>
    <row r="9" spans="1:29" ht="12" customHeight="1" x14ac:dyDescent="0.25">
      <c r="B9" s="1120">
        <v>1997</v>
      </c>
      <c r="C9" s="1121"/>
      <c r="D9" s="1122">
        <f t="shared" si="0"/>
        <v>2964315</v>
      </c>
      <c r="E9" s="1123">
        <v>11</v>
      </c>
      <c r="F9" s="1124">
        <v>35</v>
      </c>
      <c r="G9" s="1124">
        <v>157</v>
      </c>
      <c r="H9" s="1124">
        <v>9</v>
      </c>
      <c r="I9" s="1125">
        <f t="shared" si="1"/>
        <v>212</v>
      </c>
      <c r="J9" s="1126"/>
      <c r="K9" s="1123">
        <v>17</v>
      </c>
      <c r="L9" s="1127">
        <v>4861</v>
      </c>
      <c r="M9" s="1127">
        <v>2959225</v>
      </c>
      <c r="N9" s="1122">
        <f t="shared" si="2"/>
        <v>2964103</v>
      </c>
      <c r="O9" s="1128">
        <f t="shared" si="3"/>
        <v>6.3624142508471607E-2</v>
      </c>
    </row>
    <row r="10" spans="1:29" ht="12" customHeight="1" x14ac:dyDescent="0.25">
      <c r="B10" s="1129">
        <v>1998</v>
      </c>
      <c r="C10" s="1130"/>
      <c r="D10" s="1131">
        <f t="shared" si="0"/>
        <v>3057320</v>
      </c>
      <c r="E10" s="1132">
        <v>17</v>
      </c>
      <c r="F10" s="1133">
        <v>37</v>
      </c>
      <c r="G10" s="1133">
        <v>163</v>
      </c>
      <c r="H10" s="1133">
        <v>1</v>
      </c>
      <c r="I10" s="1134">
        <f t="shared" si="1"/>
        <v>218</v>
      </c>
      <c r="J10" s="1135"/>
      <c r="K10" s="1132">
        <v>13</v>
      </c>
      <c r="L10" s="1136">
        <v>5372</v>
      </c>
      <c r="M10" s="1136">
        <v>3051717</v>
      </c>
      <c r="N10" s="1131">
        <f t="shared" si="2"/>
        <v>3057102</v>
      </c>
      <c r="O10" s="1137">
        <f t="shared" si="3"/>
        <v>3.0420433582353173E-2</v>
      </c>
    </row>
    <row r="11" spans="1:29" ht="12" customHeight="1" x14ac:dyDescent="0.25">
      <c r="B11" s="1120">
        <v>1999</v>
      </c>
      <c r="C11" s="1121"/>
      <c r="D11" s="1122">
        <f t="shared" si="0"/>
        <v>3217058</v>
      </c>
      <c r="E11" s="1123">
        <v>13</v>
      </c>
      <c r="F11" s="1124">
        <v>41</v>
      </c>
      <c r="G11" s="1124">
        <v>168</v>
      </c>
      <c r="H11" s="1124">
        <v>1</v>
      </c>
      <c r="I11" s="1125">
        <f t="shared" si="1"/>
        <v>223</v>
      </c>
      <c r="J11" s="1126"/>
      <c r="K11" s="1123">
        <v>20</v>
      </c>
      <c r="L11" s="1127">
        <v>5774</v>
      </c>
      <c r="M11" s="1127">
        <v>3211041</v>
      </c>
      <c r="N11" s="1122">
        <f t="shared" si="2"/>
        <v>3216835</v>
      </c>
      <c r="O11" s="1128">
        <f t="shared" si="3"/>
        <v>4.9653441125400911E-2</v>
      </c>
    </row>
    <row r="12" spans="1:29" ht="12" customHeight="1" x14ac:dyDescent="0.25">
      <c r="B12" s="1129">
        <v>2000</v>
      </c>
      <c r="C12" s="1130"/>
      <c r="D12" s="1131">
        <f t="shared" si="0"/>
        <v>3352209</v>
      </c>
      <c r="E12" s="1132">
        <v>15</v>
      </c>
      <c r="F12" s="1133">
        <v>40</v>
      </c>
      <c r="G12" s="1133">
        <v>174</v>
      </c>
      <c r="H12" s="1133"/>
      <c r="I12" s="1134">
        <f t="shared" si="1"/>
        <v>229</v>
      </c>
      <c r="J12" s="1135"/>
      <c r="K12" s="1132">
        <v>9</v>
      </c>
      <c r="L12" s="1136">
        <v>6259</v>
      </c>
      <c r="M12" s="1136">
        <v>3345712</v>
      </c>
      <c r="N12" s="1131">
        <f t="shared" si="2"/>
        <v>3351980</v>
      </c>
      <c r="O12" s="1137">
        <f t="shared" si="3"/>
        <v>4.0316996941419825E-2</v>
      </c>
    </row>
    <row r="13" spans="1:29" ht="12" customHeight="1" x14ac:dyDescent="0.25">
      <c r="B13" s="1120">
        <v>2001</v>
      </c>
      <c r="C13" s="1121"/>
      <c r="D13" s="1122">
        <f t="shared" si="0"/>
        <v>3462851</v>
      </c>
      <c r="E13" s="1123">
        <v>23</v>
      </c>
      <c r="F13" s="1124">
        <v>38</v>
      </c>
      <c r="G13" s="1124">
        <v>180</v>
      </c>
      <c r="H13" s="1124"/>
      <c r="I13" s="1125">
        <f t="shared" si="1"/>
        <v>241</v>
      </c>
      <c r="J13" s="1126"/>
      <c r="K13" s="1123">
        <v>9</v>
      </c>
      <c r="L13" s="1127">
        <v>6752</v>
      </c>
      <c r="M13" s="1127">
        <v>3455849</v>
      </c>
      <c r="N13" s="1122">
        <f t="shared" si="2"/>
        <v>3462610</v>
      </c>
      <c r="O13" s="1128">
        <f t="shared" si="3"/>
        <v>3.1951129286244197E-2</v>
      </c>
    </row>
    <row r="14" spans="1:29" ht="12" customHeight="1" x14ac:dyDescent="0.25">
      <c r="B14" s="1129">
        <v>2002</v>
      </c>
      <c r="C14" s="1130"/>
      <c r="D14" s="1131">
        <f t="shared" si="0"/>
        <v>3614484</v>
      </c>
      <c r="E14" s="1132">
        <v>32</v>
      </c>
      <c r="F14" s="1133">
        <v>41</v>
      </c>
      <c r="G14" s="1133">
        <v>188</v>
      </c>
      <c r="H14" s="1133"/>
      <c r="I14" s="1134">
        <f t="shared" si="1"/>
        <v>261</v>
      </c>
      <c r="J14" s="1135"/>
      <c r="K14" s="1132">
        <v>11</v>
      </c>
      <c r="L14" s="1136">
        <v>7166</v>
      </c>
      <c r="M14" s="1136">
        <v>3607046</v>
      </c>
      <c r="N14" s="1131">
        <f t="shared" si="2"/>
        <v>3614223</v>
      </c>
      <c r="O14" s="1137">
        <f t="shared" si="3"/>
        <v>4.1951492937857798E-2</v>
      </c>
    </row>
    <row r="15" spans="1:29" ht="12" customHeight="1" x14ac:dyDescent="0.25">
      <c r="B15" s="1120">
        <v>2003</v>
      </c>
      <c r="C15" s="1121"/>
      <c r="D15" s="1122">
        <f t="shared" si="0"/>
        <v>3727266</v>
      </c>
      <c r="E15" s="1123">
        <v>37</v>
      </c>
      <c r="F15" s="1124">
        <v>35</v>
      </c>
      <c r="G15" s="1124">
        <v>175</v>
      </c>
      <c r="H15" s="1124"/>
      <c r="I15" s="1125">
        <f t="shared" si="1"/>
        <v>247</v>
      </c>
      <c r="J15" s="1126"/>
      <c r="K15" s="1123">
        <v>12</v>
      </c>
      <c r="L15" s="1127">
        <v>7598</v>
      </c>
      <c r="M15" s="1127">
        <v>3719409</v>
      </c>
      <c r="N15" s="1122">
        <f t="shared" si="2"/>
        <v>3727019</v>
      </c>
      <c r="O15" s="1128">
        <f t="shared" si="3"/>
        <v>3.0258639979008742E-2</v>
      </c>
    </row>
    <row r="16" spans="1:29" ht="12" customHeight="1" x14ac:dyDescent="0.25">
      <c r="B16" s="1129">
        <v>2004</v>
      </c>
      <c r="C16" s="1130"/>
      <c r="D16" s="1131">
        <f t="shared" si="0"/>
        <v>3860515</v>
      </c>
      <c r="E16" s="1132">
        <v>37</v>
      </c>
      <c r="F16" s="1133">
        <v>33</v>
      </c>
      <c r="G16" s="1133">
        <v>175</v>
      </c>
      <c r="H16" s="1133"/>
      <c r="I16" s="1134">
        <f t="shared" si="1"/>
        <v>245</v>
      </c>
      <c r="J16" s="1135"/>
      <c r="K16" s="1132">
        <v>19</v>
      </c>
      <c r="L16" s="1136">
        <v>8120</v>
      </c>
      <c r="M16" s="1136">
        <v>3852131</v>
      </c>
      <c r="N16" s="1131">
        <f t="shared" si="2"/>
        <v>3860270</v>
      </c>
      <c r="O16" s="1137">
        <f t="shared" si="3"/>
        <v>3.45158612257691E-2</v>
      </c>
    </row>
    <row r="17" spans="2:15" ht="12" customHeight="1" x14ac:dyDescent="0.25">
      <c r="B17" s="1120">
        <v>2005</v>
      </c>
      <c r="C17" s="1121"/>
      <c r="D17" s="1122">
        <f t="shared" si="0"/>
        <v>3977100</v>
      </c>
      <c r="E17" s="1123">
        <v>36</v>
      </c>
      <c r="F17" s="1124">
        <v>36</v>
      </c>
      <c r="G17" s="1124">
        <v>172</v>
      </c>
      <c r="H17" s="1124"/>
      <c r="I17" s="1125">
        <f t="shared" si="1"/>
        <v>244</v>
      </c>
      <c r="J17" s="1126"/>
      <c r="K17" s="1123">
        <v>18</v>
      </c>
      <c r="L17" s="1127">
        <v>8727</v>
      </c>
      <c r="M17" s="1127">
        <v>3968111</v>
      </c>
      <c r="N17" s="1122">
        <f t="shared" si="2"/>
        <v>3976856</v>
      </c>
      <c r="O17" s="1128">
        <f t="shared" si="3"/>
        <v>2.9314073068316109E-2</v>
      </c>
    </row>
    <row r="18" spans="2:15" ht="12" customHeight="1" x14ac:dyDescent="0.25">
      <c r="B18" s="1129">
        <v>2006</v>
      </c>
      <c r="C18" s="1130"/>
      <c r="D18" s="1131">
        <f t="shared" si="0"/>
        <v>4165274</v>
      </c>
      <c r="E18" s="1132">
        <v>38</v>
      </c>
      <c r="F18" s="1133">
        <v>36</v>
      </c>
      <c r="G18" s="1133">
        <v>163</v>
      </c>
      <c r="H18" s="1133"/>
      <c r="I18" s="1134">
        <f t="shared" si="1"/>
        <v>237</v>
      </c>
      <c r="J18" s="1135"/>
      <c r="K18" s="1132">
        <v>22</v>
      </c>
      <c r="L18" s="1136">
        <v>9454</v>
      </c>
      <c r="M18" s="1136">
        <v>4155561</v>
      </c>
      <c r="N18" s="1131">
        <f t="shared" si="2"/>
        <v>4165037</v>
      </c>
      <c r="O18" s="1137">
        <f t="shared" si="3"/>
        <v>4.5176859913657538E-2</v>
      </c>
    </row>
    <row r="19" spans="2:15" ht="12" customHeight="1" x14ac:dyDescent="0.25">
      <c r="B19" s="1120">
        <v>2007</v>
      </c>
      <c r="C19" s="1121"/>
      <c r="D19" s="1122">
        <f t="shared" si="0"/>
        <v>4359862</v>
      </c>
      <c r="E19" s="1123">
        <v>43</v>
      </c>
      <c r="F19" s="1124">
        <v>34</v>
      </c>
      <c r="G19" s="1124">
        <v>173</v>
      </c>
      <c r="H19" s="1124"/>
      <c r="I19" s="1125">
        <f t="shared" si="1"/>
        <v>250</v>
      </c>
      <c r="J19" s="1126"/>
      <c r="K19" s="1123">
        <v>25</v>
      </c>
      <c r="L19" s="1127">
        <v>10314</v>
      </c>
      <c r="M19" s="1127">
        <v>4349273</v>
      </c>
      <c r="N19" s="1122">
        <f t="shared" si="2"/>
        <v>4359612</v>
      </c>
      <c r="O19" s="1128">
        <f t="shared" si="3"/>
        <v>4.4631687883699069E-2</v>
      </c>
    </row>
    <row r="20" spans="2:15" ht="12" customHeight="1" x14ac:dyDescent="0.25">
      <c r="B20" s="1129">
        <v>2008</v>
      </c>
      <c r="C20" s="1130"/>
      <c r="D20" s="1131">
        <f t="shared" si="0"/>
        <v>4624792</v>
      </c>
      <c r="E20" s="1132">
        <v>44</v>
      </c>
      <c r="F20" s="1133">
        <v>34</v>
      </c>
      <c r="G20" s="1133">
        <v>180</v>
      </c>
      <c r="H20" s="1133"/>
      <c r="I20" s="1134">
        <f t="shared" si="1"/>
        <v>258</v>
      </c>
      <c r="J20" s="1135"/>
      <c r="K20" s="1132">
        <v>24</v>
      </c>
      <c r="L20" s="1136">
        <v>11422</v>
      </c>
      <c r="M20" s="1136">
        <v>4613088</v>
      </c>
      <c r="N20" s="1131">
        <f t="shared" si="2"/>
        <v>4624534</v>
      </c>
      <c r="O20" s="1137">
        <f t="shared" si="3"/>
        <v>5.7284738427155209E-2</v>
      </c>
    </row>
    <row r="21" spans="2:15" ht="12" customHeight="1" x14ac:dyDescent="0.25">
      <c r="B21" s="1120">
        <v>2009</v>
      </c>
      <c r="C21" s="1121"/>
      <c r="D21" s="1122">
        <f t="shared" si="0"/>
        <v>4878964</v>
      </c>
      <c r="E21" s="1123">
        <v>42</v>
      </c>
      <c r="F21" s="1124">
        <v>40</v>
      </c>
      <c r="G21" s="1124">
        <v>187</v>
      </c>
      <c r="H21" s="1124"/>
      <c r="I21" s="1125">
        <f t="shared" si="1"/>
        <v>269</v>
      </c>
      <c r="J21" s="1126"/>
      <c r="K21" s="1123">
        <v>22</v>
      </c>
      <c r="L21" s="1127">
        <v>12368</v>
      </c>
      <c r="M21" s="1127">
        <v>4866305</v>
      </c>
      <c r="N21" s="1122">
        <f t="shared" si="2"/>
        <v>4878695</v>
      </c>
      <c r="O21" s="1128">
        <f t="shared" si="3"/>
        <v>5.209548584494577E-2</v>
      </c>
    </row>
    <row r="22" spans="2:15" ht="12" customHeight="1" x14ac:dyDescent="0.25">
      <c r="B22" s="1129">
        <v>2010</v>
      </c>
      <c r="C22" s="1130"/>
      <c r="D22" s="1131">
        <f t="shared" si="0"/>
        <v>5170896</v>
      </c>
      <c r="E22" s="1132">
        <v>48</v>
      </c>
      <c r="F22" s="1133">
        <v>39</v>
      </c>
      <c r="G22" s="1133">
        <v>171</v>
      </c>
      <c r="H22" s="1133"/>
      <c r="I22" s="1134">
        <f t="shared" si="1"/>
        <v>258</v>
      </c>
      <c r="J22" s="1135"/>
      <c r="K22" s="1132">
        <v>23</v>
      </c>
      <c r="L22" s="1136">
        <v>13331</v>
      </c>
      <c r="M22" s="1136">
        <v>5157284</v>
      </c>
      <c r="N22" s="1131">
        <f t="shared" si="2"/>
        <v>5170638</v>
      </c>
      <c r="O22" s="1137">
        <f t="shared" si="3"/>
        <v>5.6456753336365691E-2</v>
      </c>
    </row>
    <row r="23" spans="2:15" ht="12" customHeight="1" x14ac:dyDescent="0.25">
      <c r="B23" s="1120">
        <v>2011</v>
      </c>
      <c r="C23" s="1121"/>
      <c r="D23" s="1122">
        <f t="shared" si="0"/>
        <v>5495222</v>
      </c>
      <c r="E23" s="1123">
        <v>48</v>
      </c>
      <c r="F23" s="1124">
        <v>45</v>
      </c>
      <c r="G23" s="1124">
        <v>168</v>
      </c>
      <c r="H23" s="1124"/>
      <c r="I23" s="1125">
        <f t="shared" si="1"/>
        <v>261</v>
      </c>
      <c r="J23" s="1126">
        <v>1</v>
      </c>
      <c r="K23" s="1123">
        <v>24</v>
      </c>
      <c r="L23" s="1127">
        <v>14409</v>
      </c>
      <c r="M23" s="1127">
        <v>5480527</v>
      </c>
      <c r="N23" s="1122">
        <f t="shared" ref="N23:N29" si="4">SUM(K23,L23,M23,J23)</f>
        <v>5494961</v>
      </c>
      <c r="O23" s="1128">
        <f t="shared" si="3"/>
        <v>5.9019635603438772E-2</v>
      </c>
    </row>
    <row r="24" spans="2:15" ht="12" customHeight="1" x14ac:dyDescent="0.25">
      <c r="B24" s="1129">
        <v>2012</v>
      </c>
      <c r="C24" s="1130"/>
      <c r="D24" s="1131">
        <f t="shared" si="0"/>
        <v>5834887</v>
      </c>
      <c r="E24" s="1132">
        <v>52</v>
      </c>
      <c r="F24" s="1133">
        <v>46</v>
      </c>
      <c r="G24" s="1133">
        <v>164</v>
      </c>
      <c r="H24" s="1133"/>
      <c r="I24" s="1134">
        <f t="shared" si="1"/>
        <v>262</v>
      </c>
      <c r="J24" s="1135">
        <v>1</v>
      </c>
      <c r="K24" s="1132">
        <v>19</v>
      </c>
      <c r="L24" s="1136">
        <v>15886</v>
      </c>
      <c r="M24" s="1136">
        <v>5818719</v>
      </c>
      <c r="N24" s="1131">
        <f t="shared" si="4"/>
        <v>5834625</v>
      </c>
      <c r="O24" s="1137">
        <f t="shared" si="3"/>
        <v>5.8212781155830437E-2</v>
      </c>
    </row>
    <row r="25" spans="2:15" ht="12" customHeight="1" x14ac:dyDescent="0.25">
      <c r="B25" s="1120">
        <v>2013</v>
      </c>
      <c r="C25" s="1121"/>
      <c r="D25" s="1122">
        <f t="shared" si="0"/>
        <v>6156315</v>
      </c>
      <c r="E25" s="1123">
        <v>57</v>
      </c>
      <c r="F25" s="1124">
        <v>57</v>
      </c>
      <c r="G25" s="1124">
        <v>166</v>
      </c>
      <c r="H25" s="1124"/>
      <c r="I25" s="1125">
        <f t="shared" si="1"/>
        <v>280</v>
      </c>
      <c r="J25" s="1126">
        <v>1</v>
      </c>
      <c r="K25" s="1123">
        <v>19</v>
      </c>
      <c r="L25" s="1127">
        <v>16943</v>
      </c>
      <c r="M25" s="1127">
        <v>6139072</v>
      </c>
      <c r="N25" s="1122">
        <f t="shared" si="4"/>
        <v>6156035</v>
      </c>
      <c r="O25" s="1128">
        <f t="shared" si="3"/>
        <v>5.2211103557891367E-2</v>
      </c>
    </row>
    <row r="26" spans="2:15" ht="12" customHeight="1" x14ac:dyDescent="0.25">
      <c r="B26" s="1129">
        <v>2014</v>
      </c>
      <c r="C26" s="1130"/>
      <c r="D26" s="1131">
        <f>SUM(I26,N26)</f>
        <v>6432743</v>
      </c>
      <c r="E26" s="1132">
        <v>67</v>
      </c>
      <c r="F26" s="1133">
        <v>60</v>
      </c>
      <c r="G26" s="1133">
        <v>172.00000000000003</v>
      </c>
      <c r="H26" s="1133"/>
      <c r="I26" s="1134">
        <f>SUM(E26,F26,G26,H26)</f>
        <v>299</v>
      </c>
      <c r="J26" s="1135">
        <v>1</v>
      </c>
      <c r="K26" s="1132">
        <v>16</v>
      </c>
      <c r="L26" s="1136">
        <v>17700.000000000004</v>
      </c>
      <c r="M26" s="1136">
        <v>6414727</v>
      </c>
      <c r="N26" s="1131">
        <f t="shared" si="4"/>
        <v>6432444</v>
      </c>
      <c r="O26" s="1137">
        <f>+(D26-D25)/D26</f>
        <v>4.2972026085917006E-2</v>
      </c>
    </row>
    <row r="27" spans="2:15" ht="12" customHeight="1" x14ac:dyDescent="0.25">
      <c r="B27" s="1120">
        <v>2015</v>
      </c>
      <c r="C27" s="1121"/>
      <c r="D27" s="1122">
        <f>SUM(I27,N27)</f>
        <v>6682028</v>
      </c>
      <c r="E27" s="1123">
        <v>61</v>
      </c>
      <c r="F27" s="1124">
        <v>53</v>
      </c>
      <c r="G27" s="1124">
        <v>232</v>
      </c>
      <c r="H27" s="1124"/>
      <c r="I27" s="1125">
        <f>SUM(E27,F27,G27,H27)</f>
        <v>346</v>
      </c>
      <c r="J27" s="1126">
        <v>1</v>
      </c>
      <c r="K27" s="1123">
        <v>17</v>
      </c>
      <c r="L27" s="1127">
        <v>18796</v>
      </c>
      <c r="M27" s="1127">
        <v>6662868</v>
      </c>
      <c r="N27" s="1122">
        <f t="shared" si="4"/>
        <v>6681682</v>
      </c>
      <c r="O27" s="1128">
        <f>+(D27-D26)/D27</f>
        <v>3.7306787699782164E-2</v>
      </c>
    </row>
    <row r="28" spans="2:15" ht="12" customHeight="1" x14ac:dyDescent="0.25">
      <c r="B28" s="1129">
        <v>2016</v>
      </c>
      <c r="C28" s="1130"/>
      <c r="D28" s="1131">
        <f>SUM(I28,N28)</f>
        <v>6936508</v>
      </c>
      <c r="E28" s="1132">
        <v>71</v>
      </c>
      <c r="F28" s="1133">
        <v>52</v>
      </c>
      <c r="G28" s="1133">
        <v>810</v>
      </c>
      <c r="H28" s="1133"/>
      <c r="I28" s="1134">
        <f>SUM(E28,F28,G28,H28)</f>
        <v>933</v>
      </c>
      <c r="J28" s="1135">
        <v>1</v>
      </c>
      <c r="K28" s="1132">
        <v>16</v>
      </c>
      <c r="L28" s="1136">
        <v>18704.999999999996</v>
      </c>
      <c r="M28" s="1136">
        <v>6916853</v>
      </c>
      <c r="N28" s="1131">
        <f t="shared" si="4"/>
        <v>6935575</v>
      </c>
      <c r="O28" s="1137">
        <f>+(D28-D27)/D28</f>
        <v>3.6687047719111694E-2</v>
      </c>
    </row>
    <row r="29" spans="2:15" ht="12" customHeight="1" x14ac:dyDescent="0.25">
      <c r="B29" s="1120">
        <v>2017</v>
      </c>
      <c r="C29" s="1121"/>
      <c r="D29" s="1122">
        <f>SUM(I29,N29)</f>
        <v>7167734</v>
      </c>
      <c r="E29" s="1123">
        <v>134</v>
      </c>
      <c r="F29" s="1124">
        <v>56</v>
      </c>
      <c r="G29" s="1124">
        <v>1225</v>
      </c>
      <c r="H29" s="1124"/>
      <c r="I29" s="1125">
        <f>SUM(E29,F29,G29,H29)</f>
        <v>1415</v>
      </c>
      <c r="J29" s="1126">
        <v>1</v>
      </c>
      <c r="K29" s="1123">
        <v>12</v>
      </c>
      <c r="L29" s="1127">
        <v>18760</v>
      </c>
      <c r="M29" s="1127">
        <v>7147546</v>
      </c>
      <c r="N29" s="1122">
        <f t="shared" si="4"/>
        <v>7166319</v>
      </c>
      <c r="O29" s="1128">
        <f>+(D29-D28)/D29</f>
        <v>3.2259288639896515E-2</v>
      </c>
    </row>
    <row r="30" spans="2:15" ht="12" customHeight="1" x14ac:dyDescent="0.25">
      <c r="B30" s="1129">
        <v>2018</v>
      </c>
      <c r="C30" s="1130"/>
      <c r="D30" s="1131">
        <f>SUM(I30,N30)</f>
        <v>7376937.9999999925</v>
      </c>
      <c r="E30" s="1132">
        <v>185</v>
      </c>
      <c r="F30" s="1133">
        <v>59</v>
      </c>
      <c r="G30" s="1133">
        <v>1588</v>
      </c>
      <c r="H30" s="1133">
        <v>2</v>
      </c>
      <c r="I30" s="1134">
        <f>SUM(E30,F30,G30,H30)</f>
        <v>1834</v>
      </c>
      <c r="J30" s="1135">
        <v>1</v>
      </c>
      <c r="K30" s="1132">
        <v>10</v>
      </c>
      <c r="L30" s="1136">
        <v>19056.999999999996</v>
      </c>
      <c r="M30" s="1136">
        <v>7356035.9999999925</v>
      </c>
      <c r="N30" s="1131">
        <f>SUM(K30,L30,M30,J30)</f>
        <v>7375103.9999999925</v>
      </c>
      <c r="O30" s="1137">
        <f>+(D30-D29)/D30</f>
        <v>2.8359191848974841E-2</v>
      </c>
    </row>
    <row r="31" spans="2:15" ht="12" customHeight="1" x14ac:dyDescent="0.25">
      <c r="B31" s="1120">
        <v>2019</v>
      </c>
      <c r="C31" s="1121"/>
      <c r="D31" s="1122">
        <f t="shared" ref="D31:D35" si="5">SUM(I31,N31)</f>
        <v>7566035.9999999637</v>
      </c>
      <c r="E31" s="1123">
        <v>230.00000000000003</v>
      </c>
      <c r="F31" s="1124">
        <v>62.000000000000021</v>
      </c>
      <c r="G31" s="1124">
        <v>1953.0000000000032</v>
      </c>
      <c r="H31" s="1124">
        <v>1</v>
      </c>
      <c r="I31" s="1125">
        <f t="shared" ref="I31:I35" si="6">SUM(E31,F31,G31,H31)</f>
        <v>2246.0000000000032</v>
      </c>
      <c r="J31" s="1126">
        <v>1</v>
      </c>
      <c r="K31" s="1123">
        <v>9</v>
      </c>
      <c r="L31" s="1127">
        <v>19211.999999999975</v>
      </c>
      <c r="M31" s="1127">
        <v>7544567.9999999637</v>
      </c>
      <c r="N31" s="1122">
        <f t="shared" ref="N31:N35" si="7">SUM(K31,L31,M31,J31)</f>
        <v>7563789.9999999637</v>
      </c>
      <c r="O31" s="1128">
        <f t="shared" ref="O31:O35" si="8">+(D31-D30)/D31</f>
        <v>2.499300822781864E-2</v>
      </c>
    </row>
    <row r="32" spans="2:15" ht="12" customHeight="1" x14ac:dyDescent="0.25">
      <c r="B32" s="1129">
        <v>2020</v>
      </c>
      <c r="C32" s="1130"/>
      <c r="D32" s="1131">
        <f t="shared" si="5"/>
        <v>7779027.9999999981</v>
      </c>
      <c r="E32" s="1132">
        <v>255</v>
      </c>
      <c r="F32" s="1133">
        <v>63</v>
      </c>
      <c r="G32" s="1133">
        <v>2242</v>
      </c>
      <c r="H32" s="1133">
        <v>1</v>
      </c>
      <c r="I32" s="1134">
        <f t="shared" si="6"/>
        <v>2561</v>
      </c>
      <c r="J32" s="1135">
        <v>1</v>
      </c>
      <c r="K32" s="1132">
        <v>9</v>
      </c>
      <c r="L32" s="1136">
        <v>19117.000000000007</v>
      </c>
      <c r="M32" s="1136">
        <v>7757339.9999999981</v>
      </c>
      <c r="N32" s="1131">
        <f t="shared" si="7"/>
        <v>7776466.9999999981</v>
      </c>
      <c r="O32" s="1137">
        <f t="shared" si="8"/>
        <v>2.7380284529125554E-2</v>
      </c>
    </row>
    <row r="33" spans="1:29" ht="12" customHeight="1" x14ac:dyDescent="0.25">
      <c r="B33" s="1120">
        <v>2021</v>
      </c>
      <c r="C33" s="1121"/>
      <c r="D33" s="1122">
        <f t="shared" si="5"/>
        <v>8144091.9999999981</v>
      </c>
      <c r="E33" s="1123">
        <v>263</v>
      </c>
      <c r="F33" s="1124">
        <v>71</v>
      </c>
      <c r="G33" s="1124">
        <v>2596</v>
      </c>
      <c r="H33" s="1124">
        <v>4</v>
      </c>
      <c r="I33" s="1125">
        <f t="shared" si="6"/>
        <v>2934</v>
      </c>
      <c r="J33" s="1126">
        <v>1</v>
      </c>
      <c r="K33" s="1123">
        <v>6</v>
      </c>
      <c r="L33" s="1127">
        <v>19290</v>
      </c>
      <c r="M33" s="1127">
        <v>8121860.9999999981</v>
      </c>
      <c r="N33" s="1122">
        <f t="shared" si="7"/>
        <v>8141157.9999999981</v>
      </c>
      <c r="O33" s="1128">
        <f t="shared" si="8"/>
        <v>4.4825623286180963E-2</v>
      </c>
    </row>
    <row r="34" spans="1:29" ht="12" customHeight="1" x14ac:dyDescent="0.25">
      <c r="B34" s="1129">
        <v>2022</v>
      </c>
      <c r="C34" s="1130"/>
      <c r="D34" s="1131">
        <f t="shared" si="5"/>
        <v>8349663</v>
      </c>
      <c r="E34" s="1132">
        <v>187</v>
      </c>
      <c r="F34" s="1133">
        <v>75</v>
      </c>
      <c r="G34" s="1133">
        <v>2934</v>
      </c>
      <c r="H34" s="1133">
        <v>7</v>
      </c>
      <c r="I34" s="1134">
        <f t="shared" si="6"/>
        <v>3203</v>
      </c>
      <c r="J34" s="1135">
        <v>1</v>
      </c>
      <c r="K34" s="1132">
        <v>5</v>
      </c>
      <c r="L34" s="1136">
        <v>19508</v>
      </c>
      <c r="M34" s="1136">
        <v>8326946</v>
      </c>
      <c r="N34" s="1131">
        <f t="shared" si="7"/>
        <v>8346460</v>
      </c>
      <c r="O34" s="1137">
        <f t="shared" si="8"/>
        <v>2.4620275093737539E-2</v>
      </c>
    </row>
    <row r="35" spans="1:29" ht="12" customHeight="1" x14ac:dyDescent="0.25">
      <c r="B35" s="1138">
        <v>2023</v>
      </c>
      <c r="C35" s="1139"/>
      <c r="D35" s="1122">
        <f>SUM(I35,N35)</f>
        <v>8584268.9999999925</v>
      </c>
      <c r="E35" s="1123">
        <v>301</v>
      </c>
      <c r="F35" s="1124">
        <v>64</v>
      </c>
      <c r="G35" s="1124">
        <v>2930</v>
      </c>
      <c r="H35" s="1124">
        <v>7</v>
      </c>
      <c r="I35" s="1125">
        <f t="shared" si="6"/>
        <v>3302</v>
      </c>
      <c r="J35" s="1126">
        <v>0</v>
      </c>
      <c r="K35" s="1123">
        <v>6</v>
      </c>
      <c r="L35" s="1127">
        <v>19580.000000000004</v>
      </c>
      <c r="M35" s="1127">
        <v>8561380.9999999925</v>
      </c>
      <c r="N35" s="1122">
        <f t="shared" si="7"/>
        <v>8580966.9999999925</v>
      </c>
      <c r="O35" s="1128">
        <f t="shared" si="8"/>
        <v>2.7329758655045965E-2</v>
      </c>
    </row>
    <row r="36" spans="1:29" ht="14.25" thickBot="1" x14ac:dyDescent="0.3">
      <c r="B36" s="1140"/>
      <c r="C36" s="1141"/>
      <c r="D36" s="1142"/>
      <c r="E36" s="1143"/>
      <c r="F36" s="1144"/>
      <c r="G36" s="1144"/>
      <c r="H36" s="1144"/>
      <c r="I36" s="1145"/>
      <c r="J36" s="1146"/>
      <c r="K36" s="1143"/>
      <c r="L36" s="1147"/>
      <c r="M36" s="1147"/>
      <c r="N36" s="1142"/>
      <c r="O36" s="1148"/>
    </row>
    <row r="37" spans="1:29" x14ac:dyDescent="0.25">
      <c r="B37" s="508" t="s">
        <v>326</v>
      </c>
      <c r="C37" s="508"/>
      <c r="D37" s="1149">
        <f>(D35/D34)-1</f>
        <v>2.8097660947512759E-2</v>
      </c>
      <c r="E37" s="1150"/>
      <c r="F37" s="1150"/>
      <c r="G37" s="1150"/>
      <c r="H37" s="1151"/>
      <c r="I37" s="1149">
        <f>(I35/I34)-1</f>
        <v>3.0908523259444376E-2</v>
      </c>
      <c r="J37" s="1152"/>
      <c r="K37" s="1150"/>
      <c r="L37" s="1150"/>
      <c r="M37" s="1150"/>
      <c r="N37" s="1149">
        <f>(N35/N34)-1</f>
        <v>2.8096582263617442E-2</v>
      </c>
      <c r="O37" s="578"/>
    </row>
    <row r="38" spans="1:29" x14ac:dyDescent="0.25">
      <c r="B38" s="513" t="s">
        <v>327</v>
      </c>
      <c r="C38" s="513"/>
      <c r="D38" s="1153">
        <f>((D35/D30)^(1/5))-1</f>
        <v>3.0778703039022082E-2</v>
      </c>
      <c r="E38" s="1152"/>
      <c r="F38" s="1152"/>
      <c r="G38" s="1152"/>
      <c r="H38" s="1152"/>
      <c r="I38" s="1153">
        <f>((I35/I30)^(1/5))-1</f>
        <v>0.12480062118049773</v>
      </c>
      <c r="J38" s="1152"/>
      <c r="K38" s="1152"/>
      <c r="L38" s="1152"/>
      <c r="M38" s="1152"/>
      <c r="N38" s="1153">
        <f>((N35/N30)^(1/5))-1</f>
        <v>3.0750648190686736E-2</v>
      </c>
      <c r="O38" s="578"/>
    </row>
    <row r="39" spans="1:29" x14ac:dyDescent="0.25">
      <c r="B39" s="516" t="s">
        <v>328</v>
      </c>
      <c r="C39" s="516"/>
      <c r="D39" s="1154">
        <f>(D35/D25)-1</f>
        <v>0.39438430294746007</v>
      </c>
      <c r="E39" s="1151"/>
      <c r="F39" s="1151"/>
      <c r="G39" s="1151"/>
      <c r="H39" s="1151"/>
      <c r="I39" s="1154">
        <f>(I35/I25)-1</f>
        <v>10.792857142857143</v>
      </c>
      <c r="J39" s="1152"/>
      <c r="K39" s="1151"/>
      <c r="L39" s="1151"/>
      <c r="M39" s="1151"/>
      <c r="N39" s="1154">
        <f>(N35/N25)-1</f>
        <v>0.39391134066001787</v>
      </c>
      <c r="O39" s="578"/>
    </row>
    <row r="40" spans="1:29" ht="14.25" thickBot="1" x14ac:dyDescent="0.3">
      <c r="B40" s="519" t="s">
        <v>329</v>
      </c>
      <c r="C40" s="519"/>
      <c r="D40" s="1155">
        <f>((D35/D25)^(1/10))-1</f>
        <v>3.3804095939538481E-2</v>
      </c>
      <c r="E40" s="1156"/>
      <c r="F40" s="1156" t="s">
        <v>178</v>
      </c>
      <c r="G40" s="1156"/>
      <c r="H40" s="1156"/>
      <c r="I40" s="1155">
        <f>((I35/I25)^(1/10))-1</f>
        <v>0.27985834281458821</v>
      </c>
      <c r="J40" s="1157"/>
      <c r="K40" s="1156"/>
      <c r="L40" s="1156"/>
      <c r="M40" s="1156"/>
      <c r="N40" s="1155">
        <f>((N35/N25)^(1/10))-1</f>
        <v>3.3769024905223377E-2</v>
      </c>
      <c r="O40" s="578"/>
    </row>
    <row r="41" spans="1:29" s="577" customFormat="1" ht="14.25" x14ac:dyDescent="0.3">
      <c r="A41" s="1158"/>
      <c r="B41" s="1158"/>
      <c r="C41" s="1158"/>
      <c r="D41" s="1158"/>
      <c r="E41" s="1158"/>
      <c r="F41" s="1158"/>
      <c r="G41" s="1158"/>
      <c r="H41" s="1158"/>
      <c r="I41" s="1158"/>
      <c r="J41" s="1158"/>
      <c r="K41" s="1158"/>
      <c r="L41" s="1158"/>
      <c r="M41" s="1158"/>
      <c r="N41" s="1158"/>
      <c r="O41" s="1158"/>
      <c r="R41" s="1159"/>
      <c r="S41" s="1159"/>
      <c r="T41" s="1159"/>
      <c r="U41" s="1159"/>
      <c r="V41" s="1159"/>
      <c r="W41" s="1159"/>
      <c r="X41" s="1159"/>
      <c r="Y41" s="1159"/>
      <c r="Z41" s="1159"/>
      <c r="AA41" s="1159"/>
      <c r="AB41" s="1159"/>
      <c r="AC41" s="1159"/>
    </row>
    <row r="42" spans="1:29" s="577" customFormat="1" ht="63.75" customHeight="1" x14ac:dyDescent="0.3">
      <c r="A42" s="1158"/>
      <c r="B42" s="1160" t="s">
        <v>279</v>
      </c>
      <c r="C42" s="1160"/>
      <c r="D42" s="1160"/>
      <c r="E42" s="1161"/>
      <c r="F42" s="1161"/>
      <c r="G42" s="1161"/>
      <c r="H42" s="1161"/>
      <c r="I42" s="1161"/>
      <c r="J42" s="1161"/>
      <c r="K42" s="1161"/>
      <c r="L42" s="1161"/>
      <c r="M42" s="1161"/>
      <c r="N42" s="1161"/>
      <c r="O42" s="1161"/>
      <c r="R42" s="1159"/>
      <c r="S42" s="1159"/>
      <c r="T42" s="1159"/>
      <c r="U42" s="1159"/>
      <c r="V42" s="1159"/>
      <c r="W42" s="1159"/>
      <c r="X42" s="1159"/>
      <c r="Y42" s="1159"/>
      <c r="Z42" s="1159"/>
      <c r="AA42" s="1159"/>
      <c r="AB42" s="1159"/>
      <c r="AC42" s="1159"/>
    </row>
    <row r="43" spans="1:29" s="577" customFormat="1" ht="14.25" x14ac:dyDescent="0.3">
      <c r="A43" s="1158"/>
      <c r="B43" s="1162"/>
      <c r="C43" s="1158"/>
      <c r="D43" s="1158"/>
      <c r="E43" s="1158"/>
      <c r="F43" s="1158"/>
      <c r="G43" s="1158"/>
      <c r="H43" s="1158"/>
      <c r="I43" s="1158"/>
      <c r="J43" s="1158"/>
      <c r="K43" s="1158"/>
      <c r="L43" s="1158"/>
      <c r="M43" s="1158"/>
      <c r="N43" s="1158"/>
      <c r="O43" s="1158"/>
      <c r="R43" s="1159"/>
      <c r="S43" s="1159"/>
      <c r="T43" s="1159"/>
      <c r="U43" s="1159"/>
      <c r="V43" s="1159"/>
      <c r="W43" s="1159"/>
      <c r="X43" s="1159"/>
      <c r="Y43" s="1159"/>
      <c r="Z43" s="1159"/>
      <c r="AA43" s="1159"/>
      <c r="AB43" s="1159"/>
      <c r="AC43" s="1159"/>
    </row>
    <row r="44" spans="1:29" s="577" customFormat="1" ht="14.25" x14ac:dyDescent="0.3">
      <c r="A44" s="1158"/>
      <c r="B44" s="1158"/>
      <c r="C44" s="1158"/>
      <c r="D44" s="1158"/>
      <c r="E44" s="1158"/>
      <c r="F44" s="1158"/>
      <c r="G44" s="1158"/>
      <c r="H44" s="1158"/>
      <c r="I44" s="1158"/>
      <c r="J44" s="1158"/>
      <c r="K44" s="1158"/>
      <c r="L44" s="1158"/>
      <c r="M44" s="1158"/>
      <c r="N44" s="1158"/>
      <c r="O44" s="1158"/>
      <c r="R44" s="1159"/>
      <c r="S44" s="1159"/>
      <c r="T44" s="1159"/>
      <c r="U44" s="1159"/>
      <c r="V44" s="1159"/>
      <c r="W44" s="1159"/>
      <c r="X44" s="1159"/>
      <c r="Y44" s="1159"/>
      <c r="Z44" s="1159"/>
      <c r="AA44" s="1159"/>
      <c r="AB44" s="1159"/>
      <c r="AC44" s="1159"/>
    </row>
    <row r="45" spans="1:29" s="577" customFormat="1" ht="14.25" x14ac:dyDescent="0.3">
      <c r="A45" s="1158"/>
      <c r="B45" s="1158"/>
      <c r="C45" s="1158"/>
      <c r="D45" s="1158"/>
      <c r="E45" s="1158"/>
      <c r="F45" s="1158"/>
      <c r="G45" s="1158"/>
      <c r="H45" s="1158"/>
      <c r="I45" s="1158"/>
      <c r="J45" s="1158"/>
      <c r="K45" s="1158"/>
      <c r="L45" s="1158"/>
      <c r="M45" s="1158"/>
      <c r="N45" s="1158"/>
      <c r="O45" s="1158"/>
      <c r="R45" s="1159"/>
      <c r="S45" s="1159"/>
      <c r="T45" s="1159"/>
      <c r="U45" s="1159"/>
      <c r="V45" s="1159"/>
      <c r="W45" s="1159"/>
      <c r="X45" s="1159"/>
      <c r="Y45" s="1159"/>
      <c r="Z45" s="1159"/>
      <c r="AA45" s="1159"/>
      <c r="AB45" s="1159"/>
      <c r="AC45" s="1159"/>
    </row>
    <row r="46" spans="1:29" s="577" customFormat="1" ht="14.25" x14ac:dyDescent="0.3">
      <c r="A46" s="1158"/>
      <c r="B46" s="1158"/>
      <c r="C46" s="1158"/>
      <c r="D46" s="1158"/>
      <c r="E46" s="1158"/>
      <c r="F46" s="1158"/>
      <c r="G46" s="1158"/>
      <c r="H46" s="1158"/>
      <c r="I46" s="1158"/>
      <c r="J46" s="1158"/>
      <c r="K46" s="1158"/>
      <c r="L46" s="1158"/>
      <c r="M46" s="1158"/>
      <c r="N46" s="1158"/>
      <c r="O46" s="1158"/>
      <c r="R46" s="446"/>
      <c r="S46" s="1163" t="s">
        <v>21</v>
      </c>
      <c r="T46" s="1163" t="s">
        <v>22</v>
      </c>
      <c r="U46" s="1163" t="s">
        <v>23</v>
      </c>
      <c r="V46" s="1163" t="s">
        <v>24</v>
      </c>
      <c r="W46" s="1163" t="s">
        <v>38</v>
      </c>
      <c r="X46" s="1163"/>
      <c r="Y46" s="1163" t="s">
        <v>21</v>
      </c>
      <c r="Z46" s="1163" t="s">
        <v>22</v>
      </c>
      <c r="AA46" s="1163" t="s">
        <v>23</v>
      </c>
      <c r="AB46" s="1163" t="s">
        <v>24</v>
      </c>
      <c r="AC46" s="1163" t="s">
        <v>39</v>
      </c>
    </row>
    <row r="47" spans="1:29" s="577" customFormat="1" ht="14.25" x14ac:dyDescent="0.3">
      <c r="A47" s="1158"/>
      <c r="B47" s="1158"/>
      <c r="C47" s="1158"/>
      <c r="D47" s="1158"/>
      <c r="E47" s="1158"/>
      <c r="F47" s="1158"/>
      <c r="G47" s="1158"/>
      <c r="H47" s="1158"/>
      <c r="I47" s="1158"/>
      <c r="J47" s="1158"/>
      <c r="K47" s="1158"/>
      <c r="L47" s="1158"/>
      <c r="M47" s="1158"/>
      <c r="N47" s="1158"/>
      <c r="O47" s="1158"/>
      <c r="R47" s="1164">
        <v>1998</v>
      </c>
      <c r="S47" s="1165">
        <f>E10</f>
        <v>17</v>
      </c>
      <c r="T47" s="1165">
        <f>F10</f>
        <v>37</v>
      </c>
      <c r="U47" s="1165">
        <f>G10</f>
        <v>163</v>
      </c>
      <c r="V47" s="1165">
        <f>H10</f>
        <v>1</v>
      </c>
      <c r="W47" s="1165">
        <f>SUM(S47:V47)</f>
        <v>218</v>
      </c>
      <c r="X47" s="1165"/>
      <c r="Y47" s="1165"/>
      <c r="Z47" s="1165">
        <f>K10</f>
        <v>13</v>
      </c>
      <c r="AA47" s="1165">
        <f>L10</f>
        <v>5372</v>
      </c>
      <c r="AB47" s="1165">
        <f>M10</f>
        <v>3051717</v>
      </c>
      <c r="AC47" s="1165">
        <f>SUM(Z47:AB47)</f>
        <v>3057102</v>
      </c>
    </row>
    <row r="48" spans="1:29" s="577" customFormat="1" ht="14.25" x14ac:dyDescent="0.3">
      <c r="A48" s="1158"/>
      <c r="B48" s="1158"/>
      <c r="C48" s="1158"/>
      <c r="D48" s="1158"/>
      <c r="E48" s="1158"/>
      <c r="F48" s="1158"/>
      <c r="G48" s="1158"/>
      <c r="H48" s="1158"/>
      <c r="I48" s="1158"/>
      <c r="J48" s="1158"/>
      <c r="K48" s="1158"/>
      <c r="L48" s="1158"/>
      <c r="M48" s="1158"/>
      <c r="N48" s="1158"/>
      <c r="O48" s="1158"/>
      <c r="R48" s="1164">
        <v>1999</v>
      </c>
      <c r="S48" s="1165">
        <f>E11</f>
        <v>13</v>
      </c>
      <c r="T48" s="1165">
        <f>F11</f>
        <v>41</v>
      </c>
      <c r="U48" s="1165">
        <f>G11</f>
        <v>168</v>
      </c>
      <c r="V48" s="1165">
        <f>H11</f>
        <v>1</v>
      </c>
      <c r="W48" s="1165">
        <f t="shared" ref="W48:W55" si="9">SUM(S48:V48)</f>
        <v>223</v>
      </c>
      <c r="X48" s="1165"/>
      <c r="Y48" s="1165"/>
      <c r="Z48" s="1165">
        <f>K11</f>
        <v>20</v>
      </c>
      <c r="AA48" s="1165">
        <f>L11</f>
        <v>5774</v>
      </c>
      <c r="AB48" s="1165">
        <f>M11</f>
        <v>3211041</v>
      </c>
      <c r="AC48" s="1165">
        <f t="shared" ref="AC48:AC55" si="10">SUM(Z48:AB48)</f>
        <v>3216835</v>
      </c>
    </row>
    <row r="49" spans="1:29" s="577" customFormat="1" ht="14.25" x14ac:dyDescent="0.3">
      <c r="A49" s="1158"/>
      <c r="B49" s="1158"/>
      <c r="C49" s="1158"/>
      <c r="D49" s="1158"/>
      <c r="E49" s="1158"/>
      <c r="F49" s="1158"/>
      <c r="G49" s="1158"/>
      <c r="H49" s="1158"/>
      <c r="I49" s="1158"/>
      <c r="J49" s="1158"/>
      <c r="K49" s="1158"/>
      <c r="L49" s="1158"/>
      <c r="M49" s="1158"/>
      <c r="N49" s="1158"/>
      <c r="O49" s="1158"/>
      <c r="R49" s="1164">
        <v>2000</v>
      </c>
      <c r="S49" s="1165">
        <f>E12</f>
        <v>15</v>
      </c>
      <c r="T49" s="1165">
        <f>F12</f>
        <v>40</v>
      </c>
      <c r="U49" s="1165">
        <f>G12</f>
        <v>174</v>
      </c>
      <c r="V49" s="1166"/>
      <c r="W49" s="1165">
        <f t="shared" si="9"/>
        <v>229</v>
      </c>
      <c r="X49" s="1165"/>
      <c r="Y49" s="1165"/>
      <c r="Z49" s="1165">
        <f>K12</f>
        <v>9</v>
      </c>
      <c r="AA49" s="1165">
        <f>L12</f>
        <v>6259</v>
      </c>
      <c r="AB49" s="1165">
        <f>M12</f>
        <v>3345712</v>
      </c>
      <c r="AC49" s="1165">
        <f t="shared" si="10"/>
        <v>3351980</v>
      </c>
    </row>
    <row r="50" spans="1:29" s="577" customFormat="1" ht="14.25" x14ac:dyDescent="0.3">
      <c r="A50" s="1158"/>
      <c r="B50" s="1158"/>
      <c r="C50" s="1158"/>
      <c r="D50" s="1158"/>
      <c r="E50" s="1158"/>
      <c r="F50" s="1158"/>
      <c r="G50" s="1158"/>
      <c r="H50" s="1158"/>
      <c r="I50" s="1158"/>
      <c r="J50" s="1158"/>
      <c r="K50" s="1158"/>
      <c r="L50" s="1158"/>
      <c r="M50" s="1158"/>
      <c r="N50" s="1158"/>
      <c r="O50" s="1158"/>
      <c r="R50" s="1164">
        <v>2001</v>
      </c>
      <c r="S50" s="1165">
        <f>E13</f>
        <v>23</v>
      </c>
      <c r="T50" s="1165">
        <f>F13</f>
        <v>38</v>
      </c>
      <c r="U50" s="1165">
        <f>G13</f>
        <v>180</v>
      </c>
      <c r="V50" s="1166"/>
      <c r="W50" s="1165">
        <f t="shared" si="9"/>
        <v>241</v>
      </c>
      <c r="X50" s="1165"/>
      <c r="Y50" s="1165"/>
      <c r="Z50" s="1165">
        <f>K13</f>
        <v>9</v>
      </c>
      <c r="AA50" s="1165">
        <f>L13</f>
        <v>6752</v>
      </c>
      <c r="AB50" s="1165">
        <f>M13</f>
        <v>3455849</v>
      </c>
      <c r="AC50" s="1165">
        <f t="shared" si="10"/>
        <v>3462610</v>
      </c>
    </row>
    <row r="51" spans="1:29" s="577" customFormat="1" ht="14.25" x14ac:dyDescent="0.3">
      <c r="A51" s="1158"/>
      <c r="B51" s="1158"/>
      <c r="C51" s="1158"/>
      <c r="D51" s="1158"/>
      <c r="E51" s="1158"/>
      <c r="F51" s="1158"/>
      <c r="G51" s="1158"/>
      <c r="H51" s="1158"/>
      <c r="I51" s="1158"/>
      <c r="J51" s="1158"/>
      <c r="K51" s="1158"/>
      <c r="L51" s="1158"/>
      <c r="M51" s="1158"/>
      <c r="N51" s="1158"/>
      <c r="O51" s="1158"/>
      <c r="R51" s="1164">
        <v>2002</v>
      </c>
      <c r="S51" s="1165">
        <f>E14</f>
        <v>32</v>
      </c>
      <c r="T51" s="1165">
        <f>F14</f>
        <v>41</v>
      </c>
      <c r="U51" s="1165">
        <f>G14</f>
        <v>188</v>
      </c>
      <c r="V51" s="1166"/>
      <c r="W51" s="1165">
        <f t="shared" si="9"/>
        <v>261</v>
      </c>
      <c r="X51" s="1165"/>
      <c r="Y51" s="1165"/>
      <c r="Z51" s="1165">
        <f>K14</f>
        <v>11</v>
      </c>
      <c r="AA51" s="1165">
        <f>L14</f>
        <v>7166</v>
      </c>
      <c r="AB51" s="1165">
        <f>M14</f>
        <v>3607046</v>
      </c>
      <c r="AC51" s="1165">
        <f t="shared" si="10"/>
        <v>3614223</v>
      </c>
    </row>
    <row r="52" spans="1:29" s="577" customFormat="1" ht="14.25" x14ac:dyDescent="0.3">
      <c r="A52" s="1158"/>
      <c r="B52" s="1158"/>
      <c r="C52" s="1158"/>
      <c r="D52" s="1158"/>
      <c r="E52" s="1158"/>
      <c r="F52" s="1158"/>
      <c r="G52" s="1158"/>
      <c r="H52" s="1158"/>
      <c r="I52" s="1158"/>
      <c r="J52" s="1158"/>
      <c r="K52" s="1158"/>
      <c r="L52" s="1158"/>
      <c r="M52" s="1158"/>
      <c r="N52" s="1158"/>
      <c r="O52" s="1158"/>
      <c r="R52" s="1164">
        <v>2003</v>
      </c>
      <c r="S52" s="1165">
        <f>E15</f>
        <v>37</v>
      </c>
      <c r="T52" s="1165">
        <f>F15</f>
        <v>35</v>
      </c>
      <c r="U52" s="1165">
        <f>G15</f>
        <v>175</v>
      </c>
      <c r="V52" s="1166"/>
      <c r="W52" s="1165">
        <f t="shared" si="9"/>
        <v>247</v>
      </c>
      <c r="X52" s="1165"/>
      <c r="Y52" s="1165"/>
      <c r="Z52" s="1165">
        <f>K15</f>
        <v>12</v>
      </c>
      <c r="AA52" s="1165">
        <f>L15</f>
        <v>7598</v>
      </c>
      <c r="AB52" s="1165">
        <f>M15</f>
        <v>3719409</v>
      </c>
      <c r="AC52" s="1165">
        <f t="shared" si="10"/>
        <v>3727019</v>
      </c>
    </row>
    <row r="53" spans="1:29" s="577" customFormat="1" ht="14.25" x14ac:dyDescent="0.3">
      <c r="A53" s="1158"/>
      <c r="B53" s="1158"/>
      <c r="C53" s="1158"/>
      <c r="D53" s="1158"/>
      <c r="E53" s="1158"/>
      <c r="F53" s="1158"/>
      <c r="G53" s="1158"/>
      <c r="H53" s="1158"/>
      <c r="I53" s="1158"/>
      <c r="J53" s="1158"/>
      <c r="K53" s="1158"/>
      <c r="L53" s="1158"/>
      <c r="M53" s="1158"/>
      <c r="N53" s="1158"/>
      <c r="O53" s="1158"/>
      <c r="R53" s="1164">
        <v>2004</v>
      </c>
      <c r="S53" s="1165">
        <f>E16</f>
        <v>37</v>
      </c>
      <c r="T53" s="1165">
        <f>F16</f>
        <v>33</v>
      </c>
      <c r="U53" s="1165">
        <f>G16</f>
        <v>175</v>
      </c>
      <c r="V53" s="1166"/>
      <c r="W53" s="1165">
        <f t="shared" si="9"/>
        <v>245</v>
      </c>
      <c r="X53" s="1165"/>
      <c r="Y53" s="1165"/>
      <c r="Z53" s="1165">
        <f>K16</f>
        <v>19</v>
      </c>
      <c r="AA53" s="1165">
        <f>L16</f>
        <v>8120</v>
      </c>
      <c r="AB53" s="1165">
        <f>M16</f>
        <v>3852131</v>
      </c>
      <c r="AC53" s="1165">
        <f t="shared" si="10"/>
        <v>3860270</v>
      </c>
    </row>
    <row r="54" spans="1:29" s="577" customFormat="1" ht="14.25" x14ac:dyDescent="0.3">
      <c r="A54" s="1158"/>
      <c r="B54" s="1158"/>
      <c r="C54" s="1158"/>
      <c r="D54" s="1158"/>
      <c r="E54" s="1158"/>
      <c r="F54" s="1158"/>
      <c r="G54" s="1158"/>
      <c r="H54" s="1158"/>
      <c r="I54" s="1158"/>
      <c r="J54" s="1158"/>
      <c r="K54" s="1158"/>
      <c r="L54" s="1158"/>
      <c r="M54" s="1158"/>
      <c r="N54" s="1158"/>
      <c r="O54" s="1158"/>
      <c r="R54" s="1164">
        <v>2005</v>
      </c>
      <c r="S54" s="1165">
        <f>E17</f>
        <v>36</v>
      </c>
      <c r="T54" s="1165">
        <f>F17</f>
        <v>36</v>
      </c>
      <c r="U54" s="1165">
        <f>G17</f>
        <v>172</v>
      </c>
      <c r="V54" s="1166"/>
      <c r="W54" s="1165">
        <f t="shared" si="9"/>
        <v>244</v>
      </c>
      <c r="X54" s="1165"/>
      <c r="Y54" s="1165"/>
      <c r="Z54" s="1165">
        <f>K17</f>
        <v>18</v>
      </c>
      <c r="AA54" s="1165">
        <f>L17</f>
        <v>8727</v>
      </c>
      <c r="AB54" s="1165">
        <f>M17</f>
        <v>3968111</v>
      </c>
      <c r="AC54" s="1165">
        <f t="shared" si="10"/>
        <v>3976856</v>
      </c>
    </row>
    <row r="55" spans="1:29" s="577" customFormat="1" ht="14.25" x14ac:dyDescent="0.3">
      <c r="A55" s="1158"/>
      <c r="B55" s="1158"/>
      <c r="C55" s="1158"/>
      <c r="D55" s="1158"/>
      <c r="E55" s="1158"/>
      <c r="F55" s="1158"/>
      <c r="G55" s="1158"/>
      <c r="H55" s="1158"/>
      <c r="I55" s="1158"/>
      <c r="J55" s="1158"/>
      <c r="K55" s="1158"/>
      <c r="L55" s="1158"/>
      <c r="M55" s="1158"/>
      <c r="N55" s="1158"/>
      <c r="O55" s="1158"/>
      <c r="R55" s="1164">
        <v>2006</v>
      </c>
      <c r="S55" s="1165">
        <f>E18</f>
        <v>38</v>
      </c>
      <c r="T55" s="1165">
        <f>F18</f>
        <v>36</v>
      </c>
      <c r="U55" s="1165">
        <f>G18</f>
        <v>163</v>
      </c>
      <c r="V55" s="1166"/>
      <c r="W55" s="1165">
        <f t="shared" si="9"/>
        <v>237</v>
      </c>
      <c r="X55" s="1165"/>
      <c r="Y55" s="1165"/>
      <c r="Z55" s="1165">
        <f>K18</f>
        <v>22</v>
      </c>
      <c r="AA55" s="1165">
        <f>L18</f>
        <v>9454</v>
      </c>
      <c r="AB55" s="1165">
        <f>M18</f>
        <v>4155561</v>
      </c>
      <c r="AC55" s="1165">
        <f t="shared" si="10"/>
        <v>4165037</v>
      </c>
    </row>
    <row r="56" spans="1:29" s="577" customFormat="1" ht="14.25" x14ac:dyDescent="0.3">
      <c r="A56" s="1158"/>
      <c r="B56" s="1158"/>
      <c r="C56" s="1158"/>
      <c r="D56" s="1158"/>
      <c r="E56" s="1158"/>
      <c r="F56" s="1158"/>
      <c r="G56" s="1158"/>
      <c r="H56" s="1158"/>
      <c r="I56" s="1158"/>
      <c r="J56" s="1158"/>
      <c r="K56" s="1158"/>
      <c r="L56" s="1158"/>
      <c r="M56" s="1158"/>
      <c r="N56" s="1158"/>
      <c r="O56" s="1158"/>
      <c r="R56" s="1164">
        <v>2007</v>
      </c>
      <c r="S56" s="1165">
        <f>E19</f>
        <v>43</v>
      </c>
      <c r="T56" s="1165">
        <f>F19</f>
        <v>34</v>
      </c>
      <c r="U56" s="1165">
        <f>G19</f>
        <v>173</v>
      </c>
      <c r="V56" s="1166"/>
      <c r="W56" s="1165">
        <f t="shared" ref="W56:W61" si="11">SUM(S56:V56)</f>
        <v>250</v>
      </c>
      <c r="X56" s="1165"/>
      <c r="Y56" s="1165"/>
      <c r="Z56" s="1165">
        <f>K19</f>
        <v>25</v>
      </c>
      <c r="AA56" s="1165">
        <f>L19</f>
        <v>10314</v>
      </c>
      <c r="AB56" s="1165">
        <f>M19</f>
        <v>4349273</v>
      </c>
      <c r="AC56" s="1165">
        <f>SUM(Z56:AB56)</f>
        <v>4359612</v>
      </c>
    </row>
    <row r="57" spans="1:29" s="577" customFormat="1" ht="14.25" x14ac:dyDescent="0.3">
      <c r="A57" s="1158"/>
      <c r="B57" s="1158"/>
      <c r="C57" s="1158"/>
      <c r="D57" s="1158"/>
      <c r="E57" s="1158"/>
      <c r="F57" s="1158"/>
      <c r="G57" s="1158"/>
      <c r="H57" s="1158"/>
      <c r="I57" s="1158"/>
      <c r="J57" s="1158"/>
      <c r="K57" s="1158"/>
      <c r="L57" s="1158"/>
      <c r="M57" s="1158"/>
      <c r="N57" s="1158"/>
      <c r="O57" s="1158"/>
      <c r="R57" s="1164">
        <v>2008</v>
      </c>
      <c r="S57" s="1165">
        <f>E20</f>
        <v>44</v>
      </c>
      <c r="T57" s="1165">
        <f>F20</f>
        <v>34</v>
      </c>
      <c r="U57" s="1165">
        <f>G20</f>
        <v>180</v>
      </c>
      <c r="V57" s="1166"/>
      <c r="W57" s="1165">
        <f t="shared" si="11"/>
        <v>258</v>
      </c>
      <c r="X57" s="1165"/>
      <c r="Y57" s="1165"/>
      <c r="Z57" s="1165">
        <f>K20</f>
        <v>24</v>
      </c>
      <c r="AA57" s="1165">
        <f>L20</f>
        <v>11422</v>
      </c>
      <c r="AB57" s="1165">
        <f>M20</f>
        <v>4613088</v>
      </c>
      <c r="AC57" s="1165">
        <f>SUM(Z57:AB57)</f>
        <v>4624534</v>
      </c>
    </row>
    <row r="58" spans="1:29" s="577" customFormat="1" ht="14.25" x14ac:dyDescent="0.3">
      <c r="A58" s="1158"/>
      <c r="B58" s="1158"/>
      <c r="C58" s="1158"/>
      <c r="D58" s="1158"/>
      <c r="E58" s="1158"/>
      <c r="F58" s="1158"/>
      <c r="G58" s="1158"/>
      <c r="H58" s="1158"/>
      <c r="I58" s="1158"/>
      <c r="J58" s="1158"/>
      <c r="K58" s="1158"/>
      <c r="L58" s="1158"/>
      <c r="M58" s="1158"/>
      <c r="N58" s="1158"/>
      <c r="O58" s="1158"/>
      <c r="R58" s="1164">
        <v>2009</v>
      </c>
      <c r="S58" s="1165">
        <f>E21</f>
        <v>42</v>
      </c>
      <c r="T58" s="1165">
        <f>F21</f>
        <v>40</v>
      </c>
      <c r="U58" s="1165">
        <f>G21</f>
        <v>187</v>
      </c>
      <c r="V58" s="1166"/>
      <c r="W58" s="1165">
        <f t="shared" si="11"/>
        <v>269</v>
      </c>
      <c r="X58" s="1165"/>
      <c r="Y58" s="1165"/>
      <c r="Z58" s="1165">
        <f>K21</f>
        <v>22</v>
      </c>
      <c r="AA58" s="1165">
        <f>L21</f>
        <v>12368</v>
      </c>
      <c r="AB58" s="1165">
        <f>M21</f>
        <v>4866305</v>
      </c>
      <c r="AC58" s="1165">
        <f>SUM(Z58:AB58)</f>
        <v>4878695</v>
      </c>
    </row>
    <row r="59" spans="1:29" s="577" customFormat="1" ht="14.25" x14ac:dyDescent="0.3">
      <c r="A59" s="1158"/>
      <c r="B59" s="1158"/>
      <c r="C59" s="1158"/>
      <c r="D59" s="1158"/>
      <c r="E59" s="1158"/>
      <c r="F59" s="1158"/>
      <c r="G59" s="1158"/>
      <c r="H59" s="1158"/>
      <c r="I59" s="1158"/>
      <c r="J59" s="1158"/>
      <c r="K59" s="1158"/>
      <c r="L59" s="1158"/>
      <c r="M59" s="1158"/>
      <c r="N59" s="1158"/>
      <c r="O59" s="1158"/>
      <c r="R59" s="1164">
        <v>2010</v>
      </c>
      <c r="S59" s="1165">
        <f>E22</f>
        <v>48</v>
      </c>
      <c r="T59" s="1165">
        <f>F22</f>
        <v>39</v>
      </c>
      <c r="U59" s="1165">
        <f>G22</f>
        <v>171</v>
      </c>
      <c r="V59" s="1166"/>
      <c r="W59" s="1165">
        <f t="shared" si="11"/>
        <v>258</v>
      </c>
      <c r="X59" s="1165"/>
      <c r="Y59" s="1165"/>
      <c r="Z59" s="1165">
        <f>K22</f>
        <v>23</v>
      </c>
      <c r="AA59" s="1165">
        <f>L22</f>
        <v>13331</v>
      </c>
      <c r="AB59" s="1165">
        <f>M22</f>
        <v>5157284</v>
      </c>
      <c r="AC59" s="1165">
        <f>SUM(Z59:AB59)</f>
        <v>5170638</v>
      </c>
    </row>
    <row r="60" spans="1:29" s="577" customFormat="1" ht="14.25" x14ac:dyDescent="0.3">
      <c r="A60" s="1158"/>
      <c r="B60" s="1158"/>
      <c r="C60" s="1158"/>
      <c r="D60" s="1158"/>
      <c r="E60" s="1158"/>
      <c r="F60" s="1158"/>
      <c r="G60" s="1158"/>
      <c r="H60" s="1158"/>
      <c r="I60" s="1158"/>
      <c r="J60" s="1158"/>
      <c r="K60" s="1158"/>
      <c r="L60" s="1158"/>
      <c r="M60" s="1158"/>
      <c r="N60" s="1158"/>
      <c r="O60" s="1158"/>
      <c r="R60" s="1164">
        <v>2011</v>
      </c>
      <c r="S60" s="1165">
        <f>E23</f>
        <v>48</v>
      </c>
      <c r="T60" s="1165">
        <f>F23</f>
        <v>45</v>
      </c>
      <c r="U60" s="1165">
        <f>G23</f>
        <v>168</v>
      </c>
      <c r="V60" s="1166"/>
      <c r="W60" s="1165">
        <f t="shared" si="11"/>
        <v>261</v>
      </c>
      <c r="X60" s="1165"/>
      <c r="Y60" s="1165">
        <f>J23</f>
        <v>1</v>
      </c>
      <c r="Z60" s="1165">
        <f>K23</f>
        <v>24</v>
      </c>
      <c r="AA60" s="1165">
        <f>L23</f>
        <v>14409</v>
      </c>
      <c r="AB60" s="1165">
        <f>M23</f>
        <v>5480527</v>
      </c>
      <c r="AC60" s="1165">
        <f t="shared" ref="AC60:AC65" si="12">SUM(Y60:AB60)</f>
        <v>5494961</v>
      </c>
    </row>
    <row r="61" spans="1:29" s="577" customFormat="1" ht="14.25" x14ac:dyDescent="0.3">
      <c r="A61" s="1158"/>
      <c r="B61" s="1158"/>
      <c r="C61" s="1158"/>
      <c r="D61" s="1158"/>
      <c r="E61" s="1158"/>
      <c r="F61" s="1158"/>
      <c r="G61" s="1158"/>
      <c r="H61" s="1158"/>
      <c r="I61" s="1158"/>
      <c r="J61" s="1158"/>
      <c r="K61" s="1158"/>
      <c r="L61" s="1158"/>
      <c r="M61" s="1158"/>
      <c r="N61" s="1158"/>
      <c r="O61" s="1158"/>
      <c r="R61" s="1164">
        <v>2012</v>
      </c>
      <c r="S61" s="1165">
        <f>E24</f>
        <v>52</v>
      </c>
      <c r="T61" s="1165">
        <f>F24</f>
        <v>46</v>
      </c>
      <c r="U61" s="1165">
        <f>G24</f>
        <v>164</v>
      </c>
      <c r="V61" s="1166"/>
      <c r="W61" s="1165">
        <f t="shared" si="11"/>
        <v>262</v>
      </c>
      <c r="X61" s="446"/>
      <c r="Y61" s="1165">
        <f>J24</f>
        <v>1</v>
      </c>
      <c r="Z61" s="1165">
        <f>K24</f>
        <v>19</v>
      </c>
      <c r="AA61" s="1165">
        <f>L24</f>
        <v>15886</v>
      </c>
      <c r="AB61" s="1165">
        <f>M24</f>
        <v>5818719</v>
      </c>
      <c r="AC61" s="1165">
        <f t="shared" si="12"/>
        <v>5834625</v>
      </c>
    </row>
    <row r="62" spans="1:29" s="577" customFormat="1" ht="14.25" x14ac:dyDescent="0.3">
      <c r="A62" s="1158"/>
      <c r="B62" s="1158"/>
      <c r="C62" s="1158"/>
      <c r="D62" s="1158"/>
      <c r="E62" s="1158"/>
      <c r="F62" s="1158"/>
      <c r="G62" s="1158"/>
      <c r="H62" s="1158"/>
      <c r="I62" s="1158"/>
      <c r="J62" s="1158"/>
      <c r="K62" s="1158"/>
      <c r="L62" s="1158"/>
      <c r="M62" s="1158"/>
      <c r="N62" s="1158"/>
      <c r="O62" s="1158"/>
      <c r="R62" s="1164">
        <v>2013</v>
      </c>
      <c r="S62" s="1165">
        <f>E25</f>
        <v>57</v>
      </c>
      <c r="T62" s="1165">
        <f>F25</f>
        <v>57</v>
      </c>
      <c r="U62" s="1165">
        <f>G25</f>
        <v>166</v>
      </c>
      <c r="V62" s="1166"/>
      <c r="W62" s="1165">
        <f t="shared" ref="W62:W67" si="13">SUM(S62:V62)</f>
        <v>280</v>
      </c>
      <c r="X62" s="446"/>
      <c r="Y62" s="1165">
        <f>J25</f>
        <v>1</v>
      </c>
      <c r="Z62" s="1165">
        <f>K25</f>
        <v>19</v>
      </c>
      <c r="AA62" s="1165">
        <f>L25</f>
        <v>16943</v>
      </c>
      <c r="AB62" s="1165">
        <f>M25</f>
        <v>6139072</v>
      </c>
      <c r="AC62" s="1165">
        <f t="shared" si="12"/>
        <v>6156035</v>
      </c>
    </row>
    <row r="63" spans="1:29" s="577" customFormat="1" ht="14.25" x14ac:dyDescent="0.3">
      <c r="A63" s="1158"/>
      <c r="B63" s="1158"/>
      <c r="C63" s="1158"/>
      <c r="D63" s="1158"/>
      <c r="E63" s="1158"/>
      <c r="F63" s="1158"/>
      <c r="G63" s="1158"/>
      <c r="H63" s="1158"/>
      <c r="I63" s="1158"/>
      <c r="J63" s="1158"/>
      <c r="K63" s="1158"/>
      <c r="L63" s="1158"/>
      <c r="M63" s="1158"/>
      <c r="N63" s="1158"/>
      <c r="O63" s="1158"/>
      <c r="R63" s="1164">
        <v>2014</v>
      </c>
      <c r="S63" s="1165">
        <f>E26</f>
        <v>67</v>
      </c>
      <c r="T63" s="1165">
        <f>F26</f>
        <v>60</v>
      </c>
      <c r="U63" s="1165">
        <f>G26</f>
        <v>172.00000000000003</v>
      </c>
      <c r="V63" s="1166"/>
      <c r="W63" s="1165">
        <f t="shared" si="13"/>
        <v>299</v>
      </c>
      <c r="X63" s="446"/>
      <c r="Y63" s="1165">
        <f>J26</f>
        <v>1</v>
      </c>
      <c r="Z63" s="1165">
        <f>K26</f>
        <v>16</v>
      </c>
      <c r="AA63" s="1165">
        <f>L26</f>
        <v>17700.000000000004</v>
      </c>
      <c r="AB63" s="1165">
        <f>M26</f>
        <v>6414727</v>
      </c>
      <c r="AC63" s="1165">
        <f t="shared" si="12"/>
        <v>6432444</v>
      </c>
    </row>
    <row r="64" spans="1:29" s="577" customFormat="1" ht="14.25" x14ac:dyDescent="0.3">
      <c r="A64" s="1158"/>
      <c r="B64" s="1158"/>
      <c r="C64" s="1158"/>
      <c r="D64" s="1158"/>
      <c r="E64" s="1158"/>
      <c r="F64" s="1158"/>
      <c r="G64" s="1158"/>
      <c r="H64" s="1158"/>
      <c r="I64" s="1158"/>
      <c r="J64" s="1158"/>
      <c r="K64" s="1158"/>
      <c r="L64" s="1158"/>
      <c r="M64" s="1158"/>
      <c r="N64" s="1158"/>
      <c r="O64" s="1158"/>
      <c r="R64" s="1164">
        <v>2015</v>
      </c>
      <c r="S64" s="1165">
        <f>E27</f>
        <v>61</v>
      </c>
      <c r="T64" s="1165">
        <f>F27</f>
        <v>53</v>
      </c>
      <c r="U64" s="1165">
        <f>G27</f>
        <v>232</v>
      </c>
      <c r="V64" s="1166"/>
      <c r="W64" s="1165">
        <f t="shared" si="13"/>
        <v>346</v>
      </c>
      <c r="X64" s="446"/>
      <c r="Y64" s="1165">
        <f>J27</f>
        <v>1</v>
      </c>
      <c r="Z64" s="1165">
        <f>K27</f>
        <v>17</v>
      </c>
      <c r="AA64" s="1165">
        <f>L27</f>
        <v>18796</v>
      </c>
      <c r="AB64" s="1165">
        <f>M27</f>
        <v>6662868</v>
      </c>
      <c r="AC64" s="1165">
        <f t="shared" si="12"/>
        <v>6681682</v>
      </c>
    </row>
    <row r="65" spans="1:29" s="577" customFormat="1" ht="14.25" x14ac:dyDescent="0.3">
      <c r="A65" s="1158"/>
      <c r="B65" s="1158"/>
      <c r="C65" s="1158"/>
      <c r="D65" s="1158"/>
      <c r="E65" s="1158"/>
      <c r="F65" s="1158"/>
      <c r="G65" s="1158"/>
      <c r="H65" s="1158"/>
      <c r="I65" s="1158"/>
      <c r="J65" s="1158"/>
      <c r="K65" s="1158"/>
      <c r="L65" s="1158"/>
      <c r="M65" s="1158"/>
      <c r="N65" s="1158"/>
      <c r="O65" s="1158"/>
      <c r="R65" s="1164">
        <v>2016</v>
      </c>
      <c r="S65" s="1165">
        <f>E28</f>
        <v>71</v>
      </c>
      <c r="T65" s="1165">
        <f>F28</f>
        <v>52</v>
      </c>
      <c r="U65" s="1165">
        <f>G28</f>
        <v>810</v>
      </c>
      <c r="V65" s="1166"/>
      <c r="W65" s="1165">
        <f t="shared" si="13"/>
        <v>933</v>
      </c>
      <c r="X65" s="446"/>
      <c r="Y65" s="1165">
        <f>J28</f>
        <v>1</v>
      </c>
      <c r="Z65" s="1165">
        <f>K28</f>
        <v>16</v>
      </c>
      <c r="AA65" s="1165">
        <f>L28</f>
        <v>18704.999999999996</v>
      </c>
      <c r="AB65" s="1165">
        <f>M28</f>
        <v>6916853</v>
      </c>
      <c r="AC65" s="1165">
        <f t="shared" si="12"/>
        <v>6935575</v>
      </c>
    </row>
    <row r="66" spans="1:29" s="577" customFormat="1" ht="14.25" x14ac:dyDescent="0.3">
      <c r="A66" s="1158"/>
      <c r="B66" s="1158"/>
      <c r="C66" s="1158"/>
      <c r="D66" s="1158"/>
      <c r="E66" s="1158"/>
      <c r="F66" s="1158"/>
      <c r="G66" s="1158"/>
      <c r="H66" s="1158"/>
      <c r="I66" s="1158"/>
      <c r="J66" s="1158"/>
      <c r="K66" s="1158"/>
      <c r="L66" s="1158"/>
      <c r="M66" s="1158"/>
      <c r="N66" s="1158"/>
      <c r="O66" s="1158"/>
      <c r="R66" s="1164">
        <v>2017</v>
      </c>
      <c r="S66" s="1165">
        <f>E29</f>
        <v>134</v>
      </c>
      <c r="T66" s="1165">
        <f>F29</f>
        <v>56</v>
      </c>
      <c r="U66" s="1165">
        <f>G29</f>
        <v>1225</v>
      </c>
      <c r="V66" s="1166"/>
      <c r="W66" s="1165">
        <f t="shared" si="13"/>
        <v>1415</v>
      </c>
      <c r="X66" s="446"/>
      <c r="Y66" s="1165">
        <f>J29</f>
        <v>1</v>
      </c>
      <c r="Z66" s="1165">
        <f>K29</f>
        <v>12</v>
      </c>
      <c r="AA66" s="1165">
        <f>L29</f>
        <v>18760</v>
      </c>
      <c r="AB66" s="1165">
        <f>M29</f>
        <v>7147546</v>
      </c>
      <c r="AC66" s="1165">
        <f>SUM(Y66:AB66)</f>
        <v>7166319</v>
      </c>
    </row>
    <row r="67" spans="1:29" s="577" customFormat="1" ht="14.25" x14ac:dyDescent="0.3">
      <c r="A67" s="1158"/>
      <c r="B67" s="1158"/>
      <c r="C67" s="1158"/>
      <c r="D67" s="1158"/>
      <c r="E67" s="1158"/>
      <c r="F67" s="1158"/>
      <c r="G67" s="1158"/>
      <c r="H67" s="1158"/>
      <c r="I67" s="1158"/>
      <c r="J67" s="1158"/>
      <c r="K67" s="1158"/>
      <c r="L67" s="1158"/>
      <c r="M67" s="1158"/>
      <c r="N67" s="1158"/>
      <c r="O67" s="1158"/>
      <c r="R67" s="1164">
        <v>2018</v>
      </c>
      <c r="S67" s="1165">
        <f>E30</f>
        <v>185</v>
      </c>
      <c r="T67" s="1165">
        <f>F30</f>
        <v>59</v>
      </c>
      <c r="U67" s="1165">
        <f>G30</f>
        <v>1588</v>
      </c>
      <c r="V67" s="1165">
        <f>H30</f>
        <v>2</v>
      </c>
      <c r="W67" s="1165">
        <f t="shared" si="13"/>
        <v>1834</v>
      </c>
      <c r="X67" s="446"/>
      <c r="Y67" s="1165">
        <f>J30</f>
        <v>1</v>
      </c>
      <c r="Z67" s="1165">
        <f>K30</f>
        <v>10</v>
      </c>
      <c r="AA67" s="1165">
        <f>L30</f>
        <v>19056.999999999996</v>
      </c>
      <c r="AB67" s="1165">
        <f>M30</f>
        <v>7356035.9999999925</v>
      </c>
      <c r="AC67" s="1165">
        <f>SUM(Y67:AB67)</f>
        <v>7375103.9999999925</v>
      </c>
    </row>
    <row r="68" spans="1:29" s="577" customFormat="1" ht="14.25" x14ac:dyDescent="0.3">
      <c r="A68" s="1158"/>
      <c r="B68" s="1158"/>
      <c r="C68" s="1158"/>
      <c r="D68" s="1158"/>
      <c r="E68" s="1158"/>
      <c r="F68" s="1158"/>
      <c r="G68" s="1158"/>
      <c r="H68" s="1158"/>
      <c r="I68" s="1158"/>
      <c r="J68" s="1158"/>
      <c r="K68" s="1158"/>
      <c r="L68" s="1158"/>
      <c r="M68" s="1158"/>
      <c r="N68" s="1158"/>
      <c r="O68" s="1158"/>
      <c r="R68" s="1164">
        <v>2019</v>
      </c>
      <c r="S68" s="1165">
        <f t="shared" ref="S68:U68" si="14">E31</f>
        <v>230.00000000000003</v>
      </c>
      <c r="T68" s="1165">
        <f t="shared" si="14"/>
        <v>62.000000000000021</v>
      </c>
      <c r="U68" s="1165">
        <f t="shared" si="14"/>
        <v>1953.0000000000032</v>
      </c>
      <c r="V68" s="1165">
        <f>H31</f>
        <v>1</v>
      </c>
      <c r="W68" s="1165">
        <f t="shared" ref="W68:W69" si="15">SUM(S68:V68)</f>
        <v>2246.0000000000032</v>
      </c>
      <c r="X68" s="446"/>
      <c r="Y68" s="1165">
        <f t="shared" ref="Y68:AB68" si="16">J31</f>
        <v>1</v>
      </c>
      <c r="Z68" s="1165">
        <f t="shared" si="16"/>
        <v>9</v>
      </c>
      <c r="AA68" s="1165">
        <f t="shared" si="16"/>
        <v>19211.999999999975</v>
      </c>
      <c r="AB68" s="1165">
        <f t="shared" si="16"/>
        <v>7544567.9999999637</v>
      </c>
      <c r="AC68" s="1165">
        <f t="shared" ref="AC68:AC69" si="17">SUM(Y68:AB68)</f>
        <v>7563789.9999999637</v>
      </c>
    </row>
    <row r="69" spans="1:29" s="577" customFormat="1" ht="14.25" x14ac:dyDescent="0.3">
      <c r="A69" s="1158"/>
      <c r="B69" s="1158"/>
      <c r="C69" s="1158"/>
      <c r="D69" s="1158"/>
      <c r="E69" s="1158"/>
      <c r="F69" s="1158"/>
      <c r="G69" s="1158"/>
      <c r="H69" s="1158"/>
      <c r="I69" s="1158"/>
      <c r="J69" s="1158"/>
      <c r="K69" s="1158"/>
      <c r="L69" s="1158"/>
      <c r="M69" s="1158"/>
      <c r="N69" s="1158"/>
      <c r="O69" s="1158"/>
      <c r="R69" s="1164">
        <v>2020</v>
      </c>
      <c r="S69" s="1165">
        <f>E32</f>
        <v>255</v>
      </c>
      <c r="T69" s="1165">
        <f t="shared" ref="T69:U69" si="18">F32</f>
        <v>63</v>
      </c>
      <c r="U69" s="1165">
        <f t="shared" si="18"/>
        <v>2242</v>
      </c>
      <c r="V69" s="1165">
        <f>H32</f>
        <v>1</v>
      </c>
      <c r="W69" s="1165">
        <f t="shared" si="15"/>
        <v>2561</v>
      </c>
      <c r="X69" s="446"/>
      <c r="Y69" s="1165">
        <f t="shared" ref="Y69:AB69" si="19">J32</f>
        <v>1</v>
      </c>
      <c r="Z69" s="1165">
        <f t="shared" si="19"/>
        <v>9</v>
      </c>
      <c r="AA69" s="1165">
        <f t="shared" si="19"/>
        <v>19117.000000000007</v>
      </c>
      <c r="AB69" s="1165">
        <f t="shared" si="19"/>
        <v>7757339.9999999981</v>
      </c>
      <c r="AC69" s="1165">
        <f t="shared" si="17"/>
        <v>7776466.9999999981</v>
      </c>
    </row>
    <row r="70" spans="1:29" s="577" customFormat="1" ht="14.25" x14ac:dyDescent="0.3">
      <c r="A70" s="1158"/>
      <c r="B70" s="1158"/>
      <c r="C70" s="1158"/>
      <c r="D70" s="1158"/>
      <c r="E70" s="1158"/>
      <c r="F70" s="1158"/>
      <c r="G70" s="1158"/>
      <c r="H70" s="1158"/>
      <c r="I70" s="1158"/>
      <c r="J70" s="1158"/>
      <c r="K70" s="1158"/>
      <c r="L70" s="1158"/>
      <c r="M70" s="1158"/>
      <c r="N70" s="1158"/>
      <c r="O70" s="1158"/>
      <c r="R70" s="1164">
        <v>2021</v>
      </c>
      <c r="S70" s="1165">
        <f>E33</f>
        <v>263</v>
      </c>
      <c r="T70" s="1165">
        <f>F33</f>
        <v>71</v>
      </c>
      <c r="U70" s="1165">
        <f>G33</f>
        <v>2596</v>
      </c>
      <c r="V70" s="1165">
        <f>H33</f>
        <v>4</v>
      </c>
      <c r="W70" s="1165">
        <f>SUM(S70:V70)</f>
        <v>2934</v>
      </c>
      <c r="X70" s="1159"/>
      <c r="Y70" s="1165">
        <f t="shared" ref="Y70" si="20">J33</f>
        <v>1</v>
      </c>
      <c r="Z70" s="1165">
        <f t="shared" ref="Z70" si="21">K33</f>
        <v>6</v>
      </c>
      <c r="AA70" s="1165">
        <f t="shared" ref="AA70" si="22">L33</f>
        <v>19290</v>
      </c>
      <c r="AB70" s="1165">
        <f t="shared" ref="AB70" si="23">M33</f>
        <v>8121860.9999999981</v>
      </c>
      <c r="AC70" s="1165">
        <f t="shared" ref="AC70" si="24">SUM(Y70:AB70)</f>
        <v>8141157.9999999981</v>
      </c>
    </row>
    <row r="71" spans="1:29" s="577" customFormat="1" x14ac:dyDescent="0.25">
      <c r="R71" s="1164">
        <v>2022</v>
      </c>
      <c r="S71" s="1165">
        <f>E34</f>
        <v>187</v>
      </c>
      <c r="T71" s="1165">
        <f>F34</f>
        <v>75</v>
      </c>
      <c r="U71" s="1165">
        <f>G34</f>
        <v>2934</v>
      </c>
      <c r="V71" s="1165">
        <f>H34</f>
        <v>7</v>
      </c>
      <c r="W71" s="1165">
        <f>SUM(S71:V71)</f>
        <v>3203</v>
      </c>
      <c r="X71" s="1159"/>
      <c r="Y71" s="1165">
        <f t="shared" ref="Y71" si="25">J34</f>
        <v>1</v>
      </c>
      <c r="Z71" s="1165">
        <f t="shared" ref="Z71" si="26">K34</f>
        <v>5</v>
      </c>
      <c r="AA71" s="1165">
        <f t="shared" ref="AA71" si="27">L34</f>
        <v>19508</v>
      </c>
      <c r="AB71" s="1165">
        <f t="shared" ref="AB71" si="28">M34</f>
        <v>8326946</v>
      </c>
      <c r="AC71" s="1165">
        <f t="shared" ref="AC71" si="29">SUM(Y71:AB71)</f>
        <v>8346460</v>
      </c>
    </row>
    <row r="72" spans="1:29" s="577" customFormat="1" x14ac:dyDescent="0.25">
      <c r="R72" s="1164">
        <v>2023</v>
      </c>
      <c r="S72" s="1165">
        <f>E35</f>
        <v>301</v>
      </c>
      <c r="T72" s="1165">
        <f>F35</f>
        <v>64</v>
      </c>
      <c r="U72" s="1165">
        <f>G35</f>
        <v>2930</v>
      </c>
      <c r="V72" s="1165">
        <f>H35</f>
        <v>7</v>
      </c>
      <c r="W72" s="1165">
        <f>SUM(S72:V72)</f>
        <v>3302</v>
      </c>
      <c r="X72" s="1159"/>
      <c r="Y72" s="1165">
        <f t="shared" ref="Y72" si="30">J35</f>
        <v>0</v>
      </c>
      <c r="Z72" s="1165">
        <f t="shared" ref="Z72" si="31">K35</f>
        <v>6</v>
      </c>
      <c r="AA72" s="1165">
        <f t="shared" ref="AA72" si="32">L35</f>
        <v>19580.000000000004</v>
      </c>
      <c r="AB72" s="1165">
        <f t="shared" ref="AB72" si="33">M35</f>
        <v>8561380.9999999925</v>
      </c>
      <c r="AC72" s="1165">
        <f t="shared" ref="AC72" si="34">SUM(Y72:AB72)</f>
        <v>8580966.9999999925</v>
      </c>
    </row>
    <row r="73" spans="1:29" s="577" customFormat="1" x14ac:dyDescent="0.25">
      <c r="R73" s="1159"/>
      <c r="S73" s="1159"/>
      <c r="T73" s="1159"/>
      <c r="U73" s="1159"/>
      <c r="V73" s="1159"/>
      <c r="W73" s="1159"/>
      <c r="X73" s="1159"/>
      <c r="Y73" s="1159"/>
      <c r="Z73" s="1159"/>
      <c r="AA73" s="1159"/>
      <c r="AB73" s="1159"/>
      <c r="AC73" s="1159"/>
    </row>
    <row r="74" spans="1:29" s="577" customFormat="1" x14ac:dyDescent="0.25">
      <c r="R74" s="1159"/>
      <c r="S74" s="1159"/>
      <c r="T74" s="1159"/>
      <c r="U74" s="1159"/>
      <c r="V74" s="1159"/>
      <c r="W74" s="1159"/>
      <c r="X74" s="1159"/>
      <c r="Y74" s="1159"/>
      <c r="Z74" s="1159"/>
      <c r="AA74" s="1159"/>
      <c r="AB74" s="1159"/>
      <c r="AC74" s="1159"/>
    </row>
    <row r="75" spans="1:29" s="577" customFormat="1" x14ac:dyDescent="0.25">
      <c r="R75" s="1159"/>
      <c r="S75" s="1159"/>
      <c r="T75" s="1159"/>
      <c r="U75" s="1159"/>
      <c r="V75" s="1159"/>
      <c r="W75" s="1159"/>
      <c r="X75" s="1159"/>
      <c r="Y75" s="1159"/>
      <c r="Z75" s="1159"/>
      <c r="AA75" s="1159"/>
      <c r="AB75" s="1159"/>
      <c r="AC75" s="1159"/>
    </row>
    <row r="76" spans="1:29" s="577" customFormat="1" x14ac:dyDescent="0.25">
      <c r="R76" s="1159"/>
      <c r="S76" s="1159"/>
      <c r="T76" s="1159"/>
      <c r="U76" s="1159"/>
      <c r="V76" s="1159"/>
      <c r="W76" s="1159"/>
      <c r="X76" s="1159"/>
      <c r="Y76" s="1159"/>
      <c r="Z76" s="1159"/>
      <c r="AA76" s="1159"/>
      <c r="AB76" s="1159"/>
      <c r="AC76" s="1159"/>
    </row>
    <row r="77" spans="1:29" s="577" customFormat="1" x14ac:dyDescent="0.25">
      <c r="R77" s="1159"/>
      <c r="S77" s="1159"/>
      <c r="T77" s="1159"/>
      <c r="U77" s="1159"/>
      <c r="V77" s="1159"/>
      <c r="W77" s="1159"/>
      <c r="X77" s="1159"/>
      <c r="Y77" s="1159"/>
      <c r="Z77" s="1159"/>
      <c r="AA77" s="1159"/>
      <c r="AB77" s="1159"/>
      <c r="AC77" s="1159"/>
    </row>
    <row r="78" spans="1:29" s="577" customFormat="1" x14ac:dyDescent="0.25">
      <c r="R78" s="1159"/>
      <c r="S78" s="1159"/>
      <c r="T78" s="1159"/>
      <c r="U78" s="1159"/>
      <c r="V78" s="1159"/>
      <c r="W78" s="1159"/>
      <c r="X78" s="1159"/>
      <c r="Y78" s="1159"/>
      <c r="Z78" s="1159"/>
      <c r="AA78" s="1159"/>
      <c r="AB78" s="1159"/>
      <c r="AC78" s="1159"/>
    </row>
    <row r="79" spans="1:29" s="577" customFormat="1" x14ac:dyDescent="0.25">
      <c r="R79" s="1159"/>
      <c r="S79" s="1159"/>
      <c r="T79" s="1159"/>
      <c r="U79" s="1159"/>
      <c r="V79" s="1159"/>
      <c r="W79" s="1159"/>
      <c r="X79" s="1159"/>
      <c r="Y79" s="1159"/>
      <c r="Z79" s="1159"/>
      <c r="AA79" s="1159"/>
      <c r="AB79" s="1159"/>
      <c r="AC79" s="1159"/>
    </row>
    <row r="80" spans="1:29" s="577" customFormat="1" x14ac:dyDescent="0.25">
      <c r="R80" s="1159"/>
      <c r="S80" s="1159"/>
      <c r="T80" s="1159"/>
      <c r="U80" s="1159"/>
      <c r="V80" s="1159"/>
      <c r="W80" s="1159"/>
      <c r="X80" s="1159"/>
      <c r="Y80" s="1159"/>
      <c r="Z80" s="1159"/>
      <c r="AA80" s="1159"/>
      <c r="AB80" s="1159"/>
      <c r="AC80" s="1159"/>
    </row>
    <row r="81" spans="18:29" s="577" customFormat="1" x14ac:dyDescent="0.25">
      <c r="R81" s="1159"/>
      <c r="S81" s="1159"/>
      <c r="T81" s="1159"/>
      <c r="U81" s="1159"/>
      <c r="V81" s="1159"/>
      <c r="W81" s="1159"/>
      <c r="X81" s="1159"/>
      <c r="Y81" s="1159"/>
      <c r="Z81" s="1159"/>
      <c r="AA81" s="1159"/>
      <c r="AB81" s="1159"/>
      <c r="AC81" s="1159"/>
    </row>
    <row r="82" spans="18:29" s="577" customFormat="1" x14ac:dyDescent="0.25">
      <c r="R82" s="1159"/>
      <c r="S82" s="1159"/>
      <c r="T82" s="1159"/>
      <c r="U82" s="1159"/>
      <c r="V82" s="1159"/>
      <c r="W82" s="1159"/>
      <c r="X82" s="1159"/>
      <c r="Y82" s="1159"/>
      <c r="Z82" s="1159"/>
      <c r="AA82" s="1159"/>
      <c r="AB82" s="1159"/>
      <c r="AC82" s="1159"/>
    </row>
    <row r="83" spans="18:29" s="577" customFormat="1" x14ac:dyDescent="0.25">
      <c r="R83" s="1159"/>
      <c r="S83" s="1159"/>
      <c r="T83" s="1159"/>
      <c r="U83" s="1159"/>
      <c r="V83" s="1159"/>
      <c r="W83" s="1159"/>
      <c r="X83" s="1159"/>
      <c r="Y83" s="1159"/>
      <c r="Z83" s="1159"/>
      <c r="AA83" s="1159"/>
      <c r="AB83" s="1159"/>
      <c r="AC83" s="1159"/>
    </row>
    <row r="84" spans="18:29" s="577" customFormat="1" x14ac:dyDescent="0.25">
      <c r="R84" s="1159"/>
      <c r="S84" s="1159"/>
      <c r="T84" s="1159"/>
      <c r="U84" s="1159"/>
      <c r="V84" s="1159"/>
      <c r="W84" s="1159"/>
      <c r="X84" s="1159"/>
      <c r="Y84" s="1159"/>
      <c r="Z84" s="1159"/>
      <c r="AA84" s="1159"/>
      <c r="AB84" s="1159"/>
      <c r="AC84" s="1159"/>
    </row>
    <row r="85" spans="18:29" s="577" customFormat="1" x14ac:dyDescent="0.25">
      <c r="R85" s="1159"/>
      <c r="S85" s="1159"/>
      <c r="T85" s="1159"/>
      <c r="U85" s="1159"/>
      <c r="V85" s="1159"/>
      <c r="W85" s="1159"/>
      <c r="X85" s="1159"/>
      <c r="Y85" s="1159"/>
      <c r="Z85" s="1159"/>
      <c r="AA85" s="1159"/>
      <c r="AB85" s="1159"/>
      <c r="AC85" s="1159"/>
    </row>
    <row r="86" spans="18:29" s="577" customFormat="1" x14ac:dyDescent="0.25">
      <c r="R86" s="1159"/>
      <c r="S86" s="1159"/>
      <c r="T86" s="1159"/>
      <c r="U86" s="1159"/>
      <c r="V86" s="1159"/>
      <c r="W86" s="1159"/>
      <c r="X86" s="1159"/>
      <c r="Y86" s="1159"/>
      <c r="Z86" s="1159"/>
      <c r="AA86" s="1159"/>
      <c r="AB86" s="1159"/>
      <c r="AC86" s="1159"/>
    </row>
    <row r="87" spans="18:29" s="577" customFormat="1" x14ac:dyDescent="0.25">
      <c r="R87" s="1159"/>
      <c r="S87" s="1159"/>
      <c r="T87" s="1159"/>
      <c r="U87" s="1159"/>
      <c r="V87" s="1159"/>
      <c r="W87" s="1159"/>
      <c r="X87" s="1159"/>
      <c r="Y87" s="1159"/>
      <c r="Z87" s="1159"/>
      <c r="AA87" s="1159"/>
      <c r="AB87" s="1159"/>
      <c r="AC87" s="1159"/>
    </row>
    <row r="88" spans="18:29" s="577" customFormat="1" x14ac:dyDescent="0.25">
      <c r="R88" s="1159"/>
      <c r="S88" s="1159"/>
      <c r="T88" s="1159"/>
      <c r="U88" s="1159"/>
      <c r="V88" s="1159"/>
      <c r="W88" s="1159"/>
      <c r="X88" s="1159"/>
      <c r="Y88" s="1159"/>
      <c r="Z88" s="1159"/>
      <c r="AA88" s="1159"/>
      <c r="AB88" s="1159"/>
      <c r="AC88" s="1159"/>
    </row>
    <row r="89" spans="18:29" s="577" customFormat="1" x14ac:dyDescent="0.25">
      <c r="R89" s="1159"/>
      <c r="S89" s="1159"/>
      <c r="T89" s="1159"/>
      <c r="U89" s="1159"/>
      <c r="V89" s="1159"/>
      <c r="W89" s="1159"/>
      <c r="X89" s="1159"/>
      <c r="Y89" s="1159"/>
      <c r="Z89" s="1159"/>
      <c r="AA89" s="1159"/>
      <c r="AB89" s="1159"/>
      <c r="AC89" s="1159"/>
    </row>
    <row r="90" spans="18:29" s="577" customFormat="1" x14ac:dyDescent="0.25">
      <c r="R90" s="1159"/>
      <c r="S90" s="1159"/>
      <c r="T90" s="1159"/>
      <c r="U90" s="1159"/>
      <c r="V90" s="1159"/>
      <c r="W90" s="1159"/>
      <c r="X90" s="1159"/>
      <c r="Y90" s="1159"/>
      <c r="Z90" s="1159"/>
      <c r="AA90" s="1159"/>
      <c r="AB90" s="1159"/>
      <c r="AC90" s="1159"/>
    </row>
    <row r="91" spans="18:29" s="577" customFormat="1" x14ac:dyDescent="0.25">
      <c r="R91" s="1159"/>
      <c r="S91" s="1159"/>
      <c r="T91" s="1159"/>
      <c r="U91" s="1159"/>
      <c r="V91" s="1159"/>
      <c r="W91" s="1159"/>
      <c r="X91" s="1159"/>
      <c r="Y91" s="1159"/>
      <c r="Z91" s="1159"/>
      <c r="AA91" s="1159"/>
      <c r="AB91" s="1159"/>
      <c r="AC91" s="1159"/>
    </row>
    <row r="92" spans="18:29" s="577" customFormat="1" x14ac:dyDescent="0.25">
      <c r="R92" s="1159"/>
      <c r="S92" s="1159"/>
      <c r="T92" s="1159"/>
      <c r="U92" s="1159"/>
      <c r="V92" s="1159"/>
      <c r="W92" s="1159"/>
      <c r="X92" s="1159"/>
      <c r="Y92" s="1159"/>
      <c r="Z92" s="1159"/>
      <c r="AA92" s="1159"/>
      <c r="AB92" s="1159"/>
      <c r="AC92" s="1159"/>
    </row>
    <row r="93" spans="18:29" s="577" customFormat="1" x14ac:dyDescent="0.25">
      <c r="R93" s="1159"/>
      <c r="S93" s="1159"/>
      <c r="T93" s="1159"/>
      <c r="U93" s="1159"/>
      <c r="V93" s="1159"/>
      <c r="W93" s="1159"/>
      <c r="X93" s="1159"/>
      <c r="Y93" s="1159"/>
      <c r="Z93" s="1159"/>
      <c r="AA93" s="1159"/>
      <c r="AB93" s="1159"/>
      <c r="AC93" s="1159"/>
    </row>
  </sheetData>
  <mergeCells count="36">
    <mergeCell ref="B35:C35"/>
    <mergeCell ref="B42:D42"/>
    <mergeCell ref="B28:C28"/>
    <mergeCell ref="B13:C13"/>
    <mergeCell ref="B15:C15"/>
    <mergeCell ref="B21:C21"/>
    <mergeCell ref="B20:C20"/>
    <mergeCell ref="B36:C36"/>
    <mergeCell ref="B26:C26"/>
    <mergeCell ref="B27:C27"/>
    <mergeCell ref="B16:C16"/>
    <mergeCell ref="B17:C17"/>
    <mergeCell ref="B22:C22"/>
    <mergeCell ref="B25:C25"/>
    <mergeCell ref="B14:C14"/>
    <mergeCell ref="B30:C30"/>
    <mergeCell ref="B34:C34"/>
    <mergeCell ref="N4:N5"/>
    <mergeCell ref="B11:C11"/>
    <mergeCell ref="I4:I5"/>
    <mergeCell ref="E4:H4"/>
    <mergeCell ref="B10:C10"/>
    <mergeCell ref="B4:C5"/>
    <mergeCell ref="B8:C8"/>
    <mergeCell ref="J4:M4"/>
    <mergeCell ref="B7:C7"/>
    <mergeCell ref="B9:C9"/>
    <mergeCell ref="B12:C12"/>
    <mergeCell ref="B18:C18"/>
    <mergeCell ref="B19:C19"/>
    <mergeCell ref="B33:C33"/>
    <mergeCell ref="B31:C31"/>
    <mergeCell ref="B32:C32"/>
    <mergeCell ref="B24:C24"/>
    <mergeCell ref="B23:C23"/>
    <mergeCell ref="B29:C29"/>
  </mergeCells>
  <phoneticPr fontId="0" type="noConversion"/>
  <pageMargins left="0.78740157480314965" right="0.59055118110236215" top="0.78740157480314965" bottom="0.59055118110236215" header="0" footer="0"/>
  <pageSetup paperSize="9" scale="6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109"/>
  <sheetViews>
    <sheetView showGridLines="0" view="pageBreakPreview" topLeftCell="A34" zoomScaleNormal="100" zoomScaleSheetLayoutView="100" workbookViewId="0">
      <selection activeCell="C107" sqref="C107"/>
    </sheetView>
  </sheetViews>
  <sheetFormatPr baseColWidth="10" defaultColWidth="11.42578125" defaultRowHeight="13.5" x14ac:dyDescent="0.25"/>
  <cols>
    <col min="1" max="1" width="3.5703125" style="755" customWidth="1"/>
    <col min="2" max="2" width="18.42578125" style="755" customWidth="1"/>
    <col min="3" max="4" width="12.140625" style="755" customWidth="1"/>
    <col min="5" max="5" width="16.28515625" style="755" customWidth="1"/>
    <col min="6" max="6" width="13.42578125" style="755" customWidth="1"/>
    <col min="7" max="9" width="12.28515625" style="755" customWidth="1"/>
    <col min="10" max="15" width="11.7109375" style="755" customWidth="1"/>
    <col min="16" max="16" width="10" style="755" customWidth="1"/>
    <col min="17" max="19" width="11.42578125" style="756"/>
    <col min="20" max="20" width="22" style="756" bestFit="1" customWidth="1"/>
    <col min="21" max="29" width="11.42578125" style="756"/>
    <col min="30" max="16384" width="11.42578125" style="755"/>
  </cols>
  <sheetData>
    <row r="1" spans="1:29" hidden="1" x14ac:dyDescent="0.25">
      <c r="A1" s="1167" t="s">
        <v>63</v>
      </c>
    </row>
    <row r="2" spans="1:29" hidden="1" x14ac:dyDescent="0.25">
      <c r="B2" s="1167"/>
    </row>
    <row r="3" spans="1:29" ht="14.25" hidden="1" thickBot="1" x14ac:dyDescent="0.3">
      <c r="B3" s="1167"/>
    </row>
    <row r="4" spans="1:29" hidden="1" x14ac:dyDescent="0.25">
      <c r="B4" s="1168" t="s">
        <v>56</v>
      </c>
      <c r="C4" s="1169" t="s">
        <v>64</v>
      </c>
      <c r="D4" s="1169"/>
      <c r="E4" s="1169"/>
      <c r="F4" s="1170"/>
    </row>
    <row r="5" spans="1:29" ht="14.25" hidden="1" thickBot="1" x14ac:dyDescent="0.3">
      <c r="B5" s="1171"/>
      <c r="C5" s="1172" t="s">
        <v>0</v>
      </c>
      <c r="D5" s="1173" t="s">
        <v>11</v>
      </c>
      <c r="E5" s="1173" t="s">
        <v>65</v>
      </c>
      <c r="F5" s="1174" t="s">
        <v>10</v>
      </c>
    </row>
    <row r="6" spans="1:29" s="1175" customFormat="1" hidden="1" x14ac:dyDescent="0.25">
      <c r="B6" s="1176"/>
      <c r="C6" s="1177"/>
      <c r="D6" s="1178"/>
      <c r="E6" s="1178"/>
      <c r="F6" s="1179"/>
      <c r="Q6" s="1180"/>
      <c r="R6" s="1180"/>
      <c r="S6" s="1180"/>
      <c r="T6" s="1180"/>
      <c r="U6" s="1180"/>
      <c r="V6" s="1180"/>
      <c r="W6" s="1180"/>
      <c r="X6" s="1180"/>
      <c r="Y6" s="1180"/>
      <c r="Z6" s="1180"/>
      <c r="AA6" s="1180"/>
      <c r="AB6" s="1180"/>
      <c r="AC6" s="1180"/>
    </row>
    <row r="7" spans="1:29" hidden="1" x14ac:dyDescent="0.25">
      <c r="B7" s="792">
        <v>1995</v>
      </c>
      <c r="C7" s="1181">
        <f t="shared" ref="C7:C28" si="0">SUM(D7:F7)</f>
        <v>7479</v>
      </c>
      <c r="D7" s="1182">
        <v>2080</v>
      </c>
      <c r="E7" s="1182">
        <v>306</v>
      </c>
      <c r="F7" s="1183">
        <v>5093</v>
      </c>
    </row>
    <row r="8" spans="1:29" hidden="1" x14ac:dyDescent="0.25">
      <c r="B8" s="1184">
        <v>1996</v>
      </c>
      <c r="C8" s="1185">
        <f t="shared" si="0"/>
        <v>6401</v>
      </c>
      <c r="D8" s="1186">
        <v>1672</v>
      </c>
      <c r="E8" s="1186">
        <v>351</v>
      </c>
      <c r="F8" s="1187">
        <v>4378</v>
      </c>
    </row>
    <row r="9" spans="1:29" hidden="1" x14ac:dyDescent="0.25">
      <c r="B9" s="792">
        <v>1997</v>
      </c>
      <c r="C9" s="1181">
        <f t="shared" si="0"/>
        <v>6140</v>
      </c>
      <c r="D9" s="1182">
        <v>2006</v>
      </c>
      <c r="E9" s="1182">
        <v>345</v>
      </c>
      <c r="F9" s="1183">
        <v>3789</v>
      </c>
    </row>
    <row r="10" spans="1:29" hidden="1" x14ac:dyDescent="0.25">
      <c r="B10" s="1184">
        <v>1998</v>
      </c>
      <c r="C10" s="1185">
        <f t="shared" si="0"/>
        <v>6138</v>
      </c>
      <c r="D10" s="1186">
        <v>1884</v>
      </c>
      <c r="E10" s="1186">
        <v>419</v>
      </c>
      <c r="F10" s="1187">
        <v>3835</v>
      </c>
    </row>
    <row r="11" spans="1:29" hidden="1" x14ac:dyDescent="0.25">
      <c r="B11" s="792">
        <v>1999</v>
      </c>
      <c r="C11" s="1181">
        <f t="shared" si="0"/>
        <v>5477</v>
      </c>
      <c r="D11" s="1188">
        <v>1806</v>
      </c>
      <c r="E11" s="1182">
        <v>436</v>
      </c>
      <c r="F11" s="1183">
        <v>3235</v>
      </c>
    </row>
    <row r="12" spans="1:29" hidden="1" x14ac:dyDescent="0.25">
      <c r="B12" s="1184">
        <v>2000</v>
      </c>
      <c r="C12" s="1185">
        <f t="shared" si="0"/>
        <v>5241</v>
      </c>
      <c r="D12" s="1186">
        <v>1733</v>
      </c>
      <c r="E12" s="1186">
        <v>512</v>
      </c>
      <c r="F12" s="1187">
        <v>2996</v>
      </c>
    </row>
    <row r="13" spans="1:29" hidden="1" x14ac:dyDescent="0.25">
      <c r="B13" s="792">
        <v>2001</v>
      </c>
      <c r="C13" s="1181">
        <f t="shared" si="0"/>
        <v>5274</v>
      </c>
      <c r="D13" s="1182">
        <v>1708</v>
      </c>
      <c r="E13" s="1182">
        <v>571</v>
      </c>
      <c r="F13" s="1183">
        <v>2995</v>
      </c>
    </row>
    <row r="14" spans="1:29" hidden="1" x14ac:dyDescent="0.25">
      <c r="B14" s="1184">
        <v>2002</v>
      </c>
      <c r="C14" s="1185">
        <f t="shared" si="0"/>
        <v>5725</v>
      </c>
      <c r="D14" s="1186">
        <v>1832</v>
      </c>
      <c r="E14" s="1186">
        <v>544</v>
      </c>
      <c r="F14" s="1187">
        <v>3349</v>
      </c>
    </row>
    <row r="15" spans="1:29" hidden="1" x14ac:dyDescent="0.25">
      <c r="B15" s="792">
        <v>2003</v>
      </c>
      <c r="C15" s="1181">
        <f t="shared" si="0"/>
        <v>6203</v>
      </c>
      <c r="D15" s="1182">
        <v>1901</v>
      </c>
      <c r="E15" s="1182">
        <v>711</v>
      </c>
      <c r="F15" s="1183">
        <v>3591</v>
      </c>
    </row>
    <row r="16" spans="1:29" hidden="1" x14ac:dyDescent="0.25">
      <c r="B16" s="1184">
        <v>2004</v>
      </c>
      <c r="C16" s="1185">
        <f t="shared" si="0"/>
        <v>5938</v>
      </c>
      <c r="D16" s="1186">
        <v>1600</v>
      </c>
      <c r="E16" s="1186">
        <v>444</v>
      </c>
      <c r="F16" s="1187">
        <v>3894</v>
      </c>
    </row>
    <row r="17" spans="2:6" hidden="1" x14ac:dyDescent="0.25">
      <c r="B17" s="792">
        <v>2005</v>
      </c>
      <c r="C17" s="1181">
        <f t="shared" si="0"/>
        <v>6055</v>
      </c>
      <c r="D17" s="1182">
        <v>1721</v>
      </c>
      <c r="E17" s="1182">
        <v>420</v>
      </c>
      <c r="F17" s="1183">
        <v>3914</v>
      </c>
    </row>
    <row r="18" spans="2:6" hidden="1" x14ac:dyDescent="0.25">
      <c r="B18" s="1184">
        <v>2006</v>
      </c>
      <c r="C18" s="1185">
        <f t="shared" si="0"/>
        <v>6157</v>
      </c>
      <c r="D18" s="1186">
        <v>1730</v>
      </c>
      <c r="E18" s="1186">
        <v>433</v>
      </c>
      <c r="F18" s="1187">
        <v>3994</v>
      </c>
    </row>
    <row r="19" spans="2:6" hidden="1" x14ac:dyDescent="0.25">
      <c r="B19" s="792">
        <v>2007</v>
      </c>
      <c r="C19" s="1181">
        <f t="shared" si="0"/>
        <v>6347</v>
      </c>
      <c r="D19" s="1182">
        <v>1939</v>
      </c>
      <c r="E19" s="1182">
        <v>431</v>
      </c>
      <c r="F19" s="1183">
        <v>3977</v>
      </c>
    </row>
    <row r="20" spans="2:6" hidden="1" x14ac:dyDescent="0.25">
      <c r="B20" s="1184">
        <v>2008</v>
      </c>
      <c r="C20" s="1185">
        <f t="shared" si="0"/>
        <v>6427</v>
      </c>
      <c r="D20" s="1186">
        <v>1943</v>
      </c>
      <c r="E20" s="1186">
        <v>456</v>
      </c>
      <c r="F20" s="1187">
        <v>4028</v>
      </c>
    </row>
    <row r="21" spans="2:6" hidden="1" x14ac:dyDescent="0.25">
      <c r="B21" s="792">
        <v>2009</v>
      </c>
      <c r="C21" s="1181">
        <f t="shared" si="0"/>
        <v>6758</v>
      </c>
      <c r="D21" s="1188">
        <v>2156</v>
      </c>
      <c r="E21" s="1182">
        <v>469</v>
      </c>
      <c r="F21" s="1183">
        <v>4133</v>
      </c>
    </row>
    <row r="22" spans="2:6" ht="12.75" hidden="1" customHeight="1" x14ac:dyDescent="0.25">
      <c r="B22" s="1184">
        <v>2010</v>
      </c>
      <c r="C22" s="1185">
        <f t="shared" si="0"/>
        <v>6901</v>
      </c>
      <c r="D22" s="1186">
        <v>2296</v>
      </c>
      <c r="E22" s="1186">
        <v>474</v>
      </c>
      <c r="F22" s="1187">
        <v>4131</v>
      </c>
    </row>
    <row r="23" spans="2:6" ht="12.75" hidden="1" customHeight="1" x14ac:dyDescent="0.25">
      <c r="B23" s="792">
        <v>2011</v>
      </c>
      <c r="C23" s="1181">
        <f t="shared" si="0"/>
        <v>7677</v>
      </c>
      <c r="D23" s="1182">
        <v>2411</v>
      </c>
      <c r="E23" s="1182">
        <v>560</v>
      </c>
      <c r="F23" s="1183">
        <v>4706</v>
      </c>
    </row>
    <row r="24" spans="2:6" ht="12.75" hidden="1" customHeight="1" x14ac:dyDescent="0.25">
      <c r="B24" s="1184">
        <v>2012</v>
      </c>
      <c r="C24" s="1185">
        <f t="shared" si="0"/>
        <v>7903</v>
      </c>
      <c r="D24" s="1186">
        <v>2476</v>
      </c>
      <c r="E24" s="1186">
        <v>560</v>
      </c>
      <c r="F24" s="1187">
        <v>4867</v>
      </c>
    </row>
    <row r="25" spans="2:6" hidden="1" x14ac:dyDescent="0.25">
      <c r="B25" s="792">
        <v>2013</v>
      </c>
      <c r="C25" s="1181">
        <f t="shared" si="0"/>
        <v>7842</v>
      </c>
      <c r="D25" s="1182">
        <v>2392</v>
      </c>
      <c r="E25" s="1182">
        <v>538</v>
      </c>
      <c r="F25" s="1183">
        <v>4912</v>
      </c>
    </row>
    <row r="26" spans="2:6" hidden="1" x14ac:dyDescent="0.25">
      <c r="B26" s="1184">
        <v>2014</v>
      </c>
      <c r="C26" s="1185">
        <f t="shared" si="0"/>
        <v>8541</v>
      </c>
      <c r="D26" s="1186">
        <v>3068</v>
      </c>
      <c r="E26" s="1186">
        <v>594</v>
      </c>
      <c r="F26" s="1187">
        <v>4879</v>
      </c>
    </row>
    <row r="27" spans="2:6" hidden="1" x14ac:dyDescent="0.25">
      <c r="B27" s="792">
        <v>2015</v>
      </c>
      <c r="C27" s="1181">
        <f t="shared" si="0"/>
        <v>8764</v>
      </c>
      <c r="D27" s="1182">
        <v>2574</v>
      </c>
      <c r="E27" s="1182">
        <v>872</v>
      </c>
      <c r="F27" s="1183">
        <v>5318</v>
      </c>
    </row>
    <row r="28" spans="2:6" hidden="1" x14ac:dyDescent="0.25">
      <c r="B28" s="1184">
        <v>2016</v>
      </c>
      <c r="C28" s="1185">
        <f t="shared" si="0"/>
        <v>8745</v>
      </c>
      <c r="D28" s="1186">
        <v>2740</v>
      </c>
      <c r="E28" s="1186">
        <v>809</v>
      </c>
      <c r="F28" s="1187">
        <v>5196</v>
      </c>
    </row>
    <row r="29" spans="2:6" hidden="1" x14ac:dyDescent="0.25">
      <c r="B29" s="792">
        <v>2017</v>
      </c>
      <c r="C29" s="1181">
        <f>SUM(D29:F29)</f>
        <v>8745</v>
      </c>
      <c r="D29" s="1182">
        <v>2740</v>
      </c>
      <c r="E29" s="1182">
        <v>809</v>
      </c>
      <c r="F29" s="1183">
        <v>5196</v>
      </c>
    </row>
    <row r="30" spans="2:6" ht="14.25" hidden="1" thickBot="1" x14ac:dyDescent="0.3">
      <c r="B30" s="1189"/>
      <c r="C30" s="1190"/>
      <c r="D30" s="1191"/>
      <c r="E30" s="1191"/>
      <c r="F30" s="1192"/>
    </row>
    <row r="31" spans="2:6" hidden="1" x14ac:dyDescent="0.25"/>
    <row r="32" spans="2:6" hidden="1" x14ac:dyDescent="0.25"/>
    <row r="33" spans="1:29" hidden="1" x14ac:dyDescent="0.25"/>
    <row r="34" spans="1:29" x14ac:dyDescent="0.25">
      <c r="A34" s="1167" t="s">
        <v>66</v>
      </c>
    </row>
    <row r="35" spans="1:29" ht="27" customHeight="1" thickBot="1" x14ac:dyDescent="0.3"/>
    <row r="36" spans="1:29" ht="20.25" customHeight="1" thickBot="1" x14ac:dyDescent="0.3">
      <c r="B36" s="1193" t="s">
        <v>18</v>
      </c>
      <c r="C36" s="1194" t="s">
        <v>67</v>
      </c>
      <c r="D36" s="1195"/>
    </row>
    <row r="37" spans="1:29" s="1175" customFormat="1" x14ac:dyDescent="0.25">
      <c r="B37" s="1196"/>
      <c r="C37" s="1197"/>
      <c r="D37" s="1198"/>
      <c r="Q37" s="1180"/>
      <c r="R37" s="1180"/>
      <c r="S37" s="1180"/>
      <c r="T37" s="1180"/>
      <c r="U37" s="1180"/>
      <c r="V37" s="1180"/>
      <c r="W37" s="1180"/>
      <c r="X37" s="1180"/>
      <c r="Y37" s="1180"/>
      <c r="Z37" s="1180"/>
      <c r="AA37" s="1180"/>
      <c r="AB37" s="1180"/>
      <c r="AC37" s="1180"/>
    </row>
    <row r="38" spans="1:29" x14ac:dyDescent="0.25">
      <c r="B38" s="1199">
        <v>1995</v>
      </c>
      <c r="C38" s="1200">
        <v>19.7</v>
      </c>
      <c r="D38" s="1201"/>
    </row>
    <row r="39" spans="1:29" x14ac:dyDescent="0.25">
      <c r="B39" s="1202">
        <v>1996</v>
      </c>
      <c r="C39" s="1203">
        <v>17</v>
      </c>
      <c r="D39" s="1204"/>
    </row>
    <row r="40" spans="1:29" x14ac:dyDescent="0.25">
      <c r="B40" s="1199">
        <v>1997</v>
      </c>
      <c r="C40" s="1200">
        <v>14.5</v>
      </c>
      <c r="D40" s="1201"/>
    </row>
    <row r="41" spans="1:29" x14ac:dyDescent="0.25">
      <c r="B41" s="1202">
        <v>1998</v>
      </c>
      <c r="C41" s="1203">
        <v>12.4</v>
      </c>
      <c r="D41" s="1204"/>
    </row>
    <row r="42" spans="1:29" x14ac:dyDescent="0.25">
      <c r="B42" s="1199">
        <v>1999</v>
      </c>
      <c r="C42" s="1200">
        <v>11.3</v>
      </c>
      <c r="D42" s="1201"/>
    </row>
    <row r="43" spans="1:29" x14ac:dyDescent="0.25">
      <c r="B43" s="1202">
        <v>2000</v>
      </c>
      <c r="C43" s="1203">
        <v>10.4</v>
      </c>
      <c r="D43" s="1204"/>
    </row>
    <row r="44" spans="1:29" x14ac:dyDescent="0.25">
      <c r="B44" s="1199">
        <v>2001</v>
      </c>
      <c r="C44" s="1200">
        <v>9.6999999999999993</v>
      </c>
      <c r="D44" s="1201"/>
    </row>
    <row r="45" spans="1:29" x14ac:dyDescent="0.25">
      <c r="B45" s="1202">
        <v>2002</v>
      </c>
      <c r="C45" s="1203">
        <v>9.1</v>
      </c>
      <c r="D45" s="1204"/>
      <c r="E45" s="773"/>
    </row>
    <row r="46" spans="1:29" x14ac:dyDescent="0.25">
      <c r="B46" s="1199">
        <v>2003</v>
      </c>
      <c r="C46" s="1200">
        <v>9.07</v>
      </c>
      <c r="D46" s="1201"/>
    </row>
    <row r="47" spans="1:29" x14ac:dyDescent="0.25">
      <c r="B47" s="1202">
        <v>2004</v>
      </c>
      <c r="C47" s="1203">
        <v>8.6999999999999993</v>
      </c>
      <c r="D47" s="1204"/>
    </row>
    <row r="48" spans="1:29" x14ac:dyDescent="0.25">
      <c r="B48" s="1199">
        <v>2005</v>
      </c>
      <c r="C48" s="1200">
        <v>8.4</v>
      </c>
      <c r="D48" s="1201"/>
    </row>
    <row r="49" spans="2:5" x14ac:dyDescent="0.25">
      <c r="B49" s="1202">
        <v>2006</v>
      </c>
      <c r="C49" s="1203">
        <v>8.5519999999999996</v>
      </c>
      <c r="D49" s="1204"/>
    </row>
    <row r="50" spans="2:5" x14ac:dyDescent="0.25">
      <c r="B50" s="1199">
        <v>2007</v>
      </c>
      <c r="C50" s="1200">
        <v>8.1739999999999995</v>
      </c>
      <c r="D50" s="1201"/>
    </row>
    <row r="51" spans="2:5" x14ac:dyDescent="0.25">
      <c r="B51" s="1202">
        <v>2008</v>
      </c>
      <c r="C51" s="1203">
        <v>8.0039999999999996</v>
      </c>
      <c r="D51" s="1204"/>
    </row>
    <row r="52" spans="2:5" x14ac:dyDescent="0.25">
      <c r="B52" s="1199">
        <v>2009</v>
      </c>
      <c r="C52" s="1200">
        <v>7.85</v>
      </c>
      <c r="D52" s="1201"/>
    </row>
    <row r="53" spans="2:5" x14ac:dyDescent="0.25">
      <c r="B53" s="1202">
        <v>2010</v>
      </c>
      <c r="C53" s="1203">
        <v>7.81</v>
      </c>
      <c r="D53" s="1204"/>
    </row>
    <row r="54" spans="2:5" x14ac:dyDescent="0.25">
      <c r="B54" s="1199">
        <v>2011</v>
      </c>
      <c r="C54" s="1200">
        <v>7.5990000000000002</v>
      </c>
      <c r="D54" s="1201"/>
    </row>
    <row r="55" spans="2:5" x14ac:dyDescent="0.25">
      <c r="B55" s="1202">
        <v>2012</v>
      </c>
      <c r="C55" s="1203">
        <v>7.7190000000000003</v>
      </c>
      <c r="D55" s="1204"/>
    </row>
    <row r="56" spans="2:5" x14ac:dyDescent="0.25">
      <c r="B56" s="1199">
        <v>2013</v>
      </c>
      <c r="C56" s="1200">
        <v>7.468</v>
      </c>
      <c r="D56" s="1201"/>
    </row>
    <row r="57" spans="2:5" x14ac:dyDescent="0.25">
      <c r="B57" s="1202">
        <v>2014</v>
      </c>
      <c r="C57" s="1203">
        <v>7.468</v>
      </c>
      <c r="D57" s="1204"/>
    </row>
    <row r="58" spans="2:5" x14ac:dyDescent="0.25">
      <c r="B58" s="1199">
        <v>2015</v>
      </c>
      <c r="C58" s="1200">
        <v>7.6669999999999998</v>
      </c>
      <c r="D58" s="1201"/>
    </row>
    <row r="59" spans="2:5" x14ac:dyDescent="0.25">
      <c r="B59" s="1202">
        <v>2016</v>
      </c>
      <c r="C59" s="1203">
        <v>8.0868298841374706</v>
      </c>
      <c r="D59" s="1204"/>
    </row>
    <row r="60" spans="2:5" x14ac:dyDescent="0.25">
      <c r="B60" s="1199">
        <v>2017</v>
      </c>
      <c r="C60" s="1200">
        <v>8.3132160624575295</v>
      </c>
      <c r="D60" s="1201"/>
      <c r="E60" s="1167"/>
    </row>
    <row r="61" spans="2:5" x14ac:dyDescent="0.25">
      <c r="B61" s="1202">
        <v>2018</v>
      </c>
      <c r="C61" s="1203">
        <v>8.3628766338051097</v>
      </c>
      <c r="D61" s="1204"/>
      <c r="E61" s="1167"/>
    </row>
    <row r="62" spans="2:5" x14ac:dyDescent="0.25">
      <c r="B62" s="1199">
        <v>2019</v>
      </c>
      <c r="C62" s="1200">
        <v>9.8285884259999996</v>
      </c>
      <c r="D62" s="1201"/>
      <c r="E62" s="1167"/>
    </row>
    <row r="63" spans="2:5" x14ac:dyDescent="0.25">
      <c r="B63" s="1202">
        <v>2020</v>
      </c>
      <c r="C63" s="1203">
        <v>9.5966758321755492</v>
      </c>
      <c r="D63" s="1204"/>
      <c r="E63" s="1205"/>
    </row>
    <row r="64" spans="2:5" x14ac:dyDescent="0.25">
      <c r="B64" s="1199">
        <v>2021</v>
      </c>
      <c r="C64" s="1200">
        <v>9.8759261542055405</v>
      </c>
      <c r="D64" s="1201"/>
      <c r="E64" s="1167"/>
    </row>
    <row r="65" spans="1:29" x14ac:dyDescent="0.25">
      <c r="B65" s="1202">
        <v>2022</v>
      </c>
      <c r="C65" s="1203">
        <v>9.7630849467818326</v>
      </c>
      <c r="D65" s="1204"/>
      <c r="E65" s="1167"/>
    </row>
    <row r="66" spans="1:29" x14ac:dyDescent="0.25">
      <c r="B66" s="1206">
        <v>2023</v>
      </c>
      <c r="C66" s="1200">
        <v>9.7311987508417896</v>
      </c>
      <c r="D66" s="1201"/>
      <c r="E66" s="1167"/>
    </row>
    <row r="67" spans="1:29" ht="14.25" thickBot="1" x14ac:dyDescent="0.3">
      <c r="B67" s="1207"/>
      <c r="C67" s="1208"/>
      <c r="D67" s="1209"/>
    </row>
    <row r="69" spans="1:29" x14ac:dyDescent="0.25">
      <c r="A69" s="1167" t="s">
        <v>68</v>
      </c>
    </row>
    <row r="70" spans="1:29" ht="12.75" customHeight="1" thickBot="1" x14ac:dyDescent="0.3">
      <c r="R70" s="1210"/>
      <c r="S70" s="1211"/>
      <c r="T70" s="1211"/>
      <c r="U70" s="1211"/>
    </row>
    <row r="71" spans="1:29" ht="23.25" customHeight="1" thickBot="1" x14ac:dyDescent="0.35">
      <c r="B71" s="1212" t="s">
        <v>18</v>
      </c>
      <c r="C71" s="1213" t="s">
        <v>73</v>
      </c>
      <c r="D71" s="1214"/>
      <c r="E71" s="1215" t="s">
        <v>69</v>
      </c>
      <c r="R71" s="1210"/>
      <c r="S71" s="1216" t="s">
        <v>18</v>
      </c>
      <c r="T71" s="1216" t="s">
        <v>73</v>
      </c>
      <c r="U71" s="1211"/>
    </row>
    <row r="72" spans="1:29" s="1175" customFormat="1" ht="14.25" x14ac:dyDescent="0.3">
      <c r="B72" s="1176"/>
      <c r="C72" s="1217"/>
      <c r="D72" s="1218"/>
      <c r="E72" s="1219"/>
      <c r="F72" s="755"/>
      <c r="Q72" s="1180"/>
      <c r="R72" s="1220"/>
      <c r="S72" s="1221"/>
      <c r="T72" s="1221"/>
      <c r="U72" s="1222"/>
      <c r="V72" s="1180"/>
      <c r="W72" s="1180"/>
      <c r="X72" s="1180"/>
      <c r="Y72" s="1180"/>
      <c r="Z72" s="1180"/>
      <c r="AA72" s="1180"/>
      <c r="AB72" s="1180"/>
      <c r="AC72" s="1180"/>
    </row>
    <row r="73" spans="1:29" ht="14.25" x14ac:dyDescent="0.3">
      <c r="B73" s="792">
        <v>1995</v>
      </c>
      <c r="C73" s="1223">
        <v>2052.1</v>
      </c>
      <c r="D73" s="1224"/>
      <c r="E73" s="1225"/>
      <c r="R73" s="1210"/>
      <c r="S73" s="1226">
        <v>1995</v>
      </c>
      <c r="T73" s="1227">
        <v>2052.1</v>
      </c>
      <c r="U73" s="1211"/>
    </row>
    <row r="74" spans="1:29" ht="14.25" x14ac:dyDescent="0.3">
      <c r="B74" s="1184">
        <v>1996</v>
      </c>
      <c r="C74" s="1228">
        <v>2024.93</v>
      </c>
      <c r="D74" s="1229"/>
      <c r="E74" s="1230">
        <f>+((C74/C73)-1)*100</f>
        <v>-1.3240095511914518</v>
      </c>
      <c r="R74" s="1210"/>
      <c r="S74" s="1226">
        <v>1996</v>
      </c>
      <c r="T74" s="1227">
        <v>2024.93</v>
      </c>
      <c r="U74" s="1211"/>
    </row>
    <row r="75" spans="1:29" ht="14.25" x14ac:dyDescent="0.3">
      <c r="B75" s="792" t="s">
        <v>70</v>
      </c>
      <c r="C75" s="1223">
        <v>2400.9</v>
      </c>
      <c r="D75" s="1224"/>
      <c r="E75" s="1225">
        <f t="shared" ref="E75:E101" si="1">+((C75/C74)-1)*100</f>
        <v>18.567061577437237</v>
      </c>
      <c r="R75" s="1210"/>
      <c r="S75" s="1226" t="s">
        <v>70</v>
      </c>
      <c r="T75" s="1227">
        <v>2400.9</v>
      </c>
      <c r="U75" s="1211"/>
    </row>
    <row r="76" spans="1:29" ht="14.25" x14ac:dyDescent="0.3">
      <c r="B76" s="1184">
        <v>1998</v>
      </c>
      <c r="C76" s="1228">
        <v>2520.6</v>
      </c>
      <c r="D76" s="1229"/>
      <c r="E76" s="1230">
        <f t="shared" si="1"/>
        <v>4.9856303886042674</v>
      </c>
      <c r="R76" s="1210"/>
      <c r="S76" s="1226">
        <v>1998</v>
      </c>
      <c r="T76" s="1227">
        <v>2520.6</v>
      </c>
      <c r="U76" s="1211"/>
    </row>
    <row r="77" spans="1:29" ht="14.25" x14ac:dyDescent="0.3">
      <c r="B77" s="792">
        <v>1999</v>
      </c>
      <c r="C77" s="1223">
        <v>2580.3000000000002</v>
      </c>
      <c r="D77" s="1224"/>
      <c r="E77" s="1225">
        <f t="shared" si="1"/>
        <v>2.3684836943584919</v>
      </c>
      <c r="R77" s="1210"/>
      <c r="S77" s="1226">
        <v>1999</v>
      </c>
      <c r="T77" s="1227">
        <v>2580.3000000000002</v>
      </c>
      <c r="U77" s="1211"/>
    </row>
    <row r="78" spans="1:29" ht="14.25" x14ac:dyDescent="0.3">
      <c r="B78" s="1184">
        <v>2000</v>
      </c>
      <c r="C78" s="1228">
        <v>2620.6999999999998</v>
      </c>
      <c r="D78" s="1229"/>
      <c r="E78" s="1230">
        <f t="shared" si="1"/>
        <v>1.5657094136340532</v>
      </c>
      <c r="R78" s="1210"/>
      <c r="S78" s="1226">
        <v>2000</v>
      </c>
      <c r="T78" s="1227">
        <v>2620.6999999999998</v>
      </c>
      <c r="U78" s="1211"/>
    </row>
    <row r="79" spans="1:29" ht="14.25" x14ac:dyDescent="0.3">
      <c r="B79" s="792">
        <v>2001</v>
      </c>
      <c r="C79" s="1223">
        <v>2792.22</v>
      </c>
      <c r="D79" s="1224"/>
      <c r="E79" s="1225">
        <f t="shared" si="1"/>
        <v>6.5448162704620838</v>
      </c>
      <c r="R79" s="1210"/>
      <c r="S79" s="1226" t="s">
        <v>71</v>
      </c>
      <c r="T79" s="1227">
        <v>2792.22</v>
      </c>
      <c r="U79" s="1211"/>
    </row>
    <row r="80" spans="1:29" ht="14.25" x14ac:dyDescent="0.3">
      <c r="B80" s="1184">
        <v>2002</v>
      </c>
      <c r="C80" s="1228">
        <v>2908.2</v>
      </c>
      <c r="D80" s="1229"/>
      <c r="E80" s="1230">
        <f t="shared" si="1"/>
        <v>4.1536841652878298</v>
      </c>
      <c r="R80" s="1210"/>
      <c r="S80" s="1226">
        <v>2002</v>
      </c>
      <c r="T80" s="1227">
        <v>2908.2</v>
      </c>
      <c r="U80" s="1211"/>
    </row>
    <row r="81" spans="2:21" ht="14.25" x14ac:dyDescent="0.3">
      <c r="B81" s="792">
        <v>2003</v>
      </c>
      <c r="C81" s="1223">
        <v>2964.7548999999999</v>
      </c>
      <c r="D81" s="1224"/>
      <c r="E81" s="1225">
        <f t="shared" si="1"/>
        <v>1.944670242761859</v>
      </c>
      <c r="R81" s="1210"/>
      <c r="S81" s="1226">
        <v>2003</v>
      </c>
      <c r="T81" s="1227">
        <v>2964.7548999999999</v>
      </c>
      <c r="U81" s="1211"/>
    </row>
    <row r="82" spans="2:21" ht="14.25" x14ac:dyDescent="0.3">
      <c r="B82" s="1184">
        <v>2004</v>
      </c>
      <c r="C82" s="1228">
        <v>3130.8466199999993</v>
      </c>
      <c r="D82" s="1229"/>
      <c r="E82" s="1230">
        <f t="shared" si="1"/>
        <v>5.6022074539787248</v>
      </c>
      <c r="R82" s="1210"/>
      <c r="S82" s="1226">
        <v>2004</v>
      </c>
      <c r="T82" s="1227">
        <v>3130.8466199999993</v>
      </c>
      <c r="U82" s="1211"/>
    </row>
    <row r="83" spans="2:21" ht="14.25" x14ac:dyDescent="0.3">
      <c r="B83" s="792">
        <v>2005</v>
      </c>
      <c r="C83" s="1223">
        <v>3305.0140500000002</v>
      </c>
      <c r="D83" s="1224"/>
      <c r="E83" s="1225">
        <f t="shared" si="1"/>
        <v>5.5629499346090849</v>
      </c>
      <c r="R83" s="1210"/>
      <c r="S83" s="1226">
        <v>2005</v>
      </c>
      <c r="T83" s="1227">
        <v>3305.0140500000002</v>
      </c>
      <c r="U83" s="1211"/>
    </row>
    <row r="84" spans="2:21" ht="14.25" x14ac:dyDescent="0.3">
      <c r="B84" s="1184">
        <v>2006</v>
      </c>
      <c r="C84" s="1228">
        <v>3580</v>
      </c>
      <c r="D84" s="1229"/>
      <c r="E84" s="1230">
        <f t="shared" si="1"/>
        <v>8.3202656884317818</v>
      </c>
      <c r="R84" s="1210"/>
      <c r="S84" s="1226">
        <v>2006</v>
      </c>
      <c r="T84" s="1227">
        <v>3580</v>
      </c>
      <c r="U84" s="1211"/>
    </row>
    <row r="85" spans="2:21" ht="14.25" x14ac:dyDescent="0.3">
      <c r="B85" s="792">
        <v>2007</v>
      </c>
      <c r="C85" s="1223">
        <v>3965.6038100000005</v>
      </c>
      <c r="D85" s="1224"/>
      <c r="E85" s="1225">
        <f t="shared" si="1"/>
        <v>10.7710561452514</v>
      </c>
      <c r="R85" s="1210"/>
      <c r="S85" s="1226">
        <v>2007</v>
      </c>
      <c r="T85" s="1227">
        <v>3965.6038100000005</v>
      </c>
      <c r="U85" s="1211"/>
    </row>
    <row r="86" spans="2:21" ht="14.25" x14ac:dyDescent="0.3">
      <c r="B86" s="1184">
        <v>2008</v>
      </c>
      <c r="C86" s="1228">
        <v>4198.6589700000004</v>
      </c>
      <c r="D86" s="1229"/>
      <c r="E86" s="1230">
        <f t="shared" si="1"/>
        <v>5.8769148701216301</v>
      </c>
      <c r="R86" s="1210"/>
      <c r="S86" s="1226">
        <v>2008</v>
      </c>
      <c r="T86" s="1227">
        <v>4198.6589700000004</v>
      </c>
      <c r="U86" s="1211"/>
    </row>
    <row r="87" spans="2:21" ht="14.25" x14ac:dyDescent="0.3">
      <c r="B87" s="792">
        <v>2009</v>
      </c>
      <c r="C87" s="1223">
        <v>4322.3748300000007</v>
      </c>
      <c r="D87" s="1224"/>
      <c r="E87" s="1225">
        <f t="shared" si="1"/>
        <v>2.9465565287385198</v>
      </c>
      <c r="S87" s="1226">
        <v>2009</v>
      </c>
      <c r="T87" s="1227">
        <v>4322.3748300000007</v>
      </c>
    </row>
    <row r="88" spans="2:21" ht="14.25" x14ac:dyDescent="0.3">
      <c r="B88" s="1184">
        <v>2010</v>
      </c>
      <c r="C88" s="1228">
        <v>4578.9431199999999</v>
      </c>
      <c r="D88" s="1229"/>
      <c r="E88" s="1230">
        <f t="shared" si="1"/>
        <v>5.9358176949221075</v>
      </c>
      <c r="S88" s="1226">
        <v>2010</v>
      </c>
      <c r="T88" s="1227">
        <v>4578.9431199999999</v>
      </c>
    </row>
    <row r="89" spans="2:21" ht="14.25" x14ac:dyDescent="0.3">
      <c r="B89" s="792">
        <v>2011</v>
      </c>
      <c r="C89" s="1223">
        <v>4961.1929899999996</v>
      </c>
      <c r="D89" s="1224"/>
      <c r="E89" s="1225">
        <f t="shared" si="1"/>
        <v>8.3479934120692878</v>
      </c>
      <c r="S89" s="1226">
        <v>2011</v>
      </c>
      <c r="T89" s="1227">
        <v>4961.1929899999996</v>
      </c>
    </row>
    <row r="90" spans="2:21" ht="14.25" x14ac:dyDescent="0.3">
      <c r="B90" s="1184">
        <v>2012</v>
      </c>
      <c r="C90" s="1228">
        <v>5291</v>
      </c>
      <c r="D90" s="1229"/>
      <c r="E90" s="1230">
        <f t="shared" si="1"/>
        <v>6.6477359511063927</v>
      </c>
      <c r="S90" s="1226">
        <v>2012</v>
      </c>
      <c r="T90" s="1227">
        <v>5291</v>
      </c>
    </row>
    <row r="91" spans="2:21" ht="13.5" customHeight="1" x14ac:dyDescent="0.3">
      <c r="B91" s="792">
        <v>2013</v>
      </c>
      <c r="C91" s="1223">
        <v>5575.2435699999996</v>
      </c>
      <c r="D91" s="1224"/>
      <c r="E91" s="1225">
        <f t="shared" si="1"/>
        <v>5.3722088452088368</v>
      </c>
      <c r="S91" s="1226">
        <v>2013</v>
      </c>
      <c r="T91" s="1227">
        <v>5575.2435699999996</v>
      </c>
    </row>
    <row r="92" spans="2:21" ht="13.5" customHeight="1" x14ac:dyDescent="0.3">
      <c r="B92" s="1184">
        <v>2014</v>
      </c>
      <c r="C92" s="1228">
        <v>5737.27</v>
      </c>
      <c r="D92" s="1229"/>
      <c r="E92" s="1230">
        <f t="shared" si="1"/>
        <v>2.9061767071819844</v>
      </c>
      <c r="S92" s="1226">
        <v>2014</v>
      </c>
      <c r="T92" s="1227">
        <v>5737.27</v>
      </c>
    </row>
    <row r="93" spans="2:21" ht="14.25" x14ac:dyDescent="0.3">
      <c r="B93" s="792">
        <v>2015</v>
      </c>
      <c r="C93" s="1223">
        <v>6275</v>
      </c>
      <c r="D93" s="1224"/>
      <c r="E93" s="1225">
        <f t="shared" si="1"/>
        <v>9.3725761555582885</v>
      </c>
      <c r="S93" s="1226">
        <v>2015</v>
      </c>
      <c r="T93" s="1227">
        <v>6275</v>
      </c>
    </row>
    <row r="94" spans="2:21" ht="14.25" x14ac:dyDescent="0.3">
      <c r="B94" s="1184">
        <v>2016</v>
      </c>
      <c r="C94" s="1228">
        <v>6492.4099800000004</v>
      </c>
      <c r="D94" s="1229"/>
      <c r="E94" s="1230">
        <f t="shared" si="1"/>
        <v>3.4647008764940201</v>
      </c>
      <c r="S94" s="1226">
        <v>2016</v>
      </c>
      <c r="T94" s="1227">
        <v>6492.4099800000004</v>
      </c>
    </row>
    <row r="95" spans="2:21" ht="14.25" x14ac:dyDescent="0.3">
      <c r="B95" s="792">
        <v>2017</v>
      </c>
      <c r="C95" s="1223">
        <v>6559.0633399999997</v>
      </c>
      <c r="D95" s="1224"/>
      <c r="E95" s="1225">
        <f t="shared" si="1"/>
        <v>1.0266351047658162</v>
      </c>
      <c r="S95" s="1226">
        <v>2017</v>
      </c>
      <c r="T95" s="1227">
        <v>6559.0633399999997</v>
      </c>
    </row>
    <row r="96" spans="2:21" ht="14.25" x14ac:dyDescent="0.3">
      <c r="B96" s="1184">
        <v>2018</v>
      </c>
      <c r="C96" s="1228">
        <v>6884.5910000000003</v>
      </c>
      <c r="D96" s="1229"/>
      <c r="E96" s="1230">
        <f t="shared" si="1"/>
        <v>4.9630205278670347</v>
      </c>
      <c r="S96" s="1226">
        <v>2018</v>
      </c>
      <c r="T96" s="1227">
        <v>6884.5910000000003</v>
      </c>
    </row>
    <row r="97" spans="2:21" ht="14.25" x14ac:dyDescent="0.3">
      <c r="B97" s="792">
        <v>2019</v>
      </c>
      <c r="C97" s="1223">
        <v>7017.5709999999999</v>
      </c>
      <c r="D97" s="1224"/>
      <c r="E97" s="1225">
        <f t="shared" si="1"/>
        <v>1.9315599140166784</v>
      </c>
      <c r="S97" s="1226">
        <v>2019</v>
      </c>
      <c r="T97" s="1227">
        <v>7017.5709999999999</v>
      </c>
    </row>
    <row r="98" spans="2:21" ht="14.25" x14ac:dyDescent="0.3">
      <c r="B98" s="1184">
        <v>2020</v>
      </c>
      <c r="C98" s="1228">
        <v>7125.2993800000004</v>
      </c>
      <c r="D98" s="1229"/>
      <c r="E98" s="1230">
        <f t="shared" si="1"/>
        <v>1.535123477909961</v>
      </c>
      <c r="S98" s="1226">
        <v>2020</v>
      </c>
      <c r="T98" s="1227">
        <v>7125.2993800000004</v>
      </c>
    </row>
    <row r="99" spans="2:21" ht="14.25" x14ac:dyDescent="0.3">
      <c r="B99" s="792">
        <v>2021</v>
      </c>
      <c r="C99" s="1223">
        <v>7173.03</v>
      </c>
      <c r="D99" s="1224"/>
      <c r="E99" s="1225">
        <f t="shared" si="1"/>
        <v>0.66987529161195436</v>
      </c>
      <c r="S99" s="1226">
        <f>+B99</f>
        <v>2021</v>
      </c>
      <c r="T99" s="1227">
        <f>+C99</f>
        <v>7173.03</v>
      </c>
    </row>
    <row r="100" spans="2:21" ht="14.25" x14ac:dyDescent="0.3">
      <c r="B100" s="1184">
        <v>2022</v>
      </c>
      <c r="C100" s="1228">
        <v>7467.4497399999982</v>
      </c>
      <c r="D100" s="1229"/>
      <c r="E100" s="1230">
        <f t="shared" si="1"/>
        <v>4.1045379707041363</v>
      </c>
      <c r="S100" s="1226">
        <f>+B100</f>
        <v>2022</v>
      </c>
      <c r="T100" s="1227">
        <f>+C100</f>
        <v>7467.4497399999982</v>
      </c>
    </row>
    <row r="101" spans="2:21" ht="14.25" x14ac:dyDescent="0.3">
      <c r="B101" s="792">
        <v>2023</v>
      </c>
      <c r="C101" s="1223">
        <v>7605.5060000000003</v>
      </c>
      <c r="D101" s="1224"/>
      <c r="E101" s="1225">
        <f t="shared" si="1"/>
        <v>1.848773876046228</v>
      </c>
      <c r="S101" s="1226">
        <v>2023</v>
      </c>
      <c r="T101" s="1227">
        <v>7605.5060000000003</v>
      </c>
    </row>
    <row r="102" spans="2:21" ht="15" thickBot="1" x14ac:dyDescent="0.35">
      <c r="B102" s="1231"/>
      <c r="C102" s="1232"/>
      <c r="D102" s="1233"/>
      <c r="E102" s="1234"/>
      <c r="S102" s="1226"/>
      <c r="T102" s="1227"/>
    </row>
    <row r="103" spans="2:21" x14ac:dyDescent="0.25">
      <c r="B103" s="1235" t="s">
        <v>326</v>
      </c>
      <c r="C103" s="1236">
        <f>(C101/C100)-1</f>
        <v>1.848773876046228E-2</v>
      </c>
      <c r="D103" s="1237"/>
      <c r="R103" s="1210"/>
      <c r="S103" s="1211"/>
      <c r="T103" s="1211"/>
      <c r="U103" s="1211"/>
    </row>
    <row r="104" spans="2:21" x14ac:dyDescent="0.25">
      <c r="B104" s="1238" t="s">
        <v>327</v>
      </c>
      <c r="C104" s="1239">
        <f>((C101/C96)^(1/5))-1</f>
        <v>2.0117020352758086E-2</v>
      </c>
      <c r="D104" s="1240"/>
      <c r="R104" s="1210"/>
      <c r="S104" s="1211"/>
      <c r="T104" s="1211"/>
      <c r="U104" s="1211"/>
    </row>
    <row r="105" spans="2:21" x14ac:dyDescent="0.25">
      <c r="B105" s="1241" t="s">
        <v>328</v>
      </c>
      <c r="C105" s="1242">
        <f>(C101/C91)-1</f>
        <v>0.3641567232909253</v>
      </c>
      <c r="D105" s="1243"/>
    </row>
    <row r="106" spans="2:21" ht="14.25" thickBot="1" x14ac:dyDescent="0.3">
      <c r="B106" s="1244" t="s">
        <v>329</v>
      </c>
      <c r="C106" s="1245">
        <f>((C101/C91)^(1/10))-1</f>
        <v>3.154083967820509E-2</v>
      </c>
      <c r="D106" s="1246"/>
    </row>
    <row r="108" spans="2:21" ht="15.75" x14ac:dyDescent="0.25">
      <c r="B108" s="1247" t="s">
        <v>72</v>
      </c>
    </row>
    <row r="109" spans="2:21" ht="15.75" x14ac:dyDescent="0.25">
      <c r="B109" s="1247" t="s">
        <v>294</v>
      </c>
    </row>
  </sheetData>
  <mergeCells count="68">
    <mergeCell ref="C66:D66"/>
    <mergeCell ref="C101:D101"/>
    <mergeCell ref="C65:D65"/>
    <mergeCell ref="C100:D100"/>
    <mergeCell ref="C106:D106"/>
    <mergeCell ref="C72:D72"/>
    <mergeCell ref="C102:D102"/>
    <mergeCell ref="C80:D80"/>
    <mergeCell ref="C95:D95"/>
    <mergeCell ref="C93:D93"/>
    <mergeCell ref="C90:D90"/>
    <mergeCell ref="C89:D89"/>
    <mergeCell ref="C81:D81"/>
    <mergeCell ref="C82:D82"/>
    <mergeCell ref="C83:D83"/>
    <mergeCell ref="C84:D84"/>
    <mergeCell ref="C85:D85"/>
    <mergeCell ref="C73:D73"/>
    <mergeCell ref="C74:D74"/>
    <mergeCell ref="C77:D77"/>
    <mergeCell ref="C105:D105"/>
    <mergeCell ref="C75:D75"/>
    <mergeCell ref="C76:D76"/>
    <mergeCell ref="C92:D92"/>
    <mergeCell ref="C86:D86"/>
    <mergeCell ref="C87:D87"/>
    <mergeCell ref="C88:D88"/>
    <mergeCell ref="C96:D96"/>
    <mergeCell ref="C78:D78"/>
    <mergeCell ref="C79:D79"/>
    <mergeCell ref="C94:D94"/>
    <mergeCell ref="C103:D103"/>
    <mergeCell ref="C104:D104"/>
    <mergeCell ref="C97:D97"/>
    <mergeCell ref="C98:D98"/>
    <mergeCell ref="C99:D99"/>
    <mergeCell ref="C41:D41"/>
    <mergeCell ref="C42:D42"/>
    <mergeCell ref="C91:D91"/>
    <mergeCell ref="C47:D47"/>
    <mergeCell ref="C48:D48"/>
    <mergeCell ref="C49:D49"/>
    <mergeCell ref="C50:D50"/>
    <mergeCell ref="C51:D51"/>
    <mergeCell ref="C52:D52"/>
    <mergeCell ref="C53:D53"/>
    <mergeCell ref="C71:D71"/>
    <mergeCell ref="C54:D54"/>
    <mergeCell ref="C56:D56"/>
    <mergeCell ref="C57:D57"/>
    <mergeCell ref="B4:B5"/>
    <mergeCell ref="C4:F4"/>
    <mergeCell ref="C36:D36"/>
    <mergeCell ref="C38:D38"/>
    <mergeCell ref="C39:D39"/>
    <mergeCell ref="C40:D40"/>
    <mergeCell ref="C43:D43"/>
    <mergeCell ref="C44:D44"/>
    <mergeCell ref="C45:D45"/>
    <mergeCell ref="C46:D46"/>
    <mergeCell ref="C62:D62"/>
    <mergeCell ref="C63:D63"/>
    <mergeCell ref="C64:D64"/>
    <mergeCell ref="C55:D55"/>
    <mergeCell ref="C58:D58"/>
    <mergeCell ref="C60:D60"/>
    <mergeCell ref="C59:D59"/>
    <mergeCell ref="C61:D61"/>
  </mergeCells>
  <pageMargins left="0.83" right="0.36" top="1.01" bottom="0.39" header="0" footer="0"/>
  <pageSetup paperSize="9" scale="4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E225"/>
  <sheetViews>
    <sheetView showGridLines="0" view="pageBreakPreview" zoomScale="80" zoomScaleNormal="90" zoomScaleSheetLayoutView="80" workbookViewId="0">
      <selection activeCell="B5" sqref="B5:P6"/>
    </sheetView>
  </sheetViews>
  <sheetFormatPr baseColWidth="10" defaultColWidth="11.42578125" defaultRowHeight="12.75" x14ac:dyDescent="0.2"/>
  <cols>
    <col min="1" max="1" width="4.42578125" style="3" customWidth="1"/>
    <col min="2" max="2" width="21" style="3" customWidth="1"/>
    <col min="3" max="3" width="13.42578125" style="3" customWidth="1"/>
    <col min="4" max="4" width="7.7109375" style="3" bestFit="1" customWidth="1"/>
    <col min="5" max="5" width="14.42578125" style="3" bestFit="1" customWidth="1"/>
    <col min="6" max="6" width="14.5703125" style="3" bestFit="1" customWidth="1"/>
    <col min="7" max="7" width="15.140625" style="3" bestFit="1" customWidth="1"/>
    <col min="8" max="8" width="8.140625" style="3" customWidth="1"/>
    <col min="9" max="9" width="14.42578125" style="3" bestFit="1" customWidth="1"/>
    <col min="10" max="10" width="14.5703125" style="3" bestFit="1" customWidth="1"/>
    <col min="11" max="11" width="15.140625" style="3" bestFit="1" customWidth="1"/>
    <col min="12" max="12" width="7.7109375" style="3" bestFit="1" customWidth="1"/>
    <col min="13" max="13" width="14.42578125" style="3" bestFit="1" customWidth="1"/>
    <col min="14" max="14" width="14.5703125" style="3" bestFit="1" customWidth="1"/>
    <col min="15" max="15" width="15.140625" style="3" bestFit="1" customWidth="1"/>
    <col min="16" max="16" width="14.85546875" style="3" bestFit="1" customWidth="1"/>
    <col min="17" max="17" width="14.5703125" style="3" customWidth="1"/>
    <col min="18" max="18" width="11.42578125" style="76"/>
    <col min="19" max="19" width="12.7109375" style="76" customWidth="1"/>
    <col min="20" max="31" width="11.42578125" style="76"/>
    <col min="32" max="16384" width="11.42578125" style="3"/>
  </cols>
  <sheetData>
    <row r="1" spans="1:31" ht="21" x14ac:dyDescent="0.25">
      <c r="A1" s="72" t="s">
        <v>320</v>
      </c>
    </row>
    <row r="3" spans="1:31" ht="18" x14ac:dyDescent="0.25">
      <c r="A3" s="179" t="s">
        <v>206</v>
      </c>
      <c r="D3" s="72"/>
      <c r="E3" s="74"/>
      <c r="F3" s="74"/>
      <c r="G3" s="74"/>
      <c r="H3" s="74"/>
      <c r="I3" s="74"/>
      <c r="J3" s="74"/>
      <c r="K3" s="75"/>
      <c r="L3" s="75"/>
      <c r="M3" s="75"/>
      <c r="N3" s="75"/>
      <c r="O3" s="75"/>
      <c r="Q3" s="101"/>
      <c r="X3" s="101"/>
      <c r="Y3" s="101"/>
      <c r="Z3" s="101"/>
      <c r="AA3" s="101"/>
      <c r="AB3" s="101"/>
    </row>
    <row r="4" spans="1:31" ht="13.5" thickBot="1" x14ac:dyDescent="0.25">
      <c r="Q4" s="101"/>
      <c r="X4" s="101"/>
      <c r="Y4" s="101"/>
      <c r="Z4" s="101"/>
      <c r="AA4" s="101"/>
      <c r="AB4" s="101"/>
    </row>
    <row r="5" spans="1:31" s="178" customFormat="1" ht="16.5" customHeight="1" x14ac:dyDescent="0.2">
      <c r="B5" s="406" t="s">
        <v>18</v>
      </c>
      <c r="C5" s="408" t="s">
        <v>291</v>
      </c>
      <c r="D5" s="410" t="s">
        <v>179</v>
      </c>
      <c r="E5" s="411"/>
      <c r="F5" s="411"/>
      <c r="G5" s="412"/>
      <c r="H5" s="413" t="s">
        <v>180</v>
      </c>
      <c r="I5" s="414"/>
      <c r="J5" s="414"/>
      <c r="K5" s="415"/>
      <c r="L5" s="416" t="s">
        <v>181</v>
      </c>
      <c r="M5" s="411"/>
      <c r="N5" s="411"/>
      <c r="O5" s="411"/>
      <c r="P5" s="417" t="s">
        <v>321</v>
      </c>
      <c r="Q5" s="218"/>
      <c r="R5" s="219"/>
      <c r="S5" s="219"/>
      <c r="T5" s="219"/>
      <c r="U5" s="219"/>
      <c r="V5" s="219"/>
      <c r="W5" s="219"/>
      <c r="X5" s="181"/>
      <c r="Y5" s="181"/>
      <c r="Z5" s="181"/>
      <c r="AA5" s="181"/>
      <c r="AB5" s="181"/>
      <c r="AC5" s="219"/>
      <c r="AD5" s="219"/>
      <c r="AE5" s="219"/>
    </row>
    <row r="6" spans="1:31" s="178" customFormat="1" ht="16.5" customHeight="1" x14ac:dyDescent="0.2">
      <c r="B6" s="407"/>
      <c r="C6" s="409"/>
      <c r="D6" s="372" t="s">
        <v>0</v>
      </c>
      <c r="E6" s="373" t="s">
        <v>11</v>
      </c>
      <c r="F6" s="373" t="s">
        <v>65</v>
      </c>
      <c r="G6" s="374" t="s">
        <v>10</v>
      </c>
      <c r="H6" s="375" t="s">
        <v>0</v>
      </c>
      <c r="I6" s="376" t="s">
        <v>11</v>
      </c>
      <c r="J6" s="376" t="s">
        <v>65</v>
      </c>
      <c r="K6" s="377" t="s">
        <v>10</v>
      </c>
      <c r="L6" s="375" t="s">
        <v>0</v>
      </c>
      <c r="M6" s="376" t="s">
        <v>11</v>
      </c>
      <c r="N6" s="376" t="s">
        <v>65</v>
      </c>
      <c r="O6" s="376" t="s">
        <v>10</v>
      </c>
      <c r="P6" s="418"/>
      <c r="Q6" s="220"/>
      <c r="R6" s="219"/>
      <c r="S6" s="219"/>
      <c r="T6" s="219"/>
      <c r="U6" s="219"/>
      <c r="V6" s="219"/>
      <c r="W6" s="219"/>
      <c r="X6" s="181"/>
      <c r="Y6" s="181"/>
      <c r="Z6" s="181"/>
      <c r="AA6" s="181"/>
      <c r="AB6" s="181"/>
      <c r="AC6" s="219"/>
      <c r="AD6" s="219"/>
      <c r="AE6" s="219"/>
    </row>
    <row r="7" spans="1:31" x14ac:dyDescent="0.2">
      <c r="B7" s="77"/>
      <c r="C7" s="78"/>
      <c r="D7" s="79"/>
      <c r="E7" s="80"/>
      <c r="F7" s="80"/>
      <c r="G7" s="202"/>
      <c r="H7" s="81"/>
      <c r="I7" s="80"/>
      <c r="J7" s="80"/>
      <c r="K7" s="202"/>
      <c r="L7" s="81"/>
      <c r="M7" s="80"/>
      <c r="N7" s="80"/>
      <c r="O7" s="80"/>
      <c r="P7" s="221"/>
      <c r="Q7" s="220"/>
      <c r="S7" s="127" t="s">
        <v>0</v>
      </c>
      <c r="T7" s="76" t="s">
        <v>182</v>
      </c>
      <c r="U7" s="76" t="s">
        <v>131</v>
      </c>
      <c r="X7" s="101"/>
      <c r="Y7" s="101"/>
      <c r="Z7" s="101"/>
      <c r="AA7" s="101"/>
      <c r="AB7" s="101"/>
    </row>
    <row r="8" spans="1:31" x14ac:dyDescent="0.2">
      <c r="B8" s="82">
        <v>1995</v>
      </c>
      <c r="C8" s="83">
        <f>+D8+P8</f>
        <v>295.166629</v>
      </c>
      <c r="D8" s="84">
        <f>E8+F8+G8</f>
        <v>220.87862900000002</v>
      </c>
      <c r="E8" s="85">
        <f t="shared" ref="E8:G23" si="0">+I8+M8</f>
        <v>46.066738999999991</v>
      </c>
      <c r="F8" s="85">
        <f t="shared" si="0"/>
        <v>11.412649999999999</v>
      </c>
      <c r="G8" s="203">
        <f t="shared" si="0"/>
        <v>163.39924000000002</v>
      </c>
      <c r="H8" s="86">
        <f>+I8+J8+K8</f>
        <v>154.712999</v>
      </c>
      <c r="I8" s="85">
        <v>38.418108999999994</v>
      </c>
      <c r="J8" s="85">
        <v>11.412649999999999</v>
      </c>
      <c r="K8" s="203">
        <v>104.88224000000001</v>
      </c>
      <c r="L8" s="86">
        <f>+M8+N8+O8</f>
        <v>66.165630000000007</v>
      </c>
      <c r="M8" s="85">
        <v>7.6486299999999998</v>
      </c>
      <c r="N8" s="85"/>
      <c r="O8" s="85">
        <v>58.517000000000003</v>
      </c>
      <c r="P8" s="222">
        <v>74.287999999999997</v>
      </c>
      <c r="Q8" s="102"/>
      <c r="S8" s="127"/>
      <c r="V8" s="124"/>
      <c r="X8" s="101"/>
      <c r="Y8" s="101"/>
      <c r="Z8" s="101"/>
      <c r="AA8" s="101"/>
      <c r="AB8" s="101"/>
    </row>
    <row r="9" spans="1:31" x14ac:dyDescent="0.2">
      <c r="B9" s="87">
        <v>1996</v>
      </c>
      <c r="C9" s="88">
        <f>+D9+P9</f>
        <v>508.84737699999999</v>
      </c>
      <c r="D9" s="89">
        <f>+E9+F9+G9</f>
        <v>372.89737700000001</v>
      </c>
      <c r="E9" s="90">
        <f t="shared" si="0"/>
        <v>163.01889699999998</v>
      </c>
      <c r="F9" s="90">
        <f t="shared" si="0"/>
        <v>16.600999999999999</v>
      </c>
      <c r="G9" s="204">
        <f t="shared" si="0"/>
        <v>193.27748000000003</v>
      </c>
      <c r="H9" s="91">
        <f>+I9+J9+K9</f>
        <v>176.97620699999999</v>
      </c>
      <c r="I9" s="90">
        <v>65.267436999999987</v>
      </c>
      <c r="J9" s="90">
        <v>16.600999999999999</v>
      </c>
      <c r="K9" s="204">
        <v>95.107770000000002</v>
      </c>
      <c r="L9" s="91">
        <f>+M9+N9+O9</f>
        <v>195.92117000000002</v>
      </c>
      <c r="M9" s="90">
        <v>97.751460000000009</v>
      </c>
      <c r="N9" s="90"/>
      <c r="O9" s="90">
        <v>98.169710000000009</v>
      </c>
      <c r="P9" s="221">
        <v>135.94999999999999</v>
      </c>
      <c r="Q9" s="102"/>
      <c r="R9" s="76">
        <v>1995</v>
      </c>
      <c r="S9" s="223">
        <f>+T9+U9</f>
        <v>220.87862899999999</v>
      </c>
      <c r="T9" s="124">
        <f t="shared" ref="T9:T22" si="1">+H8</f>
        <v>154.712999</v>
      </c>
      <c r="U9" s="124">
        <f t="shared" ref="U9:U22" si="2">+L8</f>
        <v>66.165630000000007</v>
      </c>
      <c r="V9" s="124"/>
      <c r="X9" s="101"/>
      <c r="Y9" s="101"/>
      <c r="Z9" s="101"/>
      <c r="AA9" s="101"/>
      <c r="AB9" s="101"/>
    </row>
    <row r="10" spans="1:31" x14ac:dyDescent="0.2">
      <c r="B10" s="82">
        <v>1997</v>
      </c>
      <c r="C10" s="83">
        <f t="shared" ref="C10:C17" si="3">+D10+P10</f>
        <v>594.18388100000004</v>
      </c>
      <c r="D10" s="84">
        <f t="shared" ref="D10:D32" si="4">+E10+F10+G10</f>
        <v>547.62588100000005</v>
      </c>
      <c r="E10" s="85">
        <f t="shared" si="0"/>
        <v>343.44413100000003</v>
      </c>
      <c r="F10" s="85">
        <f t="shared" si="0"/>
        <v>32.720779999999998</v>
      </c>
      <c r="G10" s="203">
        <f t="shared" si="0"/>
        <v>171.46097</v>
      </c>
      <c r="H10" s="86">
        <f t="shared" ref="H10:H35" si="5">+I10+J10+K10</f>
        <v>207.88996599999999</v>
      </c>
      <c r="I10" s="85">
        <v>103.23717600000001</v>
      </c>
      <c r="J10" s="85">
        <v>32.720779999999998</v>
      </c>
      <c r="K10" s="203">
        <v>71.932009999999991</v>
      </c>
      <c r="L10" s="86">
        <f t="shared" ref="L10:L35" si="6">+M10+N10+O10</f>
        <v>339.73591500000003</v>
      </c>
      <c r="M10" s="85">
        <v>240.20695500000002</v>
      </c>
      <c r="N10" s="85"/>
      <c r="O10" s="85">
        <v>99.528960000000012</v>
      </c>
      <c r="P10" s="222">
        <v>46.558</v>
      </c>
      <c r="Q10" s="103"/>
      <c r="R10" s="76">
        <v>1996</v>
      </c>
      <c r="S10" s="223">
        <f t="shared" ref="S10:S23" si="7">+T10+U10</f>
        <v>372.89737700000001</v>
      </c>
      <c r="T10" s="124">
        <f t="shared" si="1"/>
        <v>176.97620699999999</v>
      </c>
      <c r="U10" s="124">
        <f t="shared" si="2"/>
        <v>195.92117000000002</v>
      </c>
      <c r="V10" s="124"/>
      <c r="X10" s="101"/>
      <c r="Y10" s="101"/>
      <c r="Z10" s="101"/>
      <c r="AA10" s="101"/>
      <c r="AB10" s="101"/>
    </row>
    <row r="11" spans="1:31" x14ac:dyDescent="0.2">
      <c r="B11" s="87">
        <v>1998</v>
      </c>
      <c r="C11" s="88">
        <f t="shared" si="3"/>
        <v>612.99943099999996</v>
      </c>
      <c r="D11" s="89">
        <f t="shared" si="4"/>
        <v>561.51143100000002</v>
      </c>
      <c r="E11" s="90">
        <f t="shared" si="0"/>
        <v>365.36324100000002</v>
      </c>
      <c r="F11" s="90">
        <f t="shared" si="0"/>
        <v>59.643269999999994</v>
      </c>
      <c r="G11" s="204">
        <f t="shared" si="0"/>
        <v>136.50492</v>
      </c>
      <c r="H11" s="91">
        <f t="shared" si="5"/>
        <v>202.79134299999998</v>
      </c>
      <c r="I11" s="90">
        <v>114.539113</v>
      </c>
      <c r="J11" s="90">
        <v>46.155269999999994</v>
      </c>
      <c r="K11" s="204">
        <v>42.096959999999996</v>
      </c>
      <c r="L11" s="91">
        <f t="shared" si="6"/>
        <v>358.72008800000003</v>
      </c>
      <c r="M11" s="90">
        <v>250.824128</v>
      </c>
      <c r="N11" s="90">
        <v>13.488</v>
      </c>
      <c r="O11" s="90">
        <v>94.407960000000003</v>
      </c>
      <c r="P11" s="221">
        <v>51.488</v>
      </c>
      <c r="Q11" s="103"/>
      <c r="R11" s="76">
        <v>1997</v>
      </c>
      <c r="S11" s="223">
        <f t="shared" si="7"/>
        <v>547.62588100000005</v>
      </c>
      <c r="T11" s="124">
        <f t="shared" si="1"/>
        <v>207.88996599999999</v>
      </c>
      <c r="U11" s="124">
        <f t="shared" si="2"/>
        <v>339.73591500000003</v>
      </c>
      <c r="V11" s="124"/>
      <c r="X11" s="101"/>
      <c r="Y11" s="101"/>
      <c r="Z11" s="101"/>
      <c r="AA11" s="101"/>
      <c r="AB11" s="101"/>
    </row>
    <row r="12" spans="1:31" x14ac:dyDescent="0.2">
      <c r="B12" s="82">
        <v>1999</v>
      </c>
      <c r="C12" s="83">
        <f t="shared" si="3"/>
        <v>764.17922801183431</v>
      </c>
      <c r="D12" s="84">
        <f t="shared" si="4"/>
        <v>709.53922801183433</v>
      </c>
      <c r="E12" s="85">
        <f t="shared" si="0"/>
        <v>417.232328</v>
      </c>
      <c r="F12" s="85">
        <f t="shared" si="0"/>
        <v>170.80662000000001</v>
      </c>
      <c r="G12" s="203">
        <f t="shared" si="0"/>
        <v>121.50028001183432</v>
      </c>
      <c r="H12" s="86">
        <f t="shared" si="5"/>
        <v>201.72455901183432</v>
      </c>
      <c r="I12" s="85">
        <v>136.331909</v>
      </c>
      <c r="J12" s="85">
        <v>31.317900000000002</v>
      </c>
      <c r="K12" s="203">
        <v>34.074750011834318</v>
      </c>
      <c r="L12" s="86">
        <f t="shared" si="6"/>
        <v>507.81466899999998</v>
      </c>
      <c r="M12" s="85">
        <v>280.900419</v>
      </c>
      <c r="N12" s="85">
        <v>139.48872</v>
      </c>
      <c r="O12" s="85">
        <v>87.425529999999995</v>
      </c>
      <c r="P12" s="222">
        <v>54.64</v>
      </c>
      <c r="Q12" s="103"/>
      <c r="R12" s="76">
        <v>1998</v>
      </c>
      <c r="S12" s="223">
        <f t="shared" si="7"/>
        <v>561.51143100000002</v>
      </c>
      <c r="T12" s="124">
        <f t="shared" si="1"/>
        <v>202.79134299999998</v>
      </c>
      <c r="U12" s="124">
        <f t="shared" si="2"/>
        <v>358.72008800000003</v>
      </c>
      <c r="V12" s="124"/>
      <c r="X12" s="101"/>
      <c r="Y12" s="101"/>
      <c r="Z12" s="101"/>
      <c r="AA12" s="101"/>
      <c r="AB12" s="101"/>
    </row>
    <row r="13" spans="1:31" x14ac:dyDescent="0.2">
      <c r="B13" s="87">
        <v>2000</v>
      </c>
      <c r="C13" s="88">
        <f t="shared" si="3"/>
        <v>659.21399999999994</v>
      </c>
      <c r="D13" s="89">
        <f t="shared" si="4"/>
        <v>605.803</v>
      </c>
      <c r="E13" s="90">
        <f t="shared" si="0"/>
        <v>337.65800000000002</v>
      </c>
      <c r="F13" s="90">
        <f t="shared" si="0"/>
        <v>128.93899999999999</v>
      </c>
      <c r="G13" s="204">
        <f t="shared" si="0"/>
        <v>139.20599999999999</v>
      </c>
      <c r="H13" s="91">
        <f t="shared" si="5"/>
        <v>165.994</v>
      </c>
      <c r="I13" s="90">
        <v>123.21599999999999</v>
      </c>
      <c r="J13" s="90">
        <v>26.69</v>
      </c>
      <c r="K13" s="204">
        <v>16.088000000000001</v>
      </c>
      <c r="L13" s="91">
        <f t="shared" si="6"/>
        <v>439.80900000000003</v>
      </c>
      <c r="M13" s="90">
        <v>214.44200000000001</v>
      </c>
      <c r="N13" s="92">
        <v>102.249</v>
      </c>
      <c r="O13" s="90">
        <v>123.11799999999999</v>
      </c>
      <c r="P13" s="221">
        <v>53.411000000000001</v>
      </c>
      <c r="Q13" s="103"/>
      <c r="R13" s="76">
        <v>1999</v>
      </c>
      <c r="S13" s="223">
        <f t="shared" si="7"/>
        <v>709.53922801183433</v>
      </c>
      <c r="T13" s="124">
        <f t="shared" si="1"/>
        <v>201.72455901183432</v>
      </c>
      <c r="U13" s="124">
        <f t="shared" si="2"/>
        <v>507.81466899999998</v>
      </c>
      <c r="V13" s="124"/>
      <c r="X13" s="101"/>
      <c r="Y13" s="101"/>
      <c r="Z13" s="101"/>
      <c r="AA13" s="101"/>
      <c r="AB13" s="101"/>
    </row>
    <row r="14" spans="1:31" x14ac:dyDescent="0.2">
      <c r="B14" s="82" t="s">
        <v>183</v>
      </c>
      <c r="C14" s="83">
        <f t="shared" si="3"/>
        <v>351.06397000000004</v>
      </c>
      <c r="D14" s="84">
        <f t="shared" si="4"/>
        <v>305.89697000000001</v>
      </c>
      <c r="E14" s="85">
        <f t="shared" si="0"/>
        <v>109.77217999999999</v>
      </c>
      <c r="F14" s="85">
        <f t="shared" si="0"/>
        <v>61.743000000000002</v>
      </c>
      <c r="G14" s="203">
        <f t="shared" si="0"/>
        <v>134.38179</v>
      </c>
      <c r="H14" s="86">
        <f t="shared" si="5"/>
        <v>95.058679999999995</v>
      </c>
      <c r="I14" s="85">
        <v>76.277079999999998</v>
      </c>
      <c r="J14" s="85">
        <v>3.1160000000000001</v>
      </c>
      <c r="K14" s="203">
        <v>15.6656</v>
      </c>
      <c r="L14" s="86">
        <f t="shared" si="6"/>
        <v>210.83829</v>
      </c>
      <c r="M14" s="85">
        <v>33.495100000000001</v>
      </c>
      <c r="N14" s="93">
        <v>58.627000000000002</v>
      </c>
      <c r="O14" s="85">
        <v>118.71619</v>
      </c>
      <c r="P14" s="222">
        <v>45.167000000000002</v>
      </c>
      <c r="Q14" s="103"/>
      <c r="R14" s="76">
        <v>2000</v>
      </c>
      <c r="S14" s="223">
        <f t="shared" si="7"/>
        <v>605.803</v>
      </c>
      <c r="T14" s="124">
        <f t="shared" si="1"/>
        <v>165.994</v>
      </c>
      <c r="U14" s="124">
        <f t="shared" si="2"/>
        <v>439.80900000000003</v>
      </c>
      <c r="V14" s="124"/>
      <c r="X14" s="101"/>
      <c r="Y14" s="101"/>
      <c r="Z14" s="101"/>
      <c r="AA14" s="101"/>
      <c r="AB14" s="101"/>
    </row>
    <row r="15" spans="1:31" x14ac:dyDescent="0.2">
      <c r="B15" s="87">
        <v>2002</v>
      </c>
      <c r="C15" s="88">
        <f t="shared" si="3"/>
        <v>259.529</v>
      </c>
      <c r="D15" s="89">
        <f t="shared" si="4"/>
        <v>242.19900000000001</v>
      </c>
      <c r="E15" s="90">
        <f t="shared" si="0"/>
        <v>107.84</v>
      </c>
      <c r="F15" s="90">
        <f t="shared" si="0"/>
        <v>37.657000000000004</v>
      </c>
      <c r="G15" s="204">
        <f t="shared" si="0"/>
        <v>96.701999999999998</v>
      </c>
      <c r="H15" s="91">
        <f t="shared" si="5"/>
        <v>109.85599999999999</v>
      </c>
      <c r="I15" s="90">
        <v>77.798000000000002</v>
      </c>
      <c r="J15" s="90">
        <v>0.377</v>
      </c>
      <c r="K15" s="204">
        <v>31.681000000000001</v>
      </c>
      <c r="L15" s="91">
        <f t="shared" si="6"/>
        <v>132.34300000000002</v>
      </c>
      <c r="M15" s="90">
        <v>30.042000000000002</v>
      </c>
      <c r="N15" s="92">
        <v>37.28</v>
      </c>
      <c r="O15" s="90">
        <v>65.021000000000001</v>
      </c>
      <c r="P15" s="221">
        <v>17.329999999999998</v>
      </c>
      <c r="Q15" s="104"/>
      <c r="R15" s="76">
        <v>2001</v>
      </c>
      <c r="S15" s="223">
        <f t="shared" si="7"/>
        <v>305.89697000000001</v>
      </c>
      <c r="T15" s="124">
        <f t="shared" si="1"/>
        <v>95.058679999999995</v>
      </c>
      <c r="U15" s="124">
        <f t="shared" si="2"/>
        <v>210.83829</v>
      </c>
      <c r="V15" s="124"/>
      <c r="X15" s="101"/>
      <c r="Y15" s="101"/>
      <c r="Z15" s="101"/>
      <c r="AA15" s="101"/>
      <c r="AB15" s="101"/>
    </row>
    <row r="16" spans="1:31" x14ac:dyDescent="0.2">
      <c r="B16" s="82">
        <v>2003</v>
      </c>
      <c r="C16" s="83">
        <f>+D16+P16</f>
        <v>235.38499999999999</v>
      </c>
      <c r="D16" s="84">
        <f>+E16+F16+G16</f>
        <v>191.95699999999999</v>
      </c>
      <c r="E16" s="85">
        <f>+I16+M16</f>
        <v>87.165000000000006</v>
      </c>
      <c r="F16" s="85">
        <f>+J16+N16</f>
        <v>12.826000000000001</v>
      </c>
      <c r="G16" s="203">
        <f>+K16+O16</f>
        <v>91.965999999999994</v>
      </c>
      <c r="H16" s="86">
        <f>+I16+J16+K16</f>
        <v>110.83199999999999</v>
      </c>
      <c r="I16" s="85">
        <v>67.105000000000004</v>
      </c>
      <c r="J16" s="85"/>
      <c r="K16" s="203">
        <v>43.726999999999997</v>
      </c>
      <c r="L16" s="86">
        <f>+M16+N16+O16</f>
        <v>81.125</v>
      </c>
      <c r="M16" s="85">
        <v>20.059999999999999</v>
      </c>
      <c r="N16" s="93">
        <v>12.826000000000001</v>
      </c>
      <c r="O16" s="85">
        <v>48.238999999999997</v>
      </c>
      <c r="P16" s="222">
        <v>43.427999999999997</v>
      </c>
      <c r="Q16" s="101"/>
      <c r="R16" s="76">
        <v>2002</v>
      </c>
      <c r="S16" s="223">
        <f t="shared" si="7"/>
        <v>242.19900000000001</v>
      </c>
      <c r="T16" s="124">
        <f t="shared" si="1"/>
        <v>109.85599999999999</v>
      </c>
      <c r="U16" s="124">
        <f t="shared" si="2"/>
        <v>132.34300000000002</v>
      </c>
      <c r="V16" s="124"/>
      <c r="X16" s="101"/>
      <c r="Y16" s="101"/>
      <c r="Z16" s="101"/>
      <c r="AA16" s="101"/>
      <c r="AB16" s="101"/>
    </row>
    <row r="17" spans="2:31" x14ac:dyDescent="0.2">
      <c r="B17" s="87">
        <v>2004</v>
      </c>
      <c r="C17" s="88">
        <f t="shared" si="3"/>
        <v>323.77300000000002</v>
      </c>
      <c r="D17" s="89">
        <f t="shared" si="4"/>
        <v>284.69500000000005</v>
      </c>
      <c r="E17" s="90">
        <f t="shared" si="0"/>
        <v>159.566</v>
      </c>
      <c r="F17" s="90">
        <f t="shared" si="0"/>
        <v>24.366</v>
      </c>
      <c r="G17" s="204">
        <f t="shared" si="0"/>
        <v>100.76300000000001</v>
      </c>
      <c r="H17" s="91">
        <f t="shared" si="5"/>
        <v>116.143</v>
      </c>
      <c r="I17" s="90">
        <v>67.001000000000005</v>
      </c>
      <c r="J17" s="90"/>
      <c r="K17" s="204">
        <v>49.142000000000003</v>
      </c>
      <c r="L17" s="91">
        <f t="shared" si="6"/>
        <v>168.55199999999999</v>
      </c>
      <c r="M17" s="90">
        <v>92.564999999999998</v>
      </c>
      <c r="N17" s="92">
        <v>24.366</v>
      </c>
      <c r="O17" s="90">
        <v>51.621000000000002</v>
      </c>
      <c r="P17" s="221">
        <v>39.078000000000003</v>
      </c>
      <c r="Q17" s="101"/>
      <c r="R17" s="76">
        <v>2003</v>
      </c>
      <c r="S17" s="223">
        <f t="shared" si="7"/>
        <v>191.95699999999999</v>
      </c>
      <c r="T17" s="124">
        <f t="shared" si="1"/>
        <v>110.83199999999999</v>
      </c>
      <c r="U17" s="124">
        <f t="shared" si="2"/>
        <v>81.125</v>
      </c>
      <c r="V17" s="124"/>
      <c r="X17" s="101"/>
      <c r="Y17" s="101"/>
      <c r="Z17" s="101"/>
      <c r="AA17" s="101"/>
      <c r="AB17" s="101"/>
    </row>
    <row r="18" spans="2:31" x14ac:dyDescent="0.2">
      <c r="B18" s="82">
        <v>2005</v>
      </c>
      <c r="C18" s="83">
        <f>+D18+P18</f>
        <v>393.73589000000004</v>
      </c>
      <c r="D18" s="84">
        <f t="shared" si="4"/>
        <v>348.49189000000001</v>
      </c>
      <c r="E18" s="85">
        <f t="shared" si="0"/>
        <v>193.49135000000001</v>
      </c>
      <c r="F18" s="85">
        <f t="shared" si="0"/>
        <v>20.633900000000001</v>
      </c>
      <c r="G18" s="203">
        <f t="shared" si="0"/>
        <v>134.36663999999999</v>
      </c>
      <c r="H18" s="86">
        <f t="shared" si="5"/>
        <v>117.43026999999999</v>
      </c>
      <c r="I18" s="85">
        <v>53.766709999999996</v>
      </c>
      <c r="J18" s="85"/>
      <c r="K18" s="203">
        <v>63.663559999999997</v>
      </c>
      <c r="L18" s="86">
        <f t="shared" si="6"/>
        <v>231.06162000000003</v>
      </c>
      <c r="M18" s="85">
        <v>139.72464000000002</v>
      </c>
      <c r="N18" s="93">
        <v>20.633900000000001</v>
      </c>
      <c r="O18" s="85">
        <v>70.70308</v>
      </c>
      <c r="P18" s="222">
        <v>45.244</v>
      </c>
      <c r="Q18" s="101"/>
      <c r="R18" s="76">
        <v>2004</v>
      </c>
      <c r="S18" s="223">
        <f t="shared" si="7"/>
        <v>284.69499999999999</v>
      </c>
      <c r="T18" s="124">
        <f t="shared" si="1"/>
        <v>116.143</v>
      </c>
      <c r="U18" s="124">
        <f t="shared" si="2"/>
        <v>168.55199999999999</v>
      </c>
      <c r="V18" s="124"/>
      <c r="X18" s="101"/>
      <c r="Y18" s="101"/>
      <c r="Z18" s="101"/>
      <c r="AA18" s="101"/>
      <c r="AB18" s="101"/>
    </row>
    <row r="19" spans="2:31" x14ac:dyDescent="0.2">
      <c r="B19" s="87">
        <v>2006</v>
      </c>
      <c r="C19" s="88">
        <f>+D19+P19</f>
        <v>480.15700000000004</v>
      </c>
      <c r="D19" s="89">
        <f t="shared" si="4"/>
        <v>446.20400000000001</v>
      </c>
      <c r="E19" s="90">
        <f t="shared" si="0"/>
        <v>289.57499999999999</v>
      </c>
      <c r="F19" s="90">
        <f t="shared" si="0"/>
        <v>16.542999999999999</v>
      </c>
      <c r="G19" s="204">
        <f t="shared" si="0"/>
        <v>140.08600000000001</v>
      </c>
      <c r="H19" s="91">
        <f t="shared" si="5"/>
        <v>95.745000000000005</v>
      </c>
      <c r="I19" s="90">
        <v>29.198</v>
      </c>
      <c r="J19" s="90"/>
      <c r="K19" s="204">
        <v>66.546999999999997</v>
      </c>
      <c r="L19" s="91">
        <f t="shared" si="6"/>
        <v>350.459</v>
      </c>
      <c r="M19" s="90">
        <v>260.37700000000001</v>
      </c>
      <c r="N19" s="92">
        <v>16.542999999999999</v>
      </c>
      <c r="O19" s="90">
        <v>73.539000000000001</v>
      </c>
      <c r="P19" s="221">
        <v>33.953000000000003</v>
      </c>
      <c r="Q19" s="101"/>
      <c r="R19" s="76">
        <v>2005</v>
      </c>
      <c r="S19" s="223">
        <f t="shared" si="7"/>
        <v>348.49189000000001</v>
      </c>
      <c r="T19" s="124">
        <f t="shared" si="1"/>
        <v>117.43026999999999</v>
      </c>
      <c r="U19" s="124">
        <f t="shared" si="2"/>
        <v>231.06162000000003</v>
      </c>
      <c r="V19" s="124"/>
      <c r="X19" s="101"/>
      <c r="Y19" s="101"/>
      <c r="Z19" s="101"/>
      <c r="AA19" s="101"/>
      <c r="AB19" s="101"/>
    </row>
    <row r="20" spans="2:31" x14ac:dyDescent="0.2">
      <c r="B20" s="82">
        <v>2007</v>
      </c>
      <c r="C20" s="83">
        <f>+D20+P20</f>
        <v>629.00013000000001</v>
      </c>
      <c r="D20" s="84">
        <f t="shared" si="4"/>
        <v>539.07312999999999</v>
      </c>
      <c r="E20" s="85">
        <f t="shared" si="0"/>
        <v>318.03030000000001</v>
      </c>
      <c r="F20" s="85">
        <f t="shared" si="0"/>
        <v>69.635899999999992</v>
      </c>
      <c r="G20" s="203">
        <f t="shared" si="0"/>
        <v>151.40692999999999</v>
      </c>
      <c r="H20" s="86">
        <f t="shared" si="5"/>
        <v>139.72556</v>
      </c>
      <c r="I20" s="85">
        <v>73.499299999999991</v>
      </c>
      <c r="J20" s="85"/>
      <c r="K20" s="203">
        <v>66.226260000000011</v>
      </c>
      <c r="L20" s="86">
        <f t="shared" si="6"/>
        <v>399.34757000000002</v>
      </c>
      <c r="M20" s="85">
        <v>244.53100000000001</v>
      </c>
      <c r="N20" s="93">
        <v>69.635899999999992</v>
      </c>
      <c r="O20" s="85">
        <v>85.180669999999992</v>
      </c>
      <c r="P20" s="222">
        <v>89.927000000000007</v>
      </c>
      <c r="Q20" s="101"/>
      <c r="R20" s="125">
        <v>2006</v>
      </c>
      <c r="S20" s="223">
        <f t="shared" si="7"/>
        <v>446.20400000000001</v>
      </c>
      <c r="T20" s="124">
        <f t="shared" si="1"/>
        <v>95.745000000000005</v>
      </c>
      <c r="U20" s="124">
        <f t="shared" si="2"/>
        <v>350.459</v>
      </c>
      <c r="V20" s="124"/>
      <c r="X20" s="101"/>
      <c r="Y20" s="101"/>
      <c r="Z20" s="101"/>
      <c r="AA20" s="101"/>
      <c r="AB20" s="101"/>
    </row>
    <row r="21" spans="2:31" x14ac:dyDescent="0.2">
      <c r="B21" s="87">
        <v>2008</v>
      </c>
      <c r="C21" s="88">
        <f t="shared" ref="C21:C35" si="8">D21+P21</f>
        <v>862.00699999999995</v>
      </c>
      <c r="D21" s="89">
        <f t="shared" si="4"/>
        <v>762.52</v>
      </c>
      <c r="E21" s="90">
        <f t="shared" si="0"/>
        <v>483.51</v>
      </c>
      <c r="F21" s="90">
        <f t="shared" si="0"/>
        <v>43.1</v>
      </c>
      <c r="G21" s="204">
        <f t="shared" si="0"/>
        <v>235.91</v>
      </c>
      <c r="H21" s="91">
        <f t="shared" si="5"/>
        <v>128.88</v>
      </c>
      <c r="I21" s="90">
        <v>26.5</v>
      </c>
      <c r="J21" s="90"/>
      <c r="K21" s="204">
        <v>102.38</v>
      </c>
      <c r="L21" s="91">
        <f t="shared" si="6"/>
        <v>633.64</v>
      </c>
      <c r="M21" s="90">
        <v>457.01</v>
      </c>
      <c r="N21" s="92">
        <v>43.1</v>
      </c>
      <c r="O21" s="90">
        <v>133.53</v>
      </c>
      <c r="P21" s="221">
        <v>99.486999999999995</v>
      </c>
      <c r="Q21" s="101"/>
      <c r="R21" s="125">
        <v>2007</v>
      </c>
      <c r="S21" s="223">
        <f t="shared" si="7"/>
        <v>539.07312999999999</v>
      </c>
      <c r="T21" s="124">
        <f t="shared" si="1"/>
        <v>139.72556</v>
      </c>
      <c r="U21" s="124">
        <f t="shared" si="2"/>
        <v>399.34757000000002</v>
      </c>
      <c r="V21" s="124"/>
      <c r="X21" s="101"/>
      <c r="Y21" s="101"/>
      <c r="Z21" s="101"/>
      <c r="AA21" s="101"/>
      <c r="AB21" s="101"/>
    </row>
    <row r="22" spans="2:31" x14ac:dyDescent="0.2">
      <c r="B22" s="94">
        <v>2009</v>
      </c>
      <c r="C22" s="83">
        <f t="shared" si="8"/>
        <v>1176.8417200000001</v>
      </c>
      <c r="D22" s="84">
        <f t="shared" si="4"/>
        <v>992.11972000000003</v>
      </c>
      <c r="E22" s="85">
        <f t="shared" si="0"/>
        <v>448.38329999999996</v>
      </c>
      <c r="F22" s="85">
        <f t="shared" si="0"/>
        <v>254.363</v>
      </c>
      <c r="G22" s="203">
        <f t="shared" si="0"/>
        <v>289.37342000000001</v>
      </c>
      <c r="H22" s="86">
        <f t="shared" si="5"/>
        <v>250.28899999999999</v>
      </c>
      <c r="I22" s="95">
        <v>88.849000000000004</v>
      </c>
      <c r="J22" s="95"/>
      <c r="K22" s="205">
        <v>161.44</v>
      </c>
      <c r="L22" s="86">
        <f t="shared" si="6"/>
        <v>741.83071999999993</v>
      </c>
      <c r="M22" s="95">
        <v>359.53429999999997</v>
      </c>
      <c r="N22" s="96">
        <v>254.363</v>
      </c>
      <c r="O22" s="95">
        <v>127.93342</v>
      </c>
      <c r="P22" s="222">
        <v>184.72200000000001</v>
      </c>
      <c r="Q22" s="101"/>
      <c r="R22" s="125">
        <v>2008</v>
      </c>
      <c r="S22" s="223">
        <f t="shared" si="7"/>
        <v>762.52</v>
      </c>
      <c r="T22" s="124">
        <f t="shared" si="1"/>
        <v>128.88</v>
      </c>
      <c r="U22" s="124">
        <f t="shared" si="2"/>
        <v>633.64</v>
      </c>
      <c r="V22" s="124"/>
      <c r="X22" s="101"/>
      <c r="Y22" s="101"/>
      <c r="Z22" s="101"/>
      <c r="AA22" s="101"/>
      <c r="AB22" s="101"/>
    </row>
    <row r="23" spans="2:31" x14ac:dyDescent="0.2">
      <c r="B23" s="87">
        <v>2010</v>
      </c>
      <c r="C23" s="88">
        <f t="shared" si="8"/>
        <v>1367.7377822261485</v>
      </c>
      <c r="D23" s="89">
        <f t="shared" si="4"/>
        <v>1144.3617822261485</v>
      </c>
      <c r="E23" s="90">
        <f t="shared" si="0"/>
        <v>558.63338222614846</v>
      </c>
      <c r="F23" s="90">
        <f t="shared" si="0"/>
        <v>332.55720000000002</v>
      </c>
      <c r="G23" s="204">
        <f t="shared" si="0"/>
        <v>253.1712</v>
      </c>
      <c r="H23" s="91">
        <f t="shared" si="5"/>
        <v>165.61058222614841</v>
      </c>
      <c r="I23" s="90">
        <v>25.113882226148409</v>
      </c>
      <c r="J23" s="90"/>
      <c r="K23" s="204">
        <v>140.4967</v>
      </c>
      <c r="L23" s="91">
        <f t="shared" si="6"/>
        <v>978.75120000000004</v>
      </c>
      <c r="M23" s="90">
        <v>533.51949999999999</v>
      </c>
      <c r="N23" s="92">
        <v>332.55720000000002</v>
      </c>
      <c r="O23" s="90">
        <v>112.67449999999999</v>
      </c>
      <c r="P23" s="221">
        <v>223.376</v>
      </c>
      <c r="Q23" s="101"/>
      <c r="R23" s="125">
        <v>2009</v>
      </c>
      <c r="S23" s="223">
        <f t="shared" si="7"/>
        <v>992.11971999999992</v>
      </c>
      <c r="T23" s="124">
        <f>+H22</f>
        <v>250.28899999999999</v>
      </c>
      <c r="U23" s="124">
        <f>+L22</f>
        <v>741.83071999999993</v>
      </c>
      <c r="V23" s="124"/>
      <c r="X23" s="101"/>
      <c r="Y23" s="101"/>
      <c r="Z23" s="101"/>
      <c r="AA23" s="101"/>
      <c r="AB23" s="101"/>
    </row>
    <row r="24" spans="2:31" s="60" customFormat="1" x14ac:dyDescent="0.2">
      <c r="B24" s="94">
        <v>2011</v>
      </c>
      <c r="C24" s="83">
        <f t="shared" si="8"/>
        <v>1880</v>
      </c>
      <c r="D24" s="84">
        <f t="shared" si="4"/>
        <v>1748.7</v>
      </c>
      <c r="E24" s="85">
        <f t="shared" ref="E24:G32" si="9">+I24+M24</f>
        <v>1240.8</v>
      </c>
      <c r="F24" s="85">
        <f t="shared" si="9"/>
        <v>278.5</v>
      </c>
      <c r="G24" s="203">
        <f t="shared" si="9"/>
        <v>229.4</v>
      </c>
      <c r="H24" s="86">
        <f t="shared" si="5"/>
        <v>107</v>
      </c>
      <c r="I24" s="95">
        <v>28.6</v>
      </c>
      <c r="J24" s="95"/>
      <c r="K24" s="205">
        <v>78.400000000000006</v>
      </c>
      <c r="L24" s="86">
        <f t="shared" si="6"/>
        <v>1641.7</v>
      </c>
      <c r="M24" s="95">
        <v>1212.2</v>
      </c>
      <c r="N24" s="96">
        <v>278.5</v>
      </c>
      <c r="O24" s="95">
        <v>151</v>
      </c>
      <c r="P24" s="222">
        <v>131.30000000000001</v>
      </c>
      <c r="Q24" s="105"/>
      <c r="R24" s="125">
        <v>2010</v>
      </c>
      <c r="S24" s="223">
        <f t="shared" ref="S24:S33" si="10">+T24+U24</f>
        <v>1144.3617822261485</v>
      </c>
      <c r="T24" s="124">
        <f t="shared" ref="T24:T33" si="11">+H23</f>
        <v>165.61058222614841</v>
      </c>
      <c r="U24" s="124">
        <f t="shared" ref="U24:U33" si="12">+L23</f>
        <v>978.75120000000004</v>
      </c>
      <c r="V24" s="224"/>
      <c r="W24" s="225"/>
      <c r="X24" s="105"/>
      <c r="Y24" s="105"/>
      <c r="Z24" s="105"/>
      <c r="AA24" s="105"/>
      <c r="AB24" s="105"/>
      <c r="AC24" s="225"/>
      <c r="AD24" s="225"/>
      <c r="AE24" s="225"/>
    </row>
    <row r="25" spans="2:31" s="60" customFormat="1" x14ac:dyDescent="0.2">
      <c r="B25" s="87">
        <v>2012</v>
      </c>
      <c r="C25" s="88">
        <f t="shared" si="8"/>
        <v>2738.9250697518219</v>
      </c>
      <c r="D25" s="89">
        <f t="shared" si="4"/>
        <v>2589.04386045</v>
      </c>
      <c r="E25" s="90">
        <f t="shared" si="9"/>
        <v>1781.40966045</v>
      </c>
      <c r="F25" s="90">
        <f t="shared" si="9"/>
        <v>470.27</v>
      </c>
      <c r="G25" s="204">
        <f t="shared" si="9"/>
        <v>337.36420000000004</v>
      </c>
      <c r="H25" s="91">
        <f t="shared" si="5"/>
        <v>121.623</v>
      </c>
      <c r="I25" s="90">
        <v>35.28</v>
      </c>
      <c r="J25" s="90"/>
      <c r="K25" s="204">
        <v>86.343000000000004</v>
      </c>
      <c r="L25" s="91">
        <f t="shared" si="6"/>
        <v>2467.42086045</v>
      </c>
      <c r="M25" s="90">
        <v>1746.1296604500001</v>
      </c>
      <c r="N25" s="92">
        <v>470.27</v>
      </c>
      <c r="O25" s="90">
        <v>251.02120000000002</v>
      </c>
      <c r="P25" s="221">
        <v>149.8812093018218</v>
      </c>
      <c r="Q25" s="105"/>
      <c r="R25" s="125">
        <v>2011</v>
      </c>
      <c r="S25" s="223">
        <f t="shared" si="10"/>
        <v>1748.7</v>
      </c>
      <c r="T25" s="124">
        <f t="shared" si="11"/>
        <v>107</v>
      </c>
      <c r="U25" s="124">
        <f t="shared" si="12"/>
        <v>1641.7</v>
      </c>
      <c r="V25" s="224"/>
      <c r="W25" s="225"/>
      <c r="X25" s="105"/>
      <c r="Y25" s="105"/>
      <c r="Z25" s="105"/>
      <c r="AA25" s="105"/>
      <c r="AB25" s="105"/>
      <c r="AC25" s="225"/>
      <c r="AD25" s="225"/>
      <c r="AE25" s="225"/>
    </row>
    <row r="26" spans="2:31" s="60" customFormat="1" x14ac:dyDescent="0.2">
      <c r="B26" s="94">
        <v>2013</v>
      </c>
      <c r="C26" s="83">
        <f t="shared" si="8"/>
        <v>2589.0289318988771</v>
      </c>
      <c r="D26" s="84">
        <f t="shared" si="4"/>
        <v>2439.6153999999997</v>
      </c>
      <c r="E26" s="85">
        <f t="shared" si="9"/>
        <v>1829.8335</v>
      </c>
      <c r="F26" s="85">
        <f t="shared" si="9"/>
        <v>188.4134</v>
      </c>
      <c r="G26" s="203">
        <f t="shared" si="9"/>
        <v>421.36850000000004</v>
      </c>
      <c r="H26" s="86">
        <f t="shared" si="5"/>
        <v>209.3229</v>
      </c>
      <c r="I26" s="95">
        <v>65.214799999999997</v>
      </c>
      <c r="J26" s="95"/>
      <c r="K26" s="205">
        <v>144.10810000000001</v>
      </c>
      <c r="L26" s="86">
        <f t="shared" si="6"/>
        <v>2230.2925</v>
      </c>
      <c r="M26" s="95">
        <v>1764.6187</v>
      </c>
      <c r="N26" s="96">
        <v>188.4134</v>
      </c>
      <c r="O26" s="95">
        <v>277.2604</v>
      </c>
      <c r="P26" s="222">
        <v>149.41353189887735</v>
      </c>
      <c r="Q26" s="105"/>
      <c r="R26" s="76">
        <v>2012</v>
      </c>
      <c r="S26" s="223">
        <f t="shared" si="10"/>
        <v>2589.04386045</v>
      </c>
      <c r="T26" s="124">
        <f t="shared" si="11"/>
        <v>121.623</v>
      </c>
      <c r="U26" s="124">
        <f t="shared" si="12"/>
        <v>2467.42086045</v>
      </c>
      <c r="V26" s="224"/>
      <c r="W26" s="225"/>
      <c r="X26" s="105"/>
      <c r="Y26" s="105"/>
      <c r="Z26" s="105"/>
      <c r="AA26" s="105"/>
      <c r="AB26" s="105"/>
      <c r="AC26" s="225"/>
      <c r="AD26" s="225"/>
      <c r="AE26" s="225"/>
    </row>
    <row r="27" spans="2:31" s="60" customFormat="1" x14ac:dyDescent="0.2">
      <c r="B27" s="87">
        <v>2014</v>
      </c>
      <c r="C27" s="88">
        <f t="shared" si="8"/>
        <v>2777.6365865752709</v>
      </c>
      <c r="D27" s="89">
        <f t="shared" si="4"/>
        <v>2666.6126000887843</v>
      </c>
      <c r="E27" s="90">
        <f t="shared" si="9"/>
        <v>2021.3049047048166</v>
      </c>
      <c r="F27" s="90">
        <f t="shared" si="9"/>
        <v>244.01244188000001</v>
      </c>
      <c r="G27" s="204">
        <f t="shared" si="9"/>
        <v>401.29525350396761</v>
      </c>
      <c r="H27" s="91">
        <f t="shared" si="5"/>
        <v>178.33149350396769</v>
      </c>
      <c r="I27" s="90">
        <v>62.090519999999998</v>
      </c>
      <c r="J27" s="90"/>
      <c r="K27" s="204">
        <v>116.24097350396768</v>
      </c>
      <c r="L27" s="91">
        <f t="shared" si="6"/>
        <v>2488.2811065848164</v>
      </c>
      <c r="M27" s="90">
        <v>1959.2143847048167</v>
      </c>
      <c r="N27" s="92">
        <v>244.01244188000001</v>
      </c>
      <c r="O27" s="90">
        <v>285.05427999999995</v>
      </c>
      <c r="P27" s="221">
        <v>111.02398648648649</v>
      </c>
      <c r="Q27" s="105"/>
      <c r="R27" s="76">
        <v>2013</v>
      </c>
      <c r="S27" s="223">
        <f t="shared" si="10"/>
        <v>2439.6154000000001</v>
      </c>
      <c r="T27" s="124">
        <f t="shared" si="11"/>
        <v>209.3229</v>
      </c>
      <c r="U27" s="124">
        <f t="shared" si="12"/>
        <v>2230.2925</v>
      </c>
      <c r="V27" s="224"/>
      <c r="W27" s="225"/>
      <c r="X27" s="105"/>
      <c r="Y27" s="105"/>
      <c r="Z27" s="105"/>
      <c r="AA27" s="105"/>
      <c r="AB27" s="105"/>
      <c r="AC27" s="225"/>
      <c r="AD27" s="225"/>
      <c r="AE27" s="225"/>
    </row>
    <row r="28" spans="2:31" s="60" customFormat="1" x14ac:dyDescent="0.2">
      <c r="B28" s="94">
        <v>2015</v>
      </c>
      <c r="C28" s="83">
        <f t="shared" si="8"/>
        <v>2593.4579568204049</v>
      </c>
      <c r="D28" s="84">
        <f t="shared" si="4"/>
        <v>2486.3082598507081</v>
      </c>
      <c r="E28" s="85">
        <f t="shared" si="9"/>
        <v>1773.8894952016162</v>
      </c>
      <c r="F28" s="85">
        <f t="shared" si="9"/>
        <v>354.97169140999995</v>
      </c>
      <c r="G28" s="203">
        <f t="shared" si="9"/>
        <v>357.44707323909199</v>
      </c>
      <c r="H28" s="86">
        <f t="shared" si="5"/>
        <v>122.07089438088975</v>
      </c>
      <c r="I28" s="95">
        <v>43.02659068965518</v>
      </c>
      <c r="J28" s="95"/>
      <c r="K28" s="205">
        <v>79.044303691234575</v>
      </c>
      <c r="L28" s="86">
        <f t="shared" si="6"/>
        <v>2364.2373654698185</v>
      </c>
      <c r="M28" s="95">
        <v>1730.862904511961</v>
      </c>
      <c r="N28" s="96">
        <v>354.97169140999995</v>
      </c>
      <c r="O28" s="95">
        <v>278.40276954785742</v>
      </c>
      <c r="P28" s="222">
        <v>107.14969696969698</v>
      </c>
      <c r="Q28" s="105"/>
      <c r="R28" s="76">
        <v>2014</v>
      </c>
      <c r="S28" s="223">
        <f t="shared" si="10"/>
        <v>2666.6126000887839</v>
      </c>
      <c r="T28" s="124">
        <f t="shared" si="11"/>
        <v>178.33149350396769</v>
      </c>
      <c r="U28" s="124">
        <f t="shared" si="12"/>
        <v>2488.2811065848164</v>
      </c>
      <c r="V28" s="224"/>
      <c r="W28" s="225"/>
      <c r="X28" s="105"/>
      <c r="Y28" s="105"/>
      <c r="Z28" s="105"/>
      <c r="AA28" s="105"/>
      <c r="AB28" s="105"/>
      <c r="AC28" s="225"/>
      <c r="AD28" s="225"/>
      <c r="AE28" s="225"/>
    </row>
    <row r="29" spans="2:31" s="60" customFormat="1" x14ac:dyDescent="0.2">
      <c r="B29" s="87">
        <v>2016</v>
      </c>
      <c r="C29" s="88">
        <f t="shared" si="8"/>
        <v>1798.3000000000002</v>
      </c>
      <c r="D29" s="89">
        <f t="shared" si="4"/>
        <v>1728.9</v>
      </c>
      <c r="E29" s="90">
        <f t="shared" si="9"/>
        <v>965.9</v>
      </c>
      <c r="F29" s="90">
        <f t="shared" si="9"/>
        <v>398.3</v>
      </c>
      <c r="G29" s="204">
        <f t="shared" si="9"/>
        <v>364.7</v>
      </c>
      <c r="H29" s="91">
        <f t="shared" si="5"/>
        <v>127</v>
      </c>
      <c r="I29" s="90">
        <v>27</v>
      </c>
      <c r="J29" s="90"/>
      <c r="K29" s="204">
        <v>100</v>
      </c>
      <c r="L29" s="91">
        <f t="shared" si="6"/>
        <v>1601.9</v>
      </c>
      <c r="M29" s="90">
        <v>938.9</v>
      </c>
      <c r="N29" s="92">
        <v>398.3</v>
      </c>
      <c r="O29" s="90">
        <v>264.7</v>
      </c>
      <c r="P29" s="221">
        <v>69.400000000000006</v>
      </c>
      <c r="Q29" s="105"/>
      <c r="R29" s="76">
        <v>2015</v>
      </c>
      <c r="S29" s="223">
        <f t="shared" si="10"/>
        <v>2486.3082598507085</v>
      </c>
      <c r="T29" s="124">
        <f t="shared" si="11"/>
        <v>122.07089438088975</v>
      </c>
      <c r="U29" s="124">
        <f t="shared" si="12"/>
        <v>2364.2373654698185</v>
      </c>
      <c r="V29" s="224"/>
      <c r="W29" s="225"/>
      <c r="X29" s="105"/>
      <c r="Y29" s="105"/>
      <c r="Z29" s="105"/>
      <c r="AA29" s="105"/>
      <c r="AB29" s="105"/>
      <c r="AC29" s="225"/>
      <c r="AD29" s="225"/>
      <c r="AE29" s="225"/>
    </row>
    <row r="30" spans="2:31" s="60" customFormat="1" x14ac:dyDescent="0.2">
      <c r="B30" s="213">
        <v>2017</v>
      </c>
      <c r="C30" s="118">
        <f t="shared" si="8"/>
        <v>1519.05</v>
      </c>
      <c r="D30" s="119">
        <f t="shared" si="4"/>
        <v>1417.25</v>
      </c>
      <c r="E30" s="120">
        <f t="shared" si="9"/>
        <v>855.91</v>
      </c>
      <c r="F30" s="120">
        <f t="shared" si="9"/>
        <v>269</v>
      </c>
      <c r="G30" s="205">
        <f t="shared" si="9"/>
        <v>292.34000000000003</v>
      </c>
      <c r="H30" s="121">
        <f t="shared" si="5"/>
        <v>52</v>
      </c>
      <c r="I30" s="120">
        <v>20.399999999999999</v>
      </c>
      <c r="J30" s="120"/>
      <c r="K30" s="205">
        <v>31.6</v>
      </c>
      <c r="L30" s="122">
        <f t="shared" si="6"/>
        <v>1365.25</v>
      </c>
      <c r="M30" s="120">
        <v>835.51</v>
      </c>
      <c r="N30" s="123">
        <v>269</v>
      </c>
      <c r="O30" s="120">
        <v>260.74</v>
      </c>
      <c r="P30" s="226">
        <v>101.8</v>
      </c>
      <c r="Q30" s="105"/>
      <c r="R30" s="76">
        <v>2016</v>
      </c>
      <c r="S30" s="223">
        <f t="shared" si="10"/>
        <v>1728.9</v>
      </c>
      <c r="T30" s="124">
        <f t="shared" si="11"/>
        <v>127</v>
      </c>
      <c r="U30" s="124">
        <f t="shared" si="12"/>
        <v>1601.9</v>
      </c>
      <c r="V30" s="224"/>
      <c r="W30" s="225"/>
      <c r="X30" s="105"/>
      <c r="Y30" s="105"/>
      <c r="Z30" s="105"/>
      <c r="AA30" s="105"/>
      <c r="AB30" s="105"/>
      <c r="AC30" s="225"/>
      <c r="AD30" s="225"/>
      <c r="AE30" s="225"/>
    </row>
    <row r="31" spans="2:31" s="60" customFormat="1" x14ac:dyDescent="0.2">
      <c r="B31" s="87">
        <v>2018</v>
      </c>
      <c r="C31" s="88">
        <f t="shared" si="8"/>
        <v>766.1594998765255</v>
      </c>
      <c r="D31" s="89">
        <f>+E31+F31+G31</f>
        <v>659.1963463804035</v>
      </c>
      <c r="E31" s="90">
        <f>+I31+M31</f>
        <v>270.7029896800878</v>
      </c>
      <c r="F31" s="90">
        <f>+J31+N31</f>
        <v>81.554137765000007</v>
      </c>
      <c r="G31" s="204">
        <f>+K31+O31</f>
        <v>306.93921893531569</v>
      </c>
      <c r="H31" s="91">
        <f>+I31+J31+K31</f>
        <v>78.454342463223497</v>
      </c>
      <c r="I31" s="90">
        <f>17920.2884984288/1000</f>
        <v>17.9202884984288</v>
      </c>
      <c r="J31" s="90"/>
      <c r="K31" s="204">
        <f>60534.0539647947/1000</f>
        <v>60.534053964794701</v>
      </c>
      <c r="L31" s="91">
        <f>+M31+N31+O31</f>
        <v>580.74200391718</v>
      </c>
      <c r="M31" s="90">
        <f>252782.701181659/1000</f>
        <v>252.78270118165901</v>
      </c>
      <c r="N31" s="92">
        <f>81554.137765/1000</f>
        <v>81.554137765000007</v>
      </c>
      <c r="O31" s="90">
        <f>246405.164970521/1000</f>
        <v>246.40516497052101</v>
      </c>
      <c r="P31" s="221">
        <v>106.963153496122</v>
      </c>
      <c r="Q31" s="105"/>
      <c r="R31" s="76">
        <v>2017</v>
      </c>
      <c r="S31" s="223">
        <f t="shared" si="10"/>
        <v>1417.25</v>
      </c>
      <c r="T31" s="124">
        <f t="shared" si="11"/>
        <v>52</v>
      </c>
      <c r="U31" s="124">
        <f t="shared" si="12"/>
        <v>1365.25</v>
      </c>
      <c r="V31" s="224"/>
      <c r="W31" s="225"/>
      <c r="X31" s="105"/>
      <c r="Y31" s="105"/>
      <c r="Z31" s="105"/>
      <c r="AA31" s="105"/>
      <c r="AB31" s="105"/>
      <c r="AC31" s="225"/>
      <c r="AD31" s="225"/>
      <c r="AE31" s="225"/>
    </row>
    <row r="32" spans="2:31" s="60" customFormat="1" x14ac:dyDescent="0.2">
      <c r="B32" s="213">
        <v>2019</v>
      </c>
      <c r="C32" s="118">
        <f t="shared" si="8"/>
        <v>709.63635261285049</v>
      </c>
      <c r="D32" s="119">
        <f t="shared" si="4"/>
        <v>618.38349010573825</v>
      </c>
      <c r="E32" s="120">
        <f t="shared" si="9"/>
        <v>197.33050129443214</v>
      </c>
      <c r="F32" s="120">
        <f t="shared" si="9"/>
        <v>152.23425350425475</v>
      </c>
      <c r="G32" s="205">
        <f t="shared" si="9"/>
        <v>268.81873530705138</v>
      </c>
      <c r="H32" s="121">
        <f t="shared" si="5"/>
        <v>170.00447599202266</v>
      </c>
      <c r="I32" s="120">
        <v>19.748448735896869</v>
      </c>
      <c r="J32" s="120"/>
      <c r="K32" s="205">
        <v>150.2560272561258</v>
      </c>
      <c r="L32" s="122">
        <f t="shared" si="6"/>
        <v>448.37901411371558</v>
      </c>
      <c r="M32" s="120">
        <v>177.58205255853528</v>
      </c>
      <c r="N32" s="123">
        <v>152.23425350425475</v>
      </c>
      <c r="O32" s="120">
        <v>118.56270805092556</v>
      </c>
      <c r="P32" s="226">
        <v>91.252862507112198</v>
      </c>
      <c r="Q32" s="105"/>
      <c r="R32" s="76">
        <v>2018</v>
      </c>
      <c r="S32" s="223">
        <f t="shared" si="10"/>
        <v>659.1963463804035</v>
      </c>
      <c r="T32" s="124">
        <f t="shared" si="11"/>
        <v>78.454342463223497</v>
      </c>
      <c r="U32" s="124">
        <f t="shared" si="12"/>
        <v>580.74200391718</v>
      </c>
      <c r="V32" s="224"/>
      <c r="W32" s="225"/>
      <c r="X32" s="105"/>
      <c r="Y32" s="105"/>
      <c r="Z32" s="105"/>
      <c r="AA32" s="105"/>
      <c r="AB32" s="105"/>
      <c r="AC32" s="225"/>
      <c r="AD32" s="225"/>
      <c r="AE32" s="225"/>
    </row>
    <row r="33" spans="2:31" s="60" customFormat="1" x14ac:dyDescent="0.2">
      <c r="B33" s="87">
        <v>2020</v>
      </c>
      <c r="C33" s="88">
        <f t="shared" ref="C33" si="13">D33+P33</f>
        <v>462.48743432230538</v>
      </c>
      <c r="D33" s="89">
        <f>+E33+F33+G33</f>
        <v>417.32576072679979</v>
      </c>
      <c r="E33" s="90">
        <f>+I33+M33</f>
        <v>211.5453484929939</v>
      </c>
      <c r="F33" s="90">
        <f>+J33+N33</f>
        <v>7.0730336626471999</v>
      </c>
      <c r="G33" s="204">
        <f>+K33+O33</f>
        <v>198.7073785711587</v>
      </c>
      <c r="H33" s="91">
        <f>+I33+J33+K33</f>
        <v>174.2730185157626</v>
      </c>
      <c r="I33" s="90">
        <v>94.147276942728894</v>
      </c>
      <c r="J33" s="90"/>
      <c r="K33" s="204">
        <v>80.125741573033693</v>
      </c>
      <c r="L33" s="91">
        <f>+M33+N33+O33</f>
        <v>243.05274221103721</v>
      </c>
      <c r="M33" s="90">
        <v>117.398071550265</v>
      </c>
      <c r="N33" s="92">
        <v>7.0730336626471999</v>
      </c>
      <c r="O33" s="90">
        <v>118.58163699812501</v>
      </c>
      <c r="P33" s="221">
        <v>45.161673595505597</v>
      </c>
      <c r="Q33" s="105"/>
      <c r="R33" s="76">
        <v>2019</v>
      </c>
      <c r="S33" s="223">
        <f t="shared" si="10"/>
        <v>618.38349010573825</v>
      </c>
      <c r="T33" s="124">
        <f t="shared" si="11"/>
        <v>170.00447599202266</v>
      </c>
      <c r="U33" s="124">
        <f t="shared" si="12"/>
        <v>448.37901411371558</v>
      </c>
      <c r="V33" s="224"/>
      <c r="W33" s="225"/>
      <c r="X33" s="105"/>
      <c r="Y33" s="105"/>
      <c r="Z33" s="105"/>
      <c r="AA33" s="105"/>
      <c r="AB33" s="105"/>
      <c r="AC33" s="225"/>
      <c r="AD33" s="225"/>
      <c r="AE33" s="225"/>
    </row>
    <row r="34" spans="2:31" s="60" customFormat="1" x14ac:dyDescent="0.2">
      <c r="B34" s="213">
        <v>2021</v>
      </c>
      <c r="C34" s="118">
        <f t="shared" si="8"/>
        <v>1197.7701896553369</v>
      </c>
      <c r="D34" s="119">
        <f t="shared" ref="D34:D35" si="14">+E34+F34+G34</f>
        <v>1111.9451584755616</v>
      </c>
      <c r="E34" s="120">
        <f t="shared" ref="E34:E35" si="15">+I34+M34</f>
        <v>203.8835508769663</v>
      </c>
      <c r="F34" s="120">
        <f t="shared" ref="F34:F35" si="16">+J34+N34</f>
        <v>506.98487</v>
      </c>
      <c r="G34" s="205">
        <f t="shared" ref="G34:G35" si="17">+K34+O34</f>
        <v>401.07673759859517</v>
      </c>
      <c r="H34" s="121">
        <f t="shared" si="5"/>
        <v>135.66263258426929</v>
      </c>
      <c r="I34" s="120">
        <v>12.6754584269663</v>
      </c>
      <c r="J34" s="120"/>
      <c r="K34" s="205">
        <v>122.987174157303</v>
      </c>
      <c r="L34" s="122">
        <f t="shared" si="6"/>
        <v>976.28252589129215</v>
      </c>
      <c r="M34" s="120">
        <v>191.20809245000001</v>
      </c>
      <c r="N34" s="123">
        <v>506.98487</v>
      </c>
      <c r="O34" s="120">
        <v>278.08956344129217</v>
      </c>
      <c r="P34" s="226">
        <v>85.825031179775266</v>
      </c>
      <c r="Q34" s="105"/>
      <c r="R34" s="76">
        <v>2020</v>
      </c>
      <c r="S34" s="223">
        <f>+T34+U34</f>
        <v>417.32576072679979</v>
      </c>
      <c r="T34" s="124">
        <f t="shared" ref="T34" si="18">+H33</f>
        <v>174.2730185157626</v>
      </c>
      <c r="U34" s="124">
        <f t="shared" ref="U34" si="19">+L33</f>
        <v>243.05274221103721</v>
      </c>
      <c r="V34" s="224"/>
      <c r="W34" s="225"/>
      <c r="X34" s="105"/>
      <c r="Y34" s="105"/>
      <c r="Z34" s="105"/>
      <c r="AA34" s="105"/>
      <c r="AB34" s="105"/>
      <c r="AC34" s="225"/>
      <c r="AD34" s="225"/>
      <c r="AE34" s="225"/>
    </row>
    <row r="35" spans="2:31" s="60" customFormat="1" x14ac:dyDescent="0.2">
      <c r="B35" s="358">
        <v>2022</v>
      </c>
      <c r="C35" s="331">
        <f t="shared" si="8"/>
        <v>1239.5770826273581</v>
      </c>
      <c r="D35" s="332">
        <f t="shared" si="14"/>
        <v>1136.502731814563</v>
      </c>
      <c r="E35" s="106">
        <f t="shared" si="15"/>
        <v>602.25133748775704</v>
      </c>
      <c r="F35" s="106">
        <f t="shared" si="16"/>
        <v>157.39741952</v>
      </c>
      <c r="G35" s="333">
        <f t="shared" si="17"/>
        <v>376.85397480680604</v>
      </c>
      <c r="H35" s="334">
        <f t="shared" si="5"/>
        <v>161.280893828318</v>
      </c>
      <c r="I35" s="106">
        <v>15.078839837756901</v>
      </c>
      <c r="J35" s="106"/>
      <c r="K35" s="333">
        <v>146.2020539905611</v>
      </c>
      <c r="L35" s="334">
        <f t="shared" si="6"/>
        <v>975.22183798624508</v>
      </c>
      <c r="M35" s="106">
        <v>587.1724976500002</v>
      </c>
      <c r="N35" s="107">
        <v>157.39741952</v>
      </c>
      <c r="O35" s="106">
        <v>230.65192081624491</v>
      </c>
      <c r="P35" s="335">
        <v>103.07435081279498</v>
      </c>
      <c r="Q35" s="105"/>
      <c r="R35" s="76">
        <v>2021</v>
      </c>
      <c r="S35" s="223">
        <f>+T35+U35</f>
        <v>1111.9451584755614</v>
      </c>
      <c r="T35" s="124">
        <f t="shared" ref="T35" si="20">+H34</f>
        <v>135.66263258426929</v>
      </c>
      <c r="U35" s="124">
        <f t="shared" ref="U35" si="21">+L34</f>
        <v>976.28252589129215</v>
      </c>
      <c r="V35" s="224"/>
      <c r="W35" s="225"/>
      <c r="X35" s="105"/>
      <c r="Y35" s="105"/>
      <c r="Z35" s="105"/>
      <c r="AA35" s="105"/>
      <c r="AB35" s="105"/>
      <c r="AC35" s="225"/>
      <c r="AD35" s="225"/>
      <c r="AE35" s="225"/>
    </row>
    <row r="36" spans="2:31" ht="15" x14ac:dyDescent="0.25">
      <c r="B36" s="359">
        <v>2023</v>
      </c>
      <c r="C36" s="118">
        <f t="shared" ref="C36" si="22">D36+P36</f>
        <v>1156.694348302547</v>
      </c>
      <c r="D36" s="119">
        <f t="shared" ref="D36" si="23">+E36+F36+G36</f>
        <v>1059.4613651183281</v>
      </c>
      <c r="E36" s="120">
        <f t="shared" ref="E36" si="24">+I36+M36</f>
        <v>380.82791096872825</v>
      </c>
      <c r="F36" s="120">
        <f t="shared" ref="F36" si="25">+J36+N36</f>
        <v>243.04454286608248</v>
      </c>
      <c r="G36" s="205">
        <f t="shared" ref="G36" si="26">+K36+O36</f>
        <v>435.58891128351752</v>
      </c>
      <c r="H36" s="121">
        <f t="shared" ref="H36" si="27">+I36+J36+K36</f>
        <v>177.88548039451314</v>
      </c>
      <c r="I36" s="120">
        <v>11.511238987822059</v>
      </c>
      <c r="J36" s="120"/>
      <c r="K36" s="205">
        <v>166.37424140669108</v>
      </c>
      <c r="L36" s="122">
        <f t="shared" ref="L36" si="28">+M36+N36+O36</f>
        <v>881.57588472381508</v>
      </c>
      <c r="M36" s="120">
        <v>369.31667198090616</v>
      </c>
      <c r="N36" s="123">
        <v>243.04454286608248</v>
      </c>
      <c r="O36" s="120">
        <v>269.21466987682641</v>
      </c>
      <c r="P36" s="226">
        <v>97.232983184219037</v>
      </c>
      <c r="Q36" s="101"/>
      <c r="R36" s="76">
        <v>2022</v>
      </c>
      <c r="S36" s="223">
        <f>+T36+U36</f>
        <v>1136.502731814563</v>
      </c>
      <c r="T36" s="124">
        <f>+H35</f>
        <v>161.280893828318</v>
      </c>
      <c r="U36" s="124">
        <f>+L35</f>
        <v>975.22183798624508</v>
      </c>
      <c r="V36" s="224"/>
      <c r="X36" s="101"/>
      <c r="Y36" s="101"/>
      <c r="Z36" s="101"/>
      <c r="AA36" s="101"/>
      <c r="AB36" s="101"/>
    </row>
    <row r="37" spans="2:31" s="60" customFormat="1" ht="15.75" thickBot="1" x14ac:dyDescent="0.3">
      <c r="B37" s="330"/>
      <c r="C37" s="331"/>
      <c r="D37" s="332"/>
      <c r="E37" s="106"/>
      <c r="F37" s="106"/>
      <c r="G37" s="333"/>
      <c r="H37" s="334"/>
      <c r="I37" s="106"/>
      <c r="J37" s="106"/>
      <c r="K37" s="333"/>
      <c r="L37" s="334"/>
      <c r="M37" s="106"/>
      <c r="N37" s="107"/>
      <c r="O37" s="106"/>
      <c r="P37" s="335"/>
      <c r="Q37" s="105"/>
      <c r="R37" s="76">
        <v>2023</v>
      </c>
      <c r="S37" s="223">
        <f>+T37+U37</f>
        <v>1059.4613651183281</v>
      </c>
      <c r="T37" s="124">
        <f>+H36</f>
        <v>177.88548039451314</v>
      </c>
      <c r="U37" s="124">
        <f>+L36</f>
        <v>881.57588472381508</v>
      </c>
      <c r="V37" s="224"/>
      <c r="W37" s="225"/>
      <c r="X37" s="105"/>
      <c r="Y37" s="105"/>
      <c r="Z37" s="105"/>
      <c r="AA37" s="105"/>
      <c r="AB37" s="105"/>
      <c r="AC37" s="225"/>
      <c r="AD37" s="225"/>
      <c r="AE37" s="225"/>
    </row>
    <row r="38" spans="2:31" s="178" customFormat="1" ht="15" customHeight="1" x14ac:dyDescent="0.2">
      <c r="B38" s="198" t="s">
        <v>326</v>
      </c>
      <c r="C38" s="227">
        <f t="shared" ref="C38:I38" si="29">(C36/C35)-1</f>
        <v>-6.6863719478530648E-2</v>
      </c>
      <c r="D38" s="228">
        <f t="shared" si="29"/>
        <v>-6.7788105157678857E-2</v>
      </c>
      <c r="E38" s="229">
        <f t="shared" si="29"/>
        <v>-0.36765950150094939</v>
      </c>
      <c r="F38" s="229">
        <f t="shared" si="29"/>
        <v>0.54414566393319785</v>
      </c>
      <c r="G38" s="229">
        <f t="shared" si="29"/>
        <v>0.15585595589597245</v>
      </c>
      <c r="H38" s="231">
        <f t="shared" si="29"/>
        <v>0.10295445524917879</v>
      </c>
      <c r="I38" s="229">
        <f t="shared" si="29"/>
        <v>-0.23659650797548037</v>
      </c>
      <c r="J38" s="229"/>
      <c r="K38" s="230">
        <f t="shared" ref="K38:P38" si="30">(K36/K35)-1</f>
        <v>0.13797471968097197</v>
      </c>
      <c r="L38" s="231">
        <f t="shared" si="30"/>
        <v>-9.6025283289186136E-2</v>
      </c>
      <c r="M38" s="229">
        <f t="shared" si="30"/>
        <v>-0.37102525499917538</v>
      </c>
      <c r="N38" s="229">
        <f t="shared" si="30"/>
        <v>0.54414566393319785</v>
      </c>
      <c r="O38" s="229">
        <f t="shared" si="30"/>
        <v>0.16719023593696214</v>
      </c>
      <c r="P38" s="230">
        <f t="shared" si="30"/>
        <v>-5.6671398679823959E-2</v>
      </c>
      <c r="Q38" s="181"/>
      <c r="R38" s="76"/>
      <c r="S38" s="223"/>
      <c r="T38" s="124"/>
      <c r="U38" s="124"/>
      <c r="V38" s="219"/>
      <c r="W38" s="219"/>
      <c r="X38" s="181"/>
      <c r="Y38" s="181"/>
      <c r="Z38" s="181"/>
      <c r="AA38" s="181"/>
      <c r="AB38" s="181"/>
      <c r="AC38" s="219"/>
      <c r="AD38" s="219"/>
      <c r="AE38" s="219"/>
    </row>
    <row r="39" spans="2:31" s="178" customFormat="1" ht="15" customHeight="1" x14ac:dyDescent="0.2">
      <c r="B39" s="232" t="s">
        <v>327</v>
      </c>
      <c r="C39" s="233">
        <f t="shared" ref="C39:I39" si="31">((C36/C31)^(1/5))-1</f>
        <v>8.5875125049358347E-2</v>
      </c>
      <c r="D39" s="234">
        <f t="shared" si="31"/>
        <v>9.9547679906490716E-2</v>
      </c>
      <c r="E39" s="235">
        <f t="shared" si="31"/>
        <v>7.0649068893937628E-2</v>
      </c>
      <c r="F39" s="235">
        <f t="shared" si="31"/>
        <v>0.24407904432026184</v>
      </c>
      <c r="G39" s="235">
        <f t="shared" si="31"/>
        <v>7.2518732745163739E-2</v>
      </c>
      <c r="H39" s="237">
        <f t="shared" si="31"/>
        <v>0.17788991341498184</v>
      </c>
      <c r="I39" s="235">
        <f t="shared" si="31"/>
        <v>-8.4716960771924588E-2</v>
      </c>
      <c r="J39" s="235"/>
      <c r="K39" s="236">
        <f t="shared" ref="K39:P39" si="32">((K36/K31)^(1/5))-1</f>
        <v>0.22410103669959258</v>
      </c>
      <c r="L39" s="237">
        <f t="shared" si="32"/>
        <v>8.7064448038343123E-2</v>
      </c>
      <c r="M39" s="235">
        <f t="shared" si="32"/>
        <v>7.8773607087738062E-2</v>
      </c>
      <c r="N39" s="235">
        <f t="shared" si="32"/>
        <v>0.24407904432026184</v>
      </c>
      <c r="O39" s="235">
        <f t="shared" si="32"/>
        <v>1.7864066743973117E-2</v>
      </c>
      <c r="P39" s="355">
        <f t="shared" si="32"/>
        <v>-1.8894111256530843E-2</v>
      </c>
      <c r="Q39" s="181"/>
      <c r="R39" s="219"/>
      <c r="S39" s="219"/>
      <c r="T39" s="219"/>
      <c r="U39" s="219"/>
      <c r="V39" s="219"/>
      <c r="W39" s="219"/>
      <c r="X39" s="181"/>
      <c r="Y39" s="181"/>
      <c r="Z39" s="181"/>
      <c r="AA39" s="181"/>
      <c r="AB39" s="181"/>
      <c r="AC39" s="219"/>
      <c r="AD39" s="219"/>
      <c r="AE39" s="219"/>
    </row>
    <row r="40" spans="2:31" s="178" customFormat="1" ht="15" customHeight="1" x14ac:dyDescent="0.2">
      <c r="B40" s="199" t="s">
        <v>328</v>
      </c>
      <c r="C40" s="200">
        <f t="shared" ref="C40:I40" si="33">(C36/C26)-1</f>
        <v>-0.55323235903192858</v>
      </c>
      <c r="D40" s="206">
        <f t="shared" si="33"/>
        <v>-0.56572607095432814</v>
      </c>
      <c r="E40" s="207">
        <f t="shared" si="33"/>
        <v>-0.7918783807550096</v>
      </c>
      <c r="F40" s="207">
        <f t="shared" si="33"/>
        <v>0.28995359600794046</v>
      </c>
      <c r="G40" s="207">
        <f t="shared" si="33"/>
        <v>3.3748159351060902E-2</v>
      </c>
      <c r="H40" s="128">
        <f t="shared" si="33"/>
        <v>-0.15018624147423365</v>
      </c>
      <c r="I40" s="207">
        <f t="shared" si="33"/>
        <v>-0.82348732208299258</v>
      </c>
      <c r="J40" s="207"/>
      <c r="K40" s="208">
        <f t="shared" ref="K40:P40" si="34">(K36/K26)-1</f>
        <v>0.15450999219815587</v>
      </c>
      <c r="L40" s="128">
        <f t="shared" si="34"/>
        <v>-0.60472633758853822</v>
      </c>
      <c r="M40" s="207">
        <f t="shared" si="34"/>
        <v>-0.79071021293103938</v>
      </c>
      <c r="N40" s="207">
        <f t="shared" si="34"/>
        <v>0.28995359600794046</v>
      </c>
      <c r="O40" s="207">
        <f t="shared" si="34"/>
        <v>-2.9018677471336018E-2</v>
      </c>
      <c r="P40" s="208">
        <f t="shared" si="34"/>
        <v>-0.34923576232689524</v>
      </c>
      <c r="Q40" s="181"/>
      <c r="R40" s="404"/>
      <c r="S40" s="219"/>
      <c r="T40" s="219"/>
      <c r="U40" s="219"/>
      <c r="V40" s="219"/>
      <c r="W40" s="219"/>
      <c r="X40" s="181"/>
      <c r="Y40" s="181"/>
      <c r="Z40" s="181"/>
      <c r="AA40" s="181"/>
      <c r="AB40" s="181"/>
      <c r="AC40" s="219"/>
      <c r="AD40" s="219"/>
      <c r="AE40" s="219"/>
    </row>
    <row r="41" spans="2:31" s="178" customFormat="1" ht="15" customHeight="1" thickBot="1" x14ac:dyDescent="0.25">
      <c r="B41" s="238" t="s">
        <v>329</v>
      </c>
      <c r="C41" s="201">
        <f t="shared" ref="C41:I41" si="35">((C36/C26)^(1/10))-1</f>
        <v>-7.7411215039023373E-2</v>
      </c>
      <c r="D41" s="209">
        <f t="shared" si="35"/>
        <v>-8.0024258394805314E-2</v>
      </c>
      <c r="E41" s="210">
        <f t="shared" si="35"/>
        <v>-0.14526454409883072</v>
      </c>
      <c r="F41" s="210">
        <f t="shared" si="35"/>
        <v>2.5787514644567633E-2</v>
      </c>
      <c r="G41" s="210">
        <f t="shared" si="35"/>
        <v>3.3246330535690038E-3</v>
      </c>
      <c r="H41" s="129">
        <f t="shared" si="35"/>
        <v>-1.6142103133597874E-2</v>
      </c>
      <c r="I41" s="210">
        <f t="shared" si="35"/>
        <v>-0.15922925777010577</v>
      </c>
      <c r="J41" s="210"/>
      <c r="K41" s="211">
        <f>((K36/K26)^(1/10))-1</f>
        <v>1.4471310542298665E-2</v>
      </c>
      <c r="L41" s="129">
        <f t="shared" ref="L41" si="36">((L35/L25)^(1/10))-1</f>
        <v>-8.8648277880240323E-2</v>
      </c>
      <c r="M41" s="210">
        <f>((M36/M26)^(1/10))-1</f>
        <v>-0.14478599629876587</v>
      </c>
      <c r="N41" s="210">
        <f>((N36/N26)^(1/10))-1</f>
        <v>2.5787514644567633E-2</v>
      </c>
      <c r="O41" s="210">
        <f>((O36/O26)^(1/10))-1</f>
        <v>-2.9404729329847168E-3</v>
      </c>
      <c r="P41" s="211">
        <f>((P36/P26)^(1/10))-1</f>
        <v>-4.2051045321924718E-2</v>
      </c>
      <c r="Q41" s="181"/>
      <c r="R41" s="405"/>
      <c r="S41" s="219"/>
      <c r="T41" s="219"/>
      <c r="U41" s="219"/>
      <c r="V41" s="219"/>
      <c r="W41" s="219"/>
      <c r="X41" s="181"/>
      <c r="Y41" s="181"/>
      <c r="Z41" s="181"/>
      <c r="AA41" s="181"/>
      <c r="AB41" s="181"/>
      <c r="AC41" s="219"/>
      <c r="AD41" s="219"/>
      <c r="AE41" s="219"/>
    </row>
    <row r="42" spans="2:31" ht="5.25" customHeight="1" x14ac:dyDescent="0.2">
      <c r="B42" s="97"/>
      <c r="C42" s="98"/>
      <c r="D42" s="98"/>
      <c r="Q42" s="101"/>
      <c r="R42" s="239"/>
      <c r="X42" s="101"/>
      <c r="Y42" s="101"/>
      <c r="Z42" s="101"/>
      <c r="AA42" s="101"/>
      <c r="AB42" s="101"/>
    </row>
    <row r="43" spans="2:31" x14ac:dyDescent="0.2">
      <c r="B43" s="99" t="s">
        <v>333</v>
      </c>
      <c r="C43" s="99"/>
      <c r="D43" s="98"/>
      <c r="Q43" s="101"/>
      <c r="R43" s="239"/>
      <c r="X43" s="101"/>
      <c r="Y43" s="101"/>
      <c r="Z43" s="101"/>
      <c r="AA43" s="101"/>
      <c r="AB43" s="101"/>
    </row>
    <row r="44" spans="2:31" x14ac:dyDescent="0.2">
      <c r="B44" s="98" t="s">
        <v>322</v>
      </c>
      <c r="C44" s="98"/>
      <c r="D44" s="98"/>
      <c r="Q44" s="101"/>
      <c r="X44" s="101"/>
      <c r="Y44" s="101"/>
      <c r="Z44" s="101"/>
      <c r="AA44" s="101"/>
      <c r="AB44" s="101"/>
    </row>
    <row r="45" spans="2:31" x14ac:dyDescent="0.2">
      <c r="B45" s="98"/>
      <c r="C45" s="98"/>
      <c r="D45" s="98"/>
      <c r="Q45" s="101"/>
      <c r="X45" s="101"/>
      <c r="Y45" s="101"/>
      <c r="Z45" s="101"/>
      <c r="AA45" s="101"/>
      <c r="AB45" s="101"/>
    </row>
    <row r="46" spans="2:31" ht="14.25" x14ac:dyDescent="0.2">
      <c r="B46" s="98"/>
      <c r="C46" s="26"/>
      <c r="D46" s="26"/>
      <c r="Q46" s="101"/>
      <c r="S46" s="225" t="s">
        <v>185</v>
      </c>
      <c r="T46" s="124" t="s">
        <v>13</v>
      </c>
      <c r="U46" s="124" t="s">
        <v>186</v>
      </c>
      <c r="V46" s="124" t="s">
        <v>187</v>
      </c>
      <c r="X46" s="101"/>
      <c r="Y46" s="101"/>
      <c r="Z46" s="101"/>
      <c r="AA46" s="101"/>
      <c r="AB46" s="101"/>
    </row>
    <row r="47" spans="2:31" ht="20.25" x14ac:dyDescent="0.3">
      <c r="B47" s="73"/>
      <c r="C47" s="73"/>
      <c r="D47" s="100"/>
      <c r="Q47" s="101"/>
      <c r="R47" s="76">
        <v>1995</v>
      </c>
      <c r="S47" s="223">
        <f t="shared" ref="S47:S65" si="37">H8</f>
        <v>154.712999</v>
      </c>
      <c r="T47" s="223">
        <f t="shared" ref="T47:T65" si="38">I8</f>
        <v>38.418108999999994</v>
      </c>
      <c r="U47" s="223">
        <f t="shared" ref="U47:U65" si="39">J8</f>
        <v>11.412649999999999</v>
      </c>
      <c r="V47" s="223">
        <f t="shared" ref="V47:V65" si="40">K8</f>
        <v>104.88224000000001</v>
      </c>
      <c r="X47" s="101"/>
      <c r="Y47" s="101"/>
      <c r="Z47" s="101"/>
      <c r="AA47" s="101"/>
      <c r="AB47" s="101"/>
    </row>
    <row r="48" spans="2:31" x14ac:dyDescent="0.2">
      <c r="Q48" s="101"/>
      <c r="R48" s="76">
        <v>1996</v>
      </c>
      <c r="S48" s="223">
        <f t="shared" si="37"/>
        <v>176.97620699999999</v>
      </c>
      <c r="T48" s="223">
        <f t="shared" si="38"/>
        <v>65.267436999999987</v>
      </c>
      <c r="U48" s="223">
        <f t="shared" si="39"/>
        <v>16.600999999999999</v>
      </c>
      <c r="V48" s="223">
        <f t="shared" si="40"/>
        <v>95.107770000000002</v>
      </c>
      <c r="X48" s="101"/>
      <c r="Y48" s="101"/>
      <c r="Z48" s="101"/>
      <c r="AA48" s="101"/>
      <c r="AB48" s="101"/>
    </row>
    <row r="49" spans="1:28" x14ac:dyDescent="0.2">
      <c r="Q49" s="101"/>
      <c r="R49" s="76">
        <v>1997</v>
      </c>
      <c r="S49" s="223">
        <f t="shared" si="37"/>
        <v>207.88996599999999</v>
      </c>
      <c r="T49" s="223">
        <f t="shared" si="38"/>
        <v>103.23717600000001</v>
      </c>
      <c r="U49" s="223">
        <f t="shared" si="39"/>
        <v>32.720779999999998</v>
      </c>
      <c r="V49" s="223">
        <f t="shared" si="40"/>
        <v>71.932009999999991</v>
      </c>
      <c r="X49" s="101"/>
      <c r="Y49" s="101"/>
      <c r="Z49" s="101"/>
      <c r="AA49" s="101"/>
      <c r="AB49" s="101"/>
    </row>
    <row r="50" spans="1:28" x14ac:dyDescent="0.2">
      <c r="Q50" s="101"/>
      <c r="R50" s="76">
        <v>1998</v>
      </c>
      <c r="S50" s="223">
        <f t="shared" si="37"/>
        <v>202.79134299999998</v>
      </c>
      <c r="T50" s="223">
        <f t="shared" si="38"/>
        <v>114.539113</v>
      </c>
      <c r="U50" s="223">
        <f t="shared" si="39"/>
        <v>46.155269999999994</v>
      </c>
      <c r="V50" s="223">
        <f t="shared" si="40"/>
        <v>42.096959999999996</v>
      </c>
      <c r="X50" s="101"/>
      <c r="Y50" s="101"/>
      <c r="Z50" s="101"/>
      <c r="AA50" s="101"/>
      <c r="AB50" s="101"/>
    </row>
    <row r="51" spans="1:28" x14ac:dyDescent="0.2">
      <c r="Q51" s="101"/>
      <c r="R51" s="76">
        <v>1999</v>
      </c>
      <c r="S51" s="223">
        <f t="shared" si="37"/>
        <v>201.72455901183432</v>
      </c>
      <c r="T51" s="223">
        <f t="shared" si="38"/>
        <v>136.331909</v>
      </c>
      <c r="U51" s="223">
        <f t="shared" si="39"/>
        <v>31.317900000000002</v>
      </c>
      <c r="V51" s="223">
        <f t="shared" si="40"/>
        <v>34.074750011834318</v>
      </c>
      <c r="X51" s="101"/>
      <c r="Y51" s="101"/>
      <c r="Z51" s="101"/>
      <c r="AA51" s="101"/>
      <c r="AB51" s="101"/>
    </row>
    <row r="52" spans="1:28" x14ac:dyDescent="0.2">
      <c r="Q52" s="101"/>
      <c r="R52" s="76">
        <v>2000</v>
      </c>
      <c r="S52" s="223">
        <f t="shared" si="37"/>
        <v>165.994</v>
      </c>
      <c r="T52" s="223">
        <f t="shared" si="38"/>
        <v>123.21599999999999</v>
      </c>
      <c r="U52" s="223">
        <f t="shared" si="39"/>
        <v>26.69</v>
      </c>
      <c r="V52" s="223">
        <f t="shared" si="40"/>
        <v>16.088000000000001</v>
      </c>
      <c r="X52" s="101"/>
      <c r="Y52" s="101"/>
      <c r="Z52" s="101"/>
      <c r="AA52" s="101"/>
      <c r="AB52" s="101"/>
    </row>
    <row r="53" spans="1:28" s="76" customForma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01"/>
      <c r="R53" s="76">
        <v>2001</v>
      </c>
      <c r="S53" s="223">
        <f t="shared" si="37"/>
        <v>95.058679999999995</v>
      </c>
      <c r="T53" s="223">
        <f t="shared" si="38"/>
        <v>76.277079999999998</v>
      </c>
      <c r="U53" s="223">
        <f t="shared" si="39"/>
        <v>3.1160000000000001</v>
      </c>
      <c r="V53" s="223">
        <f t="shared" si="40"/>
        <v>15.6656</v>
      </c>
      <c r="X53" s="101"/>
      <c r="Y53" s="101"/>
      <c r="Z53" s="101"/>
      <c r="AA53" s="101"/>
      <c r="AB53" s="101"/>
    </row>
    <row r="54" spans="1:28" s="76" customForma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01"/>
      <c r="R54" s="125">
        <v>2002</v>
      </c>
      <c r="S54" s="223">
        <f t="shared" si="37"/>
        <v>109.85599999999999</v>
      </c>
      <c r="T54" s="223">
        <f t="shared" si="38"/>
        <v>77.798000000000002</v>
      </c>
      <c r="U54" s="223">
        <f t="shared" si="39"/>
        <v>0.377</v>
      </c>
      <c r="V54" s="223">
        <f t="shared" si="40"/>
        <v>31.681000000000001</v>
      </c>
      <c r="X54" s="101"/>
      <c r="Y54" s="101"/>
      <c r="Z54" s="101"/>
      <c r="AA54" s="101"/>
      <c r="AB54" s="101"/>
    </row>
    <row r="55" spans="1:28" s="76" customForma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01"/>
      <c r="R55" s="76">
        <v>2003</v>
      </c>
      <c r="S55" s="223">
        <f t="shared" si="37"/>
        <v>110.83199999999999</v>
      </c>
      <c r="T55" s="223">
        <f t="shared" si="38"/>
        <v>67.105000000000004</v>
      </c>
      <c r="U55" s="223">
        <f t="shared" si="39"/>
        <v>0</v>
      </c>
      <c r="V55" s="223">
        <f t="shared" si="40"/>
        <v>43.726999999999997</v>
      </c>
      <c r="X55" s="101"/>
      <c r="Y55" s="101"/>
      <c r="Z55" s="101"/>
      <c r="AA55" s="101"/>
      <c r="AB55" s="101"/>
    </row>
    <row r="56" spans="1:28" s="76" customForma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01"/>
      <c r="R56" s="76">
        <v>2004</v>
      </c>
      <c r="S56" s="223">
        <f t="shared" si="37"/>
        <v>116.143</v>
      </c>
      <c r="T56" s="223">
        <f t="shared" si="38"/>
        <v>67.001000000000005</v>
      </c>
      <c r="U56" s="223">
        <f t="shared" si="39"/>
        <v>0</v>
      </c>
      <c r="V56" s="223">
        <f t="shared" si="40"/>
        <v>49.142000000000003</v>
      </c>
      <c r="X56" s="101"/>
      <c r="Y56" s="101"/>
      <c r="Z56" s="101"/>
      <c r="AA56" s="101"/>
      <c r="AB56" s="101"/>
    </row>
    <row r="57" spans="1:28" s="76" customForma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01"/>
      <c r="R57" s="76">
        <v>2005</v>
      </c>
      <c r="S57" s="223">
        <f t="shared" si="37"/>
        <v>117.43026999999999</v>
      </c>
      <c r="T57" s="223">
        <f t="shared" si="38"/>
        <v>53.766709999999996</v>
      </c>
      <c r="U57" s="223">
        <f t="shared" si="39"/>
        <v>0</v>
      </c>
      <c r="V57" s="223">
        <f t="shared" si="40"/>
        <v>63.663559999999997</v>
      </c>
      <c r="X57" s="101"/>
      <c r="Y57" s="101"/>
      <c r="Z57" s="101"/>
      <c r="AA57" s="101"/>
      <c r="AB57" s="101"/>
    </row>
    <row r="58" spans="1:28" s="76" customForma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01"/>
      <c r="R58" s="76">
        <v>2006</v>
      </c>
      <c r="S58" s="223">
        <f t="shared" si="37"/>
        <v>95.745000000000005</v>
      </c>
      <c r="T58" s="223">
        <f t="shared" si="38"/>
        <v>29.198</v>
      </c>
      <c r="U58" s="223">
        <f t="shared" si="39"/>
        <v>0</v>
      </c>
      <c r="V58" s="223">
        <f t="shared" si="40"/>
        <v>66.546999999999997</v>
      </c>
      <c r="X58" s="101"/>
      <c r="Y58" s="101"/>
      <c r="Z58" s="101"/>
      <c r="AA58" s="101"/>
      <c r="AB58" s="101"/>
    </row>
    <row r="59" spans="1:28" s="76" customForma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01"/>
      <c r="R59" s="76">
        <v>2007</v>
      </c>
      <c r="S59" s="223">
        <f t="shared" si="37"/>
        <v>139.72556</v>
      </c>
      <c r="T59" s="223">
        <f t="shared" si="38"/>
        <v>73.499299999999991</v>
      </c>
      <c r="U59" s="223">
        <f t="shared" si="39"/>
        <v>0</v>
      </c>
      <c r="V59" s="223">
        <f t="shared" si="40"/>
        <v>66.226260000000011</v>
      </c>
      <c r="X59" s="101"/>
      <c r="Y59" s="101"/>
      <c r="Z59" s="101"/>
      <c r="AA59" s="101"/>
      <c r="AB59" s="101"/>
    </row>
    <row r="60" spans="1:28" s="76" customForma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01"/>
      <c r="R60" s="76">
        <v>2008</v>
      </c>
      <c r="S60" s="223">
        <f t="shared" si="37"/>
        <v>128.88</v>
      </c>
      <c r="T60" s="223">
        <f t="shared" si="38"/>
        <v>26.5</v>
      </c>
      <c r="U60" s="223">
        <f t="shared" si="39"/>
        <v>0</v>
      </c>
      <c r="V60" s="223">
        <f t="shared" si="40"/>
        <v>102.38</v>
      </c>
      <c r="X60" s="101"/>
      <c r="Y60" s="101"/>
      <c r="Z60" s="101"/>
      <c r="AA60" s="101"/>
      <c r="AB60" s="101"/>
    </row>
    <row r="61" spans="1:28" s="76" customForma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01"/>
      <c r="R61" s="76">
        <v>2009</v>
      </c>
      <c r="S61" s="223">
        <f t="shared" si="37"/>
        <v>250.28899999999999</v>
      </c>
      <c r="T61" s="223">
        <f t="shared" si="38"/>
        <v>88.849000000000004</v>
      </c>
      <c r="U61" s="223">
        <f t="shared" si="39"/>
        <v>0</v>
      </c>
      <c r="V61" s="223">
        <f t="shared" si="40"/>
        <v>161.44</v>
      </c>
      <c r="X61" s="101"/>
      <c r="Y61" s="101"/>
      <c r="Z61" s="101"/>
      <c r="AA61" s="101"/>
      <c r="AB61" s="101"/>
    </row>
    <row r="62" spans="1:28" s="76" customForma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01"/>
      <c r="R62" s="76">
        <v>2010</v>
      </c>
      <c r="S62" s="223">
        <f t="shared" si="37"/>
        <v>165.61058222614841</v>
      </c>
      <c r="T62" s="223">
        <f t="shared" si="38"/>
        <v>25.113882226148409</v>
      </c>
      <c r="U62" s="223">
        <f t="shared" si="39"/>
        <v>0</v>
      </c>
      <c r="V62" s="223">
        <f t="shared" si="40"/>
        <v>140.4967</v>
      </c>
      <c r="X62" s="101"/>
      <c r="Y62" s="101"/>
      <c r="Z62" s="101"/>
      <c r="AA62" s="101"/>
      <c r="AB62" s="101"/>
    </row>
    <row r="63" spans="1:28" s="76" customForma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01"/>
      <c r="R63" s="76">
        <v>2011</v>
      </c>
      <c r="S63" s="223">
        <f t="shared" si="37"/>
        <v>107</v>
      </c>
      <c r="T63" s="223">
        <f t="shared" si="38"/>
        <v>28.6</v>
      </c>
      <c r="U63" s="223">
        <f t="shared" si="39"/>
        <v>0</v>
      </c>
      <c r="V63" s="223">
        <f t="shared" si="40"/>
        <v>78.400000000000006</v>
      </c>
      <c r="X63" s="101"/>
      <c r="Y63" s="101"/>
      <c r="Z63" s="101"/>
      <c r="AA63" s="101"/>
      <c r="AB63" s="101"/>
    </row>
    <row r="64" spans="1:28" s="76" customForma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01"/>
      <c r="R64" s="76">
        <v>2012</v>
      </c>
      <c r="S64" s="223">
        <f t="shared" si="37"/>
        <v>121.623</v>
      </c>
      <c r="T64" s="223">
        <f t="shared" si="38"/>
        <v>35.28</v>
      </c>
      <c r="U64" s="223">
        <f t="shared" si="39"/>
        <v>0</v>
      </c>
      <c r="V64" s="223">
        <f t="shared" si="40"/>
        <v>86.343000000000004</v>
      </c>
      <c r="X64" s="101"/>
      <c r="Y64" s="101"/>
      <c r="Z64" s="101"/>
      <c r="AA64" s="101"/>
      <c r="AB64" s="101"/>
    </row>
    <row r="65" spans="1:28" s="76" customForma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01"/>
      <c r="R65" s="76">
        <v>2013</v>
      </c>
      <c r="S65" s="223">
        <f t="shared" si="37"/>
        <v>209.3229</v>
      </c>
      <c r="T65" s="223">
        <f t="shared" si="38"/>
        <v>65.214799999999997</v>
      </c>
      <c r="U65" s="223">
        <f t="shared" si="39"/>
        <v>0</v>
      </c>
      <c r="V65" s="223">
        <f t="shared" si="40"/>
        <v>144.10810000000001</v>
      </c>
      <c r="X65" s="101"/>
      <c r="Y65" s="101"/>
      <c r="Z65" s="101"/>
      <c r="AA65" s="101"/>
      <c r="AB65" s="101"/>
    </row>
    <row r="66" spans="1:28" s="76" customForma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01"/>
      <c r="R66" s="76">
        <v>2014</v>
      </c>
      <c r="S66" s="223">
        <f>H28</f>
        <v>122.07089438088975</v>
      </c>
      <c r="T66" s="223">
        <f>I28</f>
        <v>43.02659068965518</v>
      </c>
      <c r="U66" s="223">
        <f>J28</f>
        <v>0</v>
      </c>
      <c r="V66" s="223">
        <f>K28</f>
        <v>79.044303691234575</v>
      </c>
      <c r="X66" s="101"/>
      <c r="Y66" s="101"/>
      <c r="Z66" s="101"/>
      <c r="AA66" s="101"/>
      <c r="AB66" s="101"/>
    </row>
    <row r="67" spans="1:28" s="76" customForma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01"/>
      <c r="X67" s="101"/>
      <c r="Y67" s="101"/>
      <c r="Z67" s="101"/>
      <c r="AA67" s="101"/>
      <c r="AB67" s="101"/>
    </row>
    <row r="68" spans="1:28" s="76" customForma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01"/>
      <c r="X68" s="101"/>
      <c r="Y68" s="101"/>
      <c r="Z68" s="101"/>
      <c r="AA68" s="101"/>
      <c r="AB68" s="101"/>
    </row>
    <row r="69" spans="1:28" s="76" customForma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01"/>
      <c r="X69" s="101"/>
      <c r="Y69" s="101"/>
      <c r="Z69" s="101"/>
      <c r="AA69" s="101"/>
      <c r="AB69" s="101"/>
    </row>
    <row r="70" spans="1:28" s="76" customFormat="1" x14ac:dyDescent="0.2">
      <c r="A70" s="3"/>
      <c r="B70" s="3"/>
      <c r="C70" s="98" t="s">
        <v>188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01"/>
      <c r="X70" s="101"/>
      <c r="Y70" s="101"/>
      <c r="Z70" s="101"/>
      <c r="AA70" s="101"/>
      <c r="AB70" s="101"/>
    </row>
    <row r="71" spans="1:28" s="76" customFormat="1" ht="11.25" customHeight="1" x14ac:dyDescent="0.2">
      <c r="A71" s="3"/>
      <c r="B71" s="3"/>
      <c r="C71" s="98" t="s">
        <v>184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01"/>
      <c r="X71" s="101"/>
      <c r="Y71" s="101"/>
      <c r="Z71" s="101"/>
      <c r="AA71" s="101"/>
      <c r="AB71" s="101"/>
    </row>
    <row r="72" spans="1:28" s="76" customForma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01"/>
      <c r="S72" s="240" t="s">
        <v>189</v>
      </c>
      <c r="T72" s="223" t="s">
        <v>13</v>
      </c>
      <c r="U72" s="223" t="s">
        <v>186</v>
      </c>
      <c r="V72" s="223" t="s">
        <v>187</v>
      </c>
      <c r="X72" s="101"/>
      <c r="Y72" s="101"/>
      <c r="Z72" s="101"/>
      <c r="AA72" s="101"/>
      <c r="AB72" s="101"/>
    </row>
    <row r="73" spans="1:28" s="76" customForma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01"/>
      <c r="R73" s="76">
        <v>1995</v>
      </c>
      <c r="S73" s="223">
        <f>L8</f>
        <v>66.165630000000007</v>
      </c>
      <c r="T73" s="223">
        <f>M8</f>
        <v>7.6486299999999998</v>
      </c>
      <c r="U73" s="223">
        <f>N8</f>
        <v>0</v>
      </c>
      <c r="V73" s="223">
        <f>O8</f>
        <v>58.517000000000003</v>
      </c>
      <c r="X73" s="101"/>
      <c r="Y73" s="101"/>
      <c r="Z73" s="101"/>
      <c r="AA73" s="101"/>
      <c r="AB73" s="101"/>
    </row>
    <row r="74" spans="1:28" s="76" customForma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01"/>
      <c r="R74" s="76">
        <v>1996</v>
      </c>
      <c r="S74" s="223">
        <f t="shared" ref="S74:V74" si="41">L9</f>
        <v>195.92117000000002</v>
      </c>
      <c r="T74" s="223">
        <f t="shared" si="41"/>
        <v>97.751460000000009</v>
      </c>
      <c r="U74" s="223">
        <f t="shared" si="41"/>
        <v>0</v>
      </c>
      <c r="V74" s="223">
        <f t="shared" si="41"/>
        <v>98.169710000000009</v>
      </c>
      <c r="X74" s="101"/>
      <c r="Y74" s="101"/>
      <c r="Z74" s="101"/>
      <c r="AA74" s="101"/>
      <c r="AB74" s="101"/>
    </row>
    <row r="75" spans="1:28" s="76" customForma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01"/>
      <c r="R75" s="76">
        <v>1997</v>
      </c>
      <c r="S75" s="223">
        <f t="shared" ref="S75:V75" si="42">L10</f>
        <v>339.73591500000003</v>
      </c>
      <c r="T75" s="223">
        <f t="shared" si="42"/>
        <v>240.20695500000002</v>
      </c>
      <c r="U75" s="223">
        <f t="shared" si="42"/>
        <v>0</v>
      </c>
      <c r="V75" s="223">
        <f t="shared" si="42"/>
        <v>99.528960000000012</v>
      </c>
      <c r="X75" s="101"/>
      <c r="Y75" s="101"/>
      <c r="Z75" s="101"/>
      <c r="AA75" s="101"/>
      <c r="AB75" s="101"/>
    </row>
    <row r="76" spans="1:28" s="76" customForma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01"/>
      <c r="R76" s="76">
        <v>1998</v>
      </c>
      <c r="S76" s="223">
        <f t="shared" ref="S76:V76" si="43">L11</f>
        <v>358.72008800000003</v>
      </c>
      <c r="T76" s="223">
        <f t="shared" si="43"/>
        <v>250.824128</v>
      </c>
      <c r="U76" s="223">
        <f t="shared" si="43"/>
        <v>13.488</v>
      </c>
      <c r="V76" s="223">
        <f t="shared" si="43"/>
        <v>94.407960000000003</v>
      </c>
      <c r="X76" s="101"/>
      <c r="Y76" s="101"/>
      <c r="Z76" s="101"/>
      <c r="AA76" s="101"/>
      <c r="AB76" s="101"/>
    </row>
    <row r="77" spans="1:28" s="76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01"/>
      <c r="R77" s="76">
        <v>1999</v>
      </c>
      <c r="S77" s="223">
        <f t="shared" ref="S77:V77" si="44">L12</f>
        <v>507.81466899999998</v>
      </c>
      <c r="T77" s="223">
        <f t="shared" si="44"/>
        <v>280.900419</v>
      </c>
      <c r="U77" s="223">
        <f t="shared" si="44"/>
        <v>139.48872</v>
      </c>
      <c r="V77" s="223">
        <f t="shared" si="44"/>
        <v>87.425529999999995</v>
      </c>
      <c r="X77" s="101"/>
      <c r="Y77" s="101"/>
      <c r="Z77" s="101"/>
      <c r="AA77" s="101"/>
      <c r="AB77" s="101"/>
    </row>
    <row r="78" spans="1:28" s="76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01"/>
      <c r="R78" s="76">
        <v>2000</v>
      </c>
      <c r="S78" s="223">
        <f t="shared" ref="S78:V78" si="45">L13</f>
        <v>439.80900000000003</v>
      </c>
      <c r="T78" s="223">
        <f t="shared" si="45"/>
        <v>214.44200000000001</v>
      </c>
      <c r="U78" s="223">
        <f t="shared" si="45"/>
        <v>102.249</v>
      </c>
      <c r="V78" s="223">
        <f t="shared" si="45"/>
        <v>123.11799999999999</v>
      </c>
      <c r="X78" s="101"/>
      <c r="Y78" s="101"/>
      <c r="Z78" s="101"/>
      <c r="AA78" s="101"/>
      <c r="AB78" s="101"/>
    </row>
    <row r="79" spans="1:28" s="76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01"/>
      <c r="R79" s="76">
        <v>2001</v>
      </c>
      <c r="S79" s="223">
        <f t="shared" ref="S79:V79" si="46">L14</f>
        <v>210.83829</v>
      </c>
      <c r="T79" s="223">
        <f t="shared" si="46"/>
        <v>33.495100000000001</v>
      </c>
      <c r="U79" s="223">
        <f t="shared" si="46"/>
        <v>58.627000000000002</v>
      </c>
      <c r="V79" s="223">
        <f t="shared" si="46"/>
        <v>118.71619</v>
      </c>
      <c r="X79" s="101"/>
      <c r="Y79" s="101"/>
      <c r="Z79" s="101"/>
      <c r="AA79" s="101"/>
      <c r="AB79" s="101"/>
    </row>
    <row r="80" spans="1:28" s="76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01"/>
      <c r="R80" s="76">
        <v>2002</v>
      </c>
      <c r="S80" s="223">
        <f t="shared" ref="S80:V80" si="47">L15</f>
        <v>132.34300000000002</v>
      </c>
      <c r="T80" s="223">
        <f t="shared" si="47"/>
        <v>30.042000000000002</v>
      </c>
      <c r="U80" s="223">
        <f t="shared" si="47"/>
        <v>37.28</v>
      </c>
      <c r="V80" s="223">
        <f t="shared" si="47"/>
        <v>65.021000000000001</v>
      </c>
      <c r="X80" s="101"/>
      <c r="Y80" s="101"/>
      <c r="Z80" s="101"/>
      <c r="AA80" s="101"/>
      <c r="AB80" s="101"/>
    </row>
    <row r="81" spans="1:28" s="76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01"/>
      <c r="R81" s="76">
        <v>2003</v>
      </c>
      <c r="S81" s="223">
        <f t="shared" ref="S81:V81" si="48">L16</f>
        <v>81.125</v>
      </c>
      <c r="T81" s="223">
        <f t="shared" si="48"/>
        <v>20.059999999999999</v>
      </c>
      <c r="U81" s="223">
        <f t="shared" si="48"/>
        <v>12.826000000000001</v>
      </c>
      <c r="V81" s="223">
        <f t="shared" si="48"/>
        <v>48.238999999999997</v>
      </c>
      <c r="X81" s="101"/>
      <c r="Y81" s="101"/>
      <c r="Z81" s="101"/>
      <c r="AA81" s="101"/>
      <c r="AB81" s="101"/>
    </row>
    <row r="82" spans="1:28" s="76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01"/>
      <c r="R82" s="76">
        <v>2004</v>
      </c>
      <c r="S82" s="223">
        <f t="shared" ref="S82:V82" si="49">L17</f>
        <v>168.55199999999999</v>
      </c>
      <c r="T82" s="223">
        <f t="shared" si="49"/>
        <v>92.564999999999998</v>
      </c>
      <c r="U82" s="223">
        <f t="shared" si="49"/>
        <v>24.366</v>
      </c>
      <c r="V82" s="223">
        <f t="shared" si="49"/>
        <v>51.621000000000002</v>
      </c>
      <c r="X82" s="101"/>
      <c r="Y82" s="101"/>
      <c r="Z82" s="101"/>
      <c r="AA82" s="101"/>
      <c r="AB82" s="101"/>
    </row>
    <row r="83" spans="1:28" s="76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01"/>
      <c r="R83" s="76">
        <v>2005</v>
      </c>
      <c r="S83" s="223">
        <f t="shared" ref="S83:V83" si="50">L18</f>
        <v>231.06162000000003</v>
      </c>
      <c r="T83" s="223">
        <f t="shared" si="50"/>
        <v>139.72464000000002</v>
      </c>
      <c r="U83" s="223">
        <f t="shared" si="50"/>
        <v>20.633900000000001</v>
      </c>
      <c r="V83" s="223">
        <f t="shared" si="50"/>
        <v>70.70308</v>
      </c>
      <c r="X83" s="101"/>
      <c r="Y83" s="101"/>
      <c r="Z83" s="101"/>
      <c r="AA83" s="101"/>
      <c r="AB83" s="101"/>
    </row>
    <row r="84" spans="1:28" s="76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01"/>
      <c r="R84" s="76">
        <v>2006</v>
      </c>
      <c r="S84" s="223">
        <f t="shared" ref="S84:V84" si="51">L19</f>
        <v>350.459</v>
      </c>
      <c r="T84" s="223">
        <f t="shared" si="51"/>
        <v>260.37700000000001</v>
      </c>
      <c r="U84" s="223">
        <f t="shared" si="51"/>
        <v>16.542999999999999</v>
      </c>
      <c r="V84" s="223">
        <f t="shared" si="51"/>
        <v>73.539000000000001</v>
      </c>
      <c r="X84" s="101"/>
      <c r="Y84" s="101"/>
      <c r="Z84" s="101"/>
      <c r="AA84" s="101"/>
      <c r="AB84" s="101"/>
    </row>
    <row r="85" spans="1:28" s="76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01"/>
      <c r="R85" s="76">
        <v>2007</v>
      </c>
      <c r="S85" s="223">
        <f t="shared" ref="S85:V85" si="52">L20</f>
        <v>399.34757000000002</v>
      </c>
      <c r="T85" s="223">
        <f t="shared" si="52"/>
        <v>244.53100000000001</v>
      </c>
      <c r="U85" s="223">
        <f t="shared" si="52"/>
        <v>69.635899999999992</v>
      </c>
      <c r="V85" s="223">
        <f t="shared" si="52"/>
        <v>85.180669999999992</v>
      </c>
      <c r="X85" s="101"/>
      <c r="Y85" s="101"/>
      <c r="Z85" s="101"/>
      <c r="AA85" s="101"/>
      <c r="AB85" s="101"/>
    </row>
    <row r="86" spans="1:28" s="76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01"/>
      <c r="R86" s="76">
        <v>2008</v>
      </c>
      <c r="S86" s="223">
        <f t="shared" ref="S86:V86" si="53">L21</f>
        <v>633.64</v>
      </c>
      <c r="T86" s="223">
        <f t="shared" si="53"/>
        <v>457.01</v>
      </c>
      <c r="U86" s="223">
        <f t="shared" si="53"/>
        <v>43.1</v>
      </c>
      <c r="V86" s="223">
        <f t="shared" si="53"/>
        <v>133.53</v>
      </c>
      <c r="X86" s="101"/>
      <c r="Y86" s="101"/>
      <c r="Z86" s="101"/>
      <c r="AA86" s="101"/>
      <c r="AB86" s="101"/>
    </row>
    <row r="87" spans="1:28" s="76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101"/>
      <c r="R87" s="76">
        <v>2009</v>
      </c>
      <c r="S87" s="223">
        <f t="shared" ref="S87:V87" si="54">L22</f>
        <v>741.83071999999993</v>
      </c>
      <c r="T87" s="223">
        <f t="shared" si="54"/>
        <v>359.53429999999997</v>
      </c>
      <c r="U87" s="223">
        <f t="shared" si="54"/>
        <v>254.363</v>
      </c>
      <c r="V87" s="223">
        <f t="shared" si="54"/>
        <v>127.93342</v>
      </c>
      <c r="X87" s="101"/>
      <c r="Y87" s="101"/>
      <c r="Z87" s="101"/>
      <c r="AA87" s="101"/>
      <c r="AB87" s="101"/>
    </row>
    <row r="88" spans="1:28" s="76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01"/>
      <c r="R88" s="76">
        <v>2010</v>
      </c>
      <c r="S88" s="223">
        <f t="shared" ref="S88:V88" si="55">L23</f>
        <v>978.75120000000004</v>
      </c>
      <c r="T88" s="223">
        <f t="shared" si="55"/>
        <v>533.51949999999999</v>
      </c>
      <c r="U88" s="223">
        <f t="shared" si="55"/>
        <v>332.55720000000002</v>
      </c>
      <c r="V88" s="223">
        <f t="shared" si="55"/>
        <v>112.67449999999999</v>
      </c>
      <c r="X88" s="101"/>
      <c r="Y88" s="101"/>
      <c r="Z88" s="101"/>
      <c r="AA88" s="101"/>
      <c r="AB88" s="101"/>
    </row>
    <row r="89" spans="1:28" s="76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01"/>
      <c r="R89" s="76">
        <v>2011</v>
      </c>
      <c r="S89" s="223">
        <f t="shared" ref="S89:V89" si="56">L24</f>
        <v>1641.7</v>
      </c>
      <c r="T89" s="223">
        <f t="shared" si="56"/>
        <v>1212.2</v>
      </c>
      <c r="U89" s="223">
        <f t="shared" si="56"/>
        <v>278.5</v>
      </c>
      <c r="V89" s="223">
        <f t="shared" si="56"/>
        <v>151</v>
      </c>
      <c r="X89" s="101"/>
      <c r="Y89" s="101"/>
      <c r="Z89" s="101"/>
      <c r="AA89" s="101"/>
      <c r="AB89" s="101"/>
    </row>
    <row r="90" spans="1:28" s="76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01"/>
      <c r="R90" s="76">
        <v>2012</v>
      </c>
      <c r="S90" s="223">
        <f t="shared" ref="S90:V90" si="57">L25</f>
        <v>2467.42086045</v>
      </c>
      <c r="T90" s="223">
        <f t="shared" si="57"/>
        <v>1746.1296604500001</v>
      </c>
      <c r="U90" s="223">
        <f t="shared" si="57"/>
        <v>470.27</v>
      </c>
      <c r="V90" s="223">
        <f t="shared" si="57"/>
        <v>251.02120000000002</v>
      </c>
      <c r="X90" s="101"/>
      <c r="Y90" s="101"/>
      <c r="Z90" s="101"/>
      <c r="AA90" s="101"/>
      <c r="AB90" s="101"/>
    </row>
    <row r="91" spans="1:28" s="76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01"/>
      <c r="R91" s="76">
        <v>2013</v>
      </c>
      <c r="S91" s="223">
        <f t="shared" ref="S91:V91" si="58">L26</f>
        <v>2230.2925</v>
      </c>
      <c r="T91" s="223">
        <f t="shared" si="58"/>
        <v>1764.6187</v>
      </c>
      <c r="U91" s="223">
        <f t="shared" si="58"/>
        <v>188.4134</v>
      </c>
      <c r="V91" s="223">
        <f t="shared" si="58"/>
        <v>277.2604</v>
      </c>
      <c r="X91" s="101"/>
      <c r="Y91" s="101"/>
      <c r="Z91" s="101"/>
      <c r="AA91" s="101"/>
      <c r="AB91" s="101"/>
    </row>
    <row r="92" spans="1:28" s="76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101"/>
      <c r="R92" s="76">
        <v>2014</v>
      </c>
      <c r="S92" s="223">
        <f t="shared" ref="S92:V92" si="59">L27</f>
        <v>2488.2811065848164</v>
      </c>
      <c r="T92" s="223">
        <f t="shared" si="59"/>
        <v>1959.2143847048167</v>
      </c>
      <c r="U92" s="223">
        <f t="shared" si="59"/>
        <v>244.01244188000001</v>
      </c>
      <c r="V92" s="223">
        <f t="shared" si="59"/>
        <v>285.05427999999995</v>
      </c>
      <c r="X92" s="101"/>
      <c r="Y92" s="101"/>
      <c r="Z92" s="101"/>
      <c r="AA92" s="101"/>
      <c r="AB92" s="101"/>
    </row>
    <row r="93" spans="1:28" s="76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01"/>
      <c r="R93" s="76">
        <v>2015</v>
      </c>
      <c r="S93" s="223">
        <f t="shared" ref="S93:V93" si="60">L28</f>
        <v>2364.2373654698185</v>
      </c>
      <c r="T93" s="223">
        <f t="shared" si="60"/>
        <v>1730.862904511961</v>
      </c>
      <c r="U93" s="223">
        <f t="shared" si="60"/>
        <v>354.97169140999995</v>
      </c>
      <c r="V93" s="223">
        <f t="shared" si="60"/>
        <v>278.40276954785742</v>
      </c>
      <c r="X93" s="101"/>
      <c r="Y93" s="101"/>
      <c r="Z93" s="101"/>
      <c r="AA93" s="101"/>
      <c r="AB93" s="101"/>
    </row>
    <row r="94" spans="1:28" s="76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01"/>
      <c r="R94" s="76">
        <v>2016</v>
      </c>
      <c r="S94" s="223">
        <f t="shared" ref="S94:V94" si="61">L29</f>
        <v>1601.9</v>
      </c>
      <c r="T94" s="223">
        <f t="shared" si="61"/>
        <v>938.9</v>
      </c>
      <c r="U94" s="223">
        <f t="shared" si="61"/>
        <v>398.3</v>
      </c>
      <c r="V94" s="223">
        <f t="shared" si="61"/>
        <v>264.7</v>
      </c>
      <c r="X94" s="101"/>
      <c r="Y94" s="101"/>
      <c r="Z94" s="101"/>
      <c r="AA94" s="101"/>
      <c r="AB94" s="101"/>
    </row>
    <row r="95" spans="1:28" s="76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01"/>
      <c r="R95" s="76">
        <v>2017</v>
      </c>
      <c r="S95" s="223">
        <f t="shared" ref="S95:V95" si="62">L30</f>
        <v>1365.25</v>
      </c>
      <c r="T95" s="223">
        <f t="shared" si="62"/>
        <v>835.51</v>
      </c>
      <c r="U95" s="223">
        <f t="shared" si="62"/>
        <v>269</v>
      </c>
      <c r="V95" s="223">
        <f t="shared" si="62"/>
        <v>260.74</v>
      </c>
      <c r="X95" s="101"/>
      <c r="Y95" s="101"/>
      <c r="Z95" s="101"/>
      <c r="AA95" s="101"/>
      <c r="AB95" s="101"/>
    </row>
    <row r="96" spans="1:28" s="76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101"/>
      <c r="R96" s="76">
        <v>2018</v>
      </c>
      <c r="S96" s="223">
        <f t="shared" ref="S96:V96" si="63">L31</f>
        <v>580.74200391718</v>
      </c>
      <c r="T96" s="223">
        <f t="shared" si="63"/>
        <v>252.78270118165901</v>
      </c>
      <c r="U96" s="223">
        <f t="shared" si="63"/>
        <v>81.554137765000007</v>
      </c>
      <c r="V96" s="223">
        <f t="shared" si="63"/>
        <v>246.40516497052101</v>
      </c>
      <c r="X96" s="101"/>
      <c r="Y96" s="101"/>
      <c r="Z96" s="101"/>
      <c r="AA96" s="101"/>
      <c r="AB96" s="101"/>
    </row>
    <row r="97" spans="1:28" s="76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01"/>
      <c r="R97" s="76">
        <v>2019</v>
      </c>
      <c r="S97" s="223">
        <f t="shared" ref="S97:V97" si="64">L32</f>
        <v>448.37901411371558</v>
      </c>
      <c r="T97" s="223">
        <f t="shared" si="64"/>
        <v>177.58205255853528</v>
      </c>
      <c r="U97" s="223">
        <f t="shared" si="64"/>
        <v>152.23425350425475</v>
      </c>
      <c r="V97" s="223">
        <f t="shared" si="64"/>
        <v>118.56270805092556</v>
      </c>
      <c r="X97" s="101"/>
      <c r="Y97" s="101"/>
      <c r="Z97" s="101"/>
      <c r="AA97" s="101"/>
      <c r="AB97" s="101"/>
    </row>
    <row r="98" spans="1:28" s="76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01"/>
      <c r="R98" s="76">
        <v>2020</v>
      </c>
      <c r="S98" s="223">
        <f t="shared" ref="S98:V98" si="65">L33</f>
        <v>243.05274221103721</v>
      </c>
      <c r="T98" s="223">
        <f t="shared" si="65"/>
        <v>117.398071550265</v>
      </c>
      <c r="U98" s="223">
        <f t="shared" si="65"/>
        <v>7.0730336626471999</v>
      </c>
      <c r="V98" s="223">
        <f t="shared" si="65"/>
        <v>118.58163699812501</v>
      </c>
      <c r="X98" s="101"/>
      <c r="Y98" s="101"/>
      <c r="Z98" s="101"/>
      <c r="AA98" s="101"/>
      <c r="AB98" s="101"/>
    </row>
    <row r="99" spans="1:28" s="76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01"/>
      <c r="R99" s="76">
        <v>2021</v>
      </c>
      <c r="S99" s="223">
        <f>L34</f>
        <v>976.28252589129215</v>
      </c>
      <c r="T99" s="223">
        <f t="shared" ref="T99:T100" si="66">M34</f>
        <v>191.20809245000001</v>
      </c>
      <c r="U99" s="223">
        <f t="shared" ref="U99:U100" si="67">N34</f>
        <v>506.98487</v>
      </c>
      <c r="V99" s="223">
        <f t="shared" ref="V99:V100" si="68">O34</f>
        <v>278.08956344129217</v>
      </c>
      <c r="X99" s="101"/>
      <c r="Y99" s="101"/>
      <c r="Z99" s="101"/>
      <c r="AA99" s="101"/>
      <c r="AB99" s="101"/>
    </row>
    <row r="100" spans="1:28" s="76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01"/>
      <c r="R100" s="76">
        <v>2022</v>
      </c>
      <c r="S100" s="223">
        <f t="shared" ref="S100" si="69">L35</f>
        <v>975.22183798624508</v>
      </c>
      <c r="T100" s="223">
        <f t="shared" si="66"/>
        <v>587.1724976500002</v>
      </c>
      <c r="U100" s="223">
        <f t="shared" si="67"/>
        <v>157.39741952</v>
      </c>
      <c r="V100" s="223">
        <f t="shared" si="68"/>
        <v>230.65192081624491</v>
      </c>
      <c r="X100" s="101"/>
      <c r="Y100" s="101"/>
      <c r="Z100" s="101"/>
      <c r="AA100" s="101"/>
      <c r="AB100" s="101"/>
    </row>
    <row r="101" spans="1:28" s="76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01"/>
      <c r="R101" s="76">
        <v>2023</v>
      </c>
      <c r="S101" s="223">
        <f t="shared" ref="S101" si="70">L36</f>
        <v>881.57588472381508</v>
      </c>
      <c r="T101" s="223">
        <f t="shared" ref="T101" si="71">M36</f>
        <v>369.31667198090616</v>
      </c>
      <c r="U101" s="223">
        <f t="shared" ref="U101" si="72">N36</f>
        <v>243.04454286608248</v>
      </c>
      <c r="V101" s="223">
        <f t="shared" ref="V101" si="73">O36</f>
        <v>269.21466987682641</v>
      </c>
      <c r="X101" s="101"/>
      <c r="Y101" s="101"/>
      <c r="Z101" s="101"/>
      <c r="AA101" s="101"/>
      <c r="AB101" s="101"/>
    </row>
    <row r="102" spans="1:28" s="76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01"/>
      <c r="X102" s="101"/>
      <c r="Y102" s="101"/>
      <c r="Z102" s="101"/>
      <c r="AA102" s="101"/>
      <c r="AB102" s="101"/>
    </row>
    <row r="103" spans="1:28" s="76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01"/>
      <c r="S103" s="223" t="s">
        <v>11</v>
      </c>
      <c r="T103" s="223" t="s">
        <v>65</v>
      </c>
      <c r="U103" s="223" t="s">
        <v>10</v>
      </c>
      <c r="V103" s="223" t="s">
        <v>190</v>
      </c>
      <c r="X103" s="101"/>
      <c r="Y103" s="101"/>
      <c r="Z103" s="101"/>
      <c r="AA103" s="101"/>
      <c r="AB103" s="101"/>
    </row>
    <row r="104" spans="1:28" s="76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01"/>
      <c r="R104" s="125">
        <v>1995</v>
      </c>
      <c r="S104" s="180">
        <f t="shared" ref="S104:S130" si="74">E8</f>
        <v>46.066738999999991</v>
      </c>
      <c r="T104" s="180">
        <f t="shared" ref="T104:T130" si="75">F8</f>
        <v>11.412649999999999</v>
      </c>
      <c r="U104" s="180">
        <f t="shared" ref="U104:U130" si="76">G8</f>
        <v>163.39924000000002</v>
      </c>
      <c r="V104" s="180">
        <f t="shared" ref="V104:V130" si="77">P8</f>
        <v>74.287999999999997</v>
      </c>
      <c r="X104" s="101"/>
      <c r="Y104" s="101"/>
      <c r="Z104" s="101"/>
      <c r="AA104" s="101"/>
      <c r="AB104" s="101"/>
    </row>
    <row r="105" spans="1:28" s="76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01"/>
      <c r="R105" s="125">
        <v>1996</v>
      </c>
      <c r="S105" s="180">
        <f t="shared" si="74"/>
        <v>163.01889699999998</v>
      </c>
      <c r="T105" s="180">
        <f t="shared" si="75"/>
        <v>16.600999999999999</v>
      </c>
      <c r="U105" s="180">
        <f t="shared" si="76"/>
        <v>193.27748000000003</v>
      </c>
      <c r="V105" s="180">
        <f t="shared" si="77"/>
        <v>135.94999999999999</v>
      </c>
      <c r="X105" s="101"/>
      <c r="Y105" s="101"/>
      <c r="Z105" s="101"/>
      <c r="AA105" s="101"/>
      <c r="AB105" s="101"/>
    </row>
    <row r="106" spans="1:28" s="76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01"/>
      <c r="R106" s="125">
        <v>1997</v>
      </c>
      <c r="S106" s="180">
        <f t="shared" si="74"/>
        <v>343.44413100000003</v>
      </c>
      <c r="T106" s="180">
        <f t="shared" si="75"/>
        <v>32.720779999999998</v>
      </c>
      <c r="U106" s="180">
        <f t="shared" si="76"/>
        <v>171.46097</v>
      </c>
      <c r="V106" s="180">
        <f t="shared" si="77"/>
        <v>46.558</v>
      </c>
      <c r="X106" s="101"/>
      <c r="Y106" s="101"/>
      <c r="Z106" s="101"/>
      <c r="AA106" s="101"/>
      <c r="AB106" s="101"/>
    </row>
    <row r="107" spans="1:28" s="76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101"/>
      <c r="R107" s="125">
        <v>1998</v>
      </c>
      <c r="S107" s="180">
        <f t="shared" si="74"/>
        <v>365.36324100000002</v>
      </c>
      <c r="T107" s="180">
        <f t="shared" si="75"/>
        <v>59.643269999999994</v>
      </c>
      <c r="U107" s="180">
        <f t="shared" si="76"/>
        <v>136.50492</v>
      </c>
      <c r="V107" s="180">
        <f t="shared" si="77"/>
        <v>51.488</v>
      </c>
      <c r="X107" s="101"/>
      <c r="Y107" s="101"/>
      <c r="Z107" s="101"/>
      <c r="AA107" s="101"/>
      <c r="AB107" s="101"/>
    </row>
    <row r="108" spans="1:28" s="76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101"/>
      <c r="R108" s="125">
        <v>1999</v>
      </c>
      <c r="S108" s="180">
        <f t="shared" si="74"/>
        <v>417.232328</v>
      </c>
      <c r="T108" s="180">
        <f t="shared" si="75"/>
        <v>170.80662000000001</v>
      </c>
      <c r="U108" s="180">
        <f t="shared" si="76"/>
        <v>121.50028001183432</v>
      </c>
      <c r="V108" s="180">
        <f t="shared" si="77"/>
        <v>54.64</v>
      </c>
      <c r="X108" s="101"/>
      <c r="Y108" s="101"/>
      <c r="Z108" s="101"/>
      <c r="AA108" s="101"/>
      <c r="AB108" s="101"/>
    </row>
    <row r="109" spans="1:28" s="76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01"/>
      <c r="R109" s="241">
        <v>2000</v>
      </c>
      <c r="S109" s="180">
        <f t="shared" si="74"/>
        <v>337.65800000000002</v>
      </c>
      <c r="T109" s="180">
        <f t="shared" si="75"/>
        <v>128.93899999999999</v>
      </c>
      <c r="U109" s="180">
        <f t="shared" si="76"/>
        <v>139.20599999999999</v>
      </c>
      <c r="V109" s="180">
        <f t="shared" si="77"/>
        <v>53.411000000000001</v>
      </c>
      <c r="X109" s="101"/>
      <c r="Y109" s="101"/>
      <c r="Z109" s="101"/>
      <c r="AA109" s="101"/>
      <c r="AB109" s="101"/>
    </row>
    <row r="110" spans="1:28" s="76" customForma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01"/>
      <c r="R110" s="241">
        <v>2001</v>
      </c>
      <c r="S110" s="180">
        <f t="shared" si="74"/>
        <v>109.77217999999999</v>
      </c>
      <c r="T110" s="180">
        <f t="shared" si="75"/>
        <v>61.743000000000002</v>
      </c>
      <c r="U110" s="180">
        <f t="shared" si="76"/>
        <v>134.38179</v>
      </c>
      <c r="V110" s="180">
        <f t="shared" si="77"/>
        <v>45.167000000000002</v>
      </c>
      <c r="X110" s="101"/>
      <c r="Y110" s="101"/>
      <c r="Z110" s="101"/>
      <c r="AA110" s="101"/>
      <c r="AB110" s="101"/>
    </row>
    <row r="111" spans="1:28" s="76" customForma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101"/>
      <c r="R111" s="241">
        <v>2002</v>
      </c>
      <c r="S111" s="180">
        <f t="shared" si="74"/>
        <v>107.84</v>
      </c>
      <c r="T111" s="180">
        <f t="shared" si="75"/>
        <v>37.657000000000004</v>
      </c>
      <c r="U111" s="180">
        <f t="shared" si="76"/>
        <v>96.701999999999998</v>
      </c>
      <c r="V111" s="180">
        <f t="shared" si="77"/>
        <v>17.329999999999998</v>
      </c>
      <c r="X111" s="101"/>
      <c r="Y111" s="101"/>
      <c r="Z111" s="101"/>
      <c r="AA111" s="101"/>
      <c r="AB111" s="101"/>
    </row>
    <row r="112" spans="1:28" s="76" customForma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101"/>
      <c r="R112" s="241">
        <v>2003</v>
      </c>
      <c r="S112" s="180">
        <f t="shared" si="74"/>
        <v>87.165000000000006</v>
      </c>
      <c r="T112" s="180">
        <f t="shared" si="75"/>
        <v>12.826000000000001</v>
      </c>
      <c r="U112" s="180">
        <f t="shared" si="76"/>
        <v>91.965999999999994</v>
      </c>
      <c r="V112" s="180">
        <f t="shared" si="77"/>
        <v>43.427999999999997</v>
      </c>
      <c r="X112" s="101"/>
      <c r="Y112" s="101"/>
      <c r="Z112" s="101"/>
      <c r="AA112" s="101"/>
      <c r="AB112" s="101"/>
    </row>
    <row r="113" spans="1:28" s="76" customForma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01"/>
      <c r="R113" s="241">
        <v>2004</v>
      </c>
      <c r="S113" s="180">
        <f t="shared" si="74"/>
        <v>159.566</v>
      </c>
      <c r="T113" s="180">
        <f t="shared" si="75"/>
        <v>24.366</v>
      </c>
      <c r="U113" s="180">
        <f t="shared" si="76"/>
        <v>100.76300000000001</v>
      </c>
      <c r="V113" s="180">
        <f t="shared" si="77"/>
        <v>39.078000000000003</v>
      </c>
      <c r="X113" s="101"/>
      <c r="Y113" s="101"/>
      <c r="Z113" s="101"/>
      <c r="AA113" s="101"/>
      <c r="AB113" s="101"/>
    </row>
    <row r="114" spans="1:28" s="76" customForma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01"/>
      <c r="R114" s="241">
        <v>2005</v>
      </c>
      <c r="S114" s="180">
        <f t="shared" si="74"/>
        <v>193.49135000000001</v>
      </c>
      <c r="T114" s="180">
        <f t="shared" si="75"/>
        <v>20.633900000000001</v>
      </c>
      <c r="U114" s="180">
        <f t="shared" si="76"/>
        <v>134.36663999999999</v>
      </c>
      <c r="V114" s="180">
        <f t="shared" si="77"/>
        <v>45.244</v>
      </c>
      <c r="X114" s="101"/>
      <c r="Y114" s="101"/>
      <c r="Z114" s="101"/>
      <c r="AA114" s="101"/>
      <c r="AB114" s="101"/>
    </row>
    <row r="115" spans="1:28" s="76" customForma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01"/>
      <c r="R115" s="241">
        <v>2006</v>
      </c>
      <c r="S115" s="180">
        <f t="shared" si="74"/>
        <v>289.57499999999999</v>
      </c>
      <c r="T115" s="180">
        <f t="shared" si="75"/>
        <v>16.542999999999999</v>
      </c>
      <c r="U115" s="180">
        <f t="shared" si="76"/>
        <v>140.08600000000001</v>
      </c>
      <c r="V115" s="180">
        <f t="shared" si="77"/>
        <v>33.953000000000003</v>
      </c>
      <c r="X115" s="101"/>
      <c r="Y115" s="101"/>
      <c r="Z115" s="101"/>
      <c r="AA115" s="101"/>
      <c r="AB115" s="101"/>
    </row>
    <row r="116" spans="1:28" s="76" customForma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01"/>
      <c r="R116" s="241">
        <v>2007</v>
      </c>
      <c r="S116" s="180">
        <f t="shared" si="74"/>
        <v>318.03030000000001</v>
      </c>
      <c r="T116" s="180">
        <f t="shared" si="75"/>
        <v>69.635899999999992</v>
      </c>
      <c r="U116" s="180">
        <f t="shared" si="76"/>
        <v>151.40692999999999</v>
      </c>
      <c r="V116" s="180">
        <f t="shared" si="77"/>
        <v>89.927000000000007</v>
      </c>
      <c r="X116" s="101"/>
      <c r="Y116" s="101"/>
      <c r="Z116" s="101"/>
      <c r="AA116" s="101"/>
      <c r="AB116" s="101"/>
    </row>
    <row r="117" spans="1:28" s="76" customForma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01"/>
      <c r="R117" s="241">
        <v>2008</v>
      </c>
      <c r="S117" s="180">
        <f t="shared" si="74"/>
        <v>483.51</v>
      </c>
      <c r="T117" s="180">
        <f t="shared" si="75"/>
        <v>43.1</v>
      </c>
      <c r="U117" s="180">
        <f t="shared" si="76"/>
        <v>235.91</v>
      </c>
      <c r="V117" s="180">
        <f t="shared" si="77"/>
        <v>99.486999999999995</v>
      </c>
      <c r="X117" s="101"/>
      <c r="Y117" s="101"/>
      <c r="Z117" s="101"/>
      <c r="AA117" s="101"/>
      <c r="AB117" s="101"/>
    </row>
    <row r="118" spans="1:28" s="76" customForma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01"/>
      <c r="R118" s="241">
        <v>2009</v>
      </c>
      <c r="S118" s="180">
        <f t="shared" si="74"/>
        <v>448.38329999999996</v>
      </c>
      <c r="T118" s="180">
        <f t="shared" si="75"/>
        <v>254.363</v>
      </c>
      <c r="U118" s="180">
        <f t="shared" si="76"/>
        <v>289.37342000000001</v>
      </c>
      <c r="V118" s="180">
        <f t="shared" si="77"/>
        <v>184.72200000000001</v>
      </c>
      <c r="X118" s="101"/>
      <c r="Y118" s="101"/>
      <c r="Z118" s="101"/>
      <c r="AA118" s="101"/>
      <c r="AB118" s="101"/>
    </row>
    <row r="119" spans="1:28" s="76" customForma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01"/>
      <c r="R119" s="241">
        <v>2010</v>
      </c>
      <c r="S119" s="180">
        <f t="shared" si="74"/>
        <v>558.63338222614846</v>
      </c>
      <c r="T119" s="180">
        <f t="shared" si="75"/>
        <v>332.55720000000002</v>
      </c>
      <c r="U119" s="180">
        <f t="shared" si="76"/>
        <v>253.1712</v>
      </c>
      <c r="V119" s="180">
        <f t="shared" si="77"/>
        <v>223.376</v>
      </c>
      <c r="X119" s="101"/>
      <c r="Y119" s="101"/>
      <c r="Z119" s="101"/>
      <c r="AA119" s="101"/>
      <c r="AB119" s="101"/>
    </row>
    <row r="120" spans="1:28" s="76" customForma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01"/>
      <c r="R120" s="241">
        <v>2011</v>
      </c>
      <c r="S120" s="180">
        <f t="shared" si="74"/>
        <v>1240.8</v>
      </c>
      <c r="T120" s="180">
        <f t="shared" si="75"/>
        <v>278.5</v>
      </c>
      <c r="U120" s="180">
        <f t="shared" si="76"/>
        <v>229.4</v>
      </c>
      <c r="V120" s="180">
        <f t="shared" si="77"/>
        <v>131.30000000000001</v>
      </c>
      <c r="X120" s="101"/>
      <c r="Y120" s="101"/>
      <c r="Z120" s="101"/>
      <c r="AA120" s="101"/>
      <c r="AB120" s="101"/>
    </row>
    <row r="121" spans="1:28" s="76" customForma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01"/>
      <c r="R121" s="241">
        <v>2012</v>
      </c>
      <c r="S121" s="180">
        <f t="shared" si="74"/>
        <v>1781.40966045</v>
      </c>
      <c r="T121" s="180">
        <f t="shared" si="75"/>
        <v>470.27</v>
      </c>
      <c r="U121" s="180">
        <f t="shared" si="76"/>
        <v>337.36420000000004</v>
      </c>
      <c r="V121" s="180">
        <f t="shared" si="77"/>
        <v>149.8812093018218</v>
      </c>
      <c r="X121" s="101"/>
      <c r="Y121" s="101"/>
      <c r="Z121" s="101"/>
      <c r="AA121" s="101"/>
      <c r="AB121" s="101"/>
    </row>
    <row r="122" spans="1:28" s="76" customForma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01"/>
      <c r="R122" s="241">
        <v>2013</v>
      </c>
      <c r="S122" s="180">
        <f t="shared" si="74"/>
        <v>1829.8335</v>
      </c>
      <c r="T122" s="180">
        <f t="shared" si="75"/>
        <v>188.4134</v>
      </c>
      <c r="U122" s="180">
        <f t="shared" si="76"/>
        <v>421.36850000000004</v>
      </c>
      <c r="V122" s="180">
        <f t="shared" si="77"/>
        <v>149.41353189887735</v>
      </c>
      <c r="X122" s="101"/>
      <c r="Y122" s="101"/>
      <c r="Z122" s="101"/>
      <c r="AA122" s="101"/>
      <c r="AB122" s="101"/>
    </row>
    <row r="123" spans="1:28" s="76" customForma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01"/>
      <c r="R123" s="241">
        <v>2014</v>
      </c>
      <c r="S123" s="180">
        <f t="shared" si="74"/>
        <v>2021.3049047048166</v>
      </c>
      <c r="T123" s="180">
        <f t="shared" si="75"/>
        <v>244.01244188000001</v>
      </c>
      <c r="U123" s="180">
        <f t="shared" si="76"/>
        <v>401.29525350396761</v>
      </c>
      <c r="V123" s="180">
        <f t="shared" si="77"/>
        <v>111.02398648648649</v>
      </c>
      <c r="X123" s="101"/>
      <c r="Y123" s="101"/>
      <c r="Z123" s="101"/>
      <c r="AA123" s="101"/>
      <c r="AB123" s="101"/>
    </row>
    <row r="124" spans="1:28" s="76" customForma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01"/>
      <c r="R124" s="241">
        <v>2015</v>
      </c>
      <c r="S124" s="180">
        <f t="shared" si="74"/>
        <v>1773.8894952016162</v>
      </c>
      <c r="T124" s="180">
        <f t="shared" si="75"/>
        <v>354.97169140999995</v>
      </c>
      <c r="U124" s="180">
        <f t="shared" si="76"/>
        <v>357.44707323909199</v>
      </c>
      <c r="V124" s="180">
        <f t="shared" si="77"/>
        <v>107.14969696969698</v>
      </c>
      <c r="X124" s="101"/>
      <c r="Y124" s="101"/>
      <c r="Z124" s="101"/>
      <c r="AA124" s="101"/>
      <c r="AB124" s="101"/>
    </row>
    <row r="125" spans="1:28" s="76" customForma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101"/>
      <c r="R125" s="241">
        <v>2016</v>
      </c>
      <c r="S125" s="180">
        <f t="shared" si="74"/>
        <v>965.9</v>
      </c>
      <c r="T125" s="180">
        <f t="shared" si="75"/>
        <v>398.3</v>
      </c>
      <c r="U125" s="180">
        <f t="shared" si="76"/>
        <v>364.7</v>
      </c>
      <c r="V125" s="180">
        <f t="shared" si="77"/>
        <v>69.400000000000006</v>
      </c>
      <c r="X125" s="101"/>
      <c r="Y125" s="101"/>
      <c r="Z125" s="101"/>
      <c r="AA125" s="101"/>
      <c r="AB125" s="101"/>
    </row>
    <row r="126" spans="1:28" s="76" customForma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01"/>
      <c r="R126" s="241">
        <v>2017</v>
      </c>
      <c r="S126" s="180">
        <f t="shared" si="74"/>
        <v>855.91</v>
      </c>
      <c r="T126" s="180">
        <f t="shared" si="75"/>
        <v>269</v>
      </c>
      <c r="U126" s="180">
        <f t="shared" si="76"/>
        <v>292.34000000000003</v>
      </c>
      <c r="V126" s="180">
        <f t="shared" si="77"/>
        <v>101.8</v>
      </c>
      <c r="X126" s="101"/>
      <c r="Y126" s="101"/>
      <c r="Z126" s="101"/>
      <c r="AA126" s="101"/>
      <c r="AB126" s="101"/>
    </row>
    <row r="127" spans="1:28" s="76" customForma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101"/>
      <c r="R127" s="241">
        <v>2018</v>
      </c>
      <c r="S127" s="180">
        <f t="shared" si="74"/>
        <v>270.7029896800878</v>
      </c>
      <c r="T127" s="180">
        <f t="shared" si="75"/>
        <v>81.554137765000007</v>
      </c>
      <c r="U127" s="180">
        <f t="shared" si="76"/>
        <v>306.93921893531569</v>
      </c>
      <c r="V127" s="180">
        <f t="shared" si="77"/>
        <v>106.963153496122</v>
      </c>
      <c r="X127" s="101"/>
      <c r="Y127" s="101"/>
      <c r="Z127" s="101"/>
      <c r="AA127" s="101"/>
      <c r="AB127" s="101"/>
    </row>
    <row r="128" spans="1:28" s="76" customForma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101"/>
      <c r="R128" s="241">
        <v>2019</v>
      </c>
      <c r="S128" s="180">
        <f t="shared" si="74"/>
        <v>197.33050129443214</v>
      </c>
      <c r="T128" s="180">
        <f t="shared" si="75"/>
        <v>152.23425350425475</v>
      </c>
      <c r="U128" s="180">
        <f t="shared" si="76"/>
        <v>268.81873530705138</v>
      </c>
      <c r="V128" s="180">
        <f t="shared" si="77"/>
        <v>91.252862507112198</v>
      </c>
      <c r="X128" s="101"/>
      <c r="Y128" s="101"/>
      <c r="Z128" s="101"/>
      <c r="AA128" s="101"/>
      <c r="AB128" s="101"/>
    </row>
    <row r="129" spans="1:28" s="76" customForma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101"/>
      <c r="R129" s="241">
        <v>2020</v>
      </c>
      <c r="S129" s="180">
        <f t="shared" si="74"/>
        <v>211.5453484929939</v>
      </c>
      <c r="T129" s="180">
        <f t="shared" si="75"/>
        <v>7.0730336626471999</v>
      </c>
      <c r="U129" s="180">
        <f t="shared" si="76"/>
        <v>198.7073785711587</v>
      </c>
      <c r="V129" s="180">
        <f t="shared" si="77"/>
        <v>45.161673595505597</v>
      </c>
      <c r="X129" s="101"/>
      <c r="Y129" s="101"/>
      <c r="Z129" s="101"/>
      <c r="AA129" s="101"/>
      <c r="AB129" s="101"/>
    </row>
    <row r="130" spans="1:28" s="76" customForma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101"/>
      <c r="R130" s="241">
        <v>2021</v>
      </c>
      <c r="S130" s="180">
        <f t="shared" si="74"/>
        <v>203.8835508769663</v>
      </c>
      <c r="T130" s="180">
        <f t="shared" si="75"/>
        <v>506.98487</v>
      </c>
      <c r="U130" s="180">
        <f t="shared" si="76"/>
        <v>401.07673759859517</v>
      </c>
      <c r="V130" s="180">
        <f t="shared" si="77"/>
        <v>85.825031179775266</v>
      </c>
      <c r="X130" s="101"/>
      <c r="Y130" s="101"/>
      <c r="Z130" s="101"/>
      <c r="AA130" s="101"/>
      <c r="AB130" s="101"/>
    </row>
    <row r="131" spans="1:28" s="76" customForma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101"/>
      <c r="R131" s="241">
        <v>2022</v>
      </c>
      <c r="S131" s="180">
        <f t="shared" ref="S131:U131" si="78">E35</f>
        <v>602.25133748775704</v>
      </c>
      <c r="T131" s="180">
        <f t="shared" si="78"/>
        <v>157.39741952</v>
      </c>
      <c r="U131" s="180">
        <f t="shared" si="78"/>
        <v>376.85397480680604</v>
      </c>
      <c r="V131" s="180">
        <f t="shared" ref="V131" si="79">P35</f>
        <v>103.07435081279498</v>
      </c>
      <c r="X131" s="101"/>
      <c r="Y131" s="101"/>
      <c r="Z131" s="101"/>
      <c r="AA131" s="101"/>
      <c r="AB131" s="101"/>
    </row>
    <row r="132" spans="1:28" s="76" customForma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101"/>
      <c r="R132" s="241">
        <v>2023</v>
      </c>
      <c r="S132" s="180">
        <f t="shared" ref="S132" si="80">E36</f>
        <v>380.82791096872825</v>
      </c>
      <c r="T132" s="180">
        <f t="shared" ref="T132" si="81">F36</f>
        <v>243.04454286608248</v>
      </c>
      <c r="U132" s="180">
        <f t="shared" ref="U132" si="82">G36</f>
        <v>435.58891128351752</v>
      </c>
      <c r="V132" s="180">
        <f t="shared" ref="V132" si="83">P36</f>
        <v>97.232983184219037</v>
      </c>
      <c r="X132" s="101"/>
      <c r="Y132" s="101"/>
      <c r="Z132" s="101"/>
      <c r="AA132" s="101"/>
      <c r="AB132" s="101"/>
    </row>
    <row r="133" spans="1:28" s="76" customForma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101"/>
      <c r="X133" s="101"/>
      <c r="Y133" s="101"/>
      <c r="Z133" s="101"/>
      <c r="AA133" s="101"/>
      <c r="AB133" s="101"/>
    </row>
    <row r="134" spans="1:28" s="76" customForma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101"/>
      <c r="X134" s="101"/>
      <c r="Y134" s="101"/>
      <c r="Z134" s="101"/>
      <c r="AA134" s="101"/>
      <c r="AB134" s="101"/>
    </row>
    <row r="135" spans="1:28" s="76" customForma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101"/>
      <c r="X135" s="101"/>
      <c r="Y135" s="101"/>
      <c r="Z135" s="101"/>
      <c r="AA135" s="101"/>
      <c r="AB135" s="101"/>
    </row>
    <row r="136" spans="1:28" s="76" customForma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101"/>
      <c r="X136" s="101"/>
      <c r="Y136" s="101"/>
      <c r="Z136" s="101"/>
      <c r="AA136" s="101"/>
      <c r="AB136" s="101"/>
    </row>
    <row r="137" spans="1:28" s="76" customForma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101"/>
      <c r="X137" s="101"/>
      <c r="Y137" s="101"/>
      <c r="Z137" s="101"/>
      <c r="AA137" s="101"/>
      <c r="AB137" s="101"/>
    </row>
    <row r="138" spans="1:28" s="76" customForma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101"/>
      <c r="X138" s="101"/>
      <c r="Y138" s="101"/>
      <c r="Z138" s="101"/>
      <c r="AA138" s="101"/>
      <c r="AB138" s="101"/>
    </row>
    <row r="139" spans="1:28" s="76" customForma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101"/>
      <c r="X139" s="101"/>
      <c r="Y139" s="101"/>
      <c r="Z139" s="101"/>
      <c r="AA139" s="101"/>
      <c r="AB139" s="101"/>
    </row>
    <row r="140" spans="1:28" s="76" customForma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101"/>
      <c r="X140" s="101"/>
      <c r="Y140" s="101"/>
      <c r="Z140" s="101"/>
      <c r="AA140" s="101"/>
      <c r="AB140" s="101"/>
    </row>
    <row r="141" spans="1:28" s="76" customForma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101"/>
      <c r="X141" s="101"/>
      <c r="Y141" s="101"/>
      <c r="Z141" s="101"/>
      <c r="AA141" s="101"/>
      <c r="AB141" s="101"/>
    </row>
    <row r="142" spans="1:28" s="76" customForma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101"/>
      <c r="X142" s="101"/>
      <c r="Y142" s="101"/>
      <c r="Z142" s="101"/>
      <c r="AA142" s="101"/>
      <c r="AB142" s="101"/>
    </row>
    <row r="143" spans="1:28" s="76" customForma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101"/>
      <c r="X143" s="101"/>
      <c r="Y143" s="101"/>
      <c r="Z143" s="101"/>
      <c r="AA143" s="101"/>
      <c r="AB143" s="101"/>
    </row>
    <row r="144" spans="1:28" s="76" customForma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101"/>
      <c r="X144" s="101"/>
      <c r="Y144" s="101"/>
      <c r="Z144" s="101"/>
      <c r="AA144" s="101"/>
      <c r="AB144" s="101"/>
    </row>
    <row r="145" spans="1:28" s="76" customForma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101"/>
      <c r="X145" s="101"/>
      <c r="Y145" s="101"/>
      <c r="Z145" s="101"/>
      <c r="AA145" s="101"/>
      <c r="AB145" s="101"/>
    </row>
    <row r="146" spans="1:28" s="76" customForma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101"/>
      <c r="X146" s="101"/>
      <c r="Y146" s="101"/>
      <c r="Z146" s="101"/>
      <c r="AA146" s="101"/>
      <c r="AB146" s="101"/>
    </row>
    <row r="147" spans="1:28" s="76" customForma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101"/>
      <c r="X147" s="101"/>
      <c r="Y147" s="101"/>
      <c r="Z147" s="101"/>
      <c r="AA147" s="101"/>
      <c r="AB147" s="101"/>
    </row>
    <row r="148" spans="1:28" s="76" customForma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101"/>
      <c r="X148" s="101"/>
      <c r="Y148" s="101"/>
      <c r="Z148" s="101"/>
      <c r="AA148" s="101"/>
      <c r="AB148" s="101"/>
    </row>
    <row r="149" spans="1:28" s="76" customForma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101"/>
      <c r="X149" s="101"/>
      <c r="Y149" s="101"/>
      <c r="Z149" s="101"/>
      <c r="AA149" s="101"/>
      <c r="AB149" s="101"/>
    </row>
    <row r="150" spans="1:28" s="76" customForma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101"/>
      <c r="X150" s="101"/>
      <c r="Y150" s="101"/>
      <c r="Z150" s="101"/>
      <c r="AA150" s="101"/>
      <c r="AB150" s="101"/>
    </row>
    <row r="151" spans="1:28" s="76" customForma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101"/>
      <c r="X151" s="101"/>
      <c r="Y151" s="101"/>
      <c r="Z151" s="101"/>
      <c r="AA151" s="101"/>
      <c r="AB151" s="101"/>
    </row>
    <row r="152" spans="1:28" s="76" customForma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101"/>
      <c r="X152" s="101"/>
      <c r="Y152" s="101"/>
      <c r="Z152" s="101"/>
      <c r="AA152" s="101"/>
      <c r="AB152" s="101"/>
    </row>
    <row r="153" spans="1:28" s="76" customForma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101"/>
      <c r="X153" s="101"/>
      <c r="Y153" s="101"/>
      <c r="Z153" s="101"/>
      <c r="AA153" s="101"/>
      <c r="AB153" s="101"/>
    </row>
    <row r="154" spans="1:28" s="76" customForma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101"/>
      <c r="X154" s="101"/>
      <c r="Y154" s="101"/>
      <c r="Z154" s="101"/>
      <c r="AA154" s="101"/>
      <c r="AB154" s="101"/>
    </row>
    <row r="155" spans="1:28" s="76" customForma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101"/>
      <c r="X155" s="101"/>
      <c r="Y155" s="101"/>
      <c r="Z155" s="101"/>
      <c r="AA155" s="101"/>
      <c r="AB155" s="101"/>
    </row>
    <row r="156" spans="1:28" s="76" customForma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101"/>
      <c r="X156" s="101"/>
      <c r="Y156" s="101"/>
      <c r="Z156" s="101"/>
      <c r="AA156" s="101"/>
      <c r="AB156" s="101"/>
    </row>
    <row r="157" spans="1:28" s="76" customForma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101"/>
      <c r="X157" s="101"/>
      <c r="Y157" s="101"/>
      <c r="Z157" s="101"/>
      <c r="AA157" s="101"/>
      <c r="AB157" s="101"/>
    </row>
    <row r="158" spans="1:28" s="76" customForma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101"/>
      <c r="X158" s="101"/>
      <c r="Y158" s="101"/>
      <c r="Z158" s="101"/>
      <c r="AA158" s="101"/>
      <c r="AB158" s="101"/>
    </row>
    <row r="159" spans="1:28" s="76" customForma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101"/>
      <c r="X159" s="101"/>
      <c r="Y159" s="101"/>
      <c r="Z159" s="101"/>
      <c r="AA159" s="101"/>
      <c r="AB159" s="101"/>
    </row>
    <row r="160" spans="1:28" s="76" customForma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101"/>
      <c r="X160" s="101"/>
      <c r="Y160" s="101"/>
      <c r="Z160" s="101"/>
      <c r="AA160" s="101"/>
      <c r="AB160" s="101"/>
    </row>
    <row r="161" spans="1:28" s="76" customForma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101"/>
      <c r="X161" s="101"/>
      <c r="Y161" s="101"/>
      <c r="Z161" s="101"/>
      <c r="AA161" s="101"/>
      <c r="AB161" s="101"/>
    </row>
    <row r="162" spans="1:28" s="76" customForma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101"/>
      <c r="X162" s="101"/>
      <c r="Y162" s="101"/>
      <c r="Z162" s="101"/>
      <c r="AA162" s="101"/>
      <c r="AB162" s="101"/>
    </row>
    <row r="163" spans="1:28" s="76" customForma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101"/>
      <c r="X163" s="101"/>
      <c r="Y163" s="101"/>
      <c r="Z163" s="101"/>
      <c r="AA163" s="101"/>
      <c r="AB163" s="101"/>
    </row>
    <row r="164" spans="1:28" s="76" customForma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101"/>
      <c r="X164" s="101"/>
      <c r="Y164" s="101"/>
      <c r="Z164" s="101"/>
      <c r="AA164" s="101"/>
      <c r="AB164" s="101"/>
    </row>
    <row r="165" spans="1:28" s="76" customForma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101"/>
      <c r="X165" s="101"/>
      <c r="Y165" s="101"/>
      <c r="Z165" s="101"/>
      <c r="AA165" s="101"/>
      <c r="AB165" s="101"/>
    </row>
    <row r="166" spans="1:28" s="76" customForma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101"/>
      <c r="X166" s="101"/>
      <c r="Y166" s="101"/>
      <c r="Z166" s="101"/>
      <c r="AA166" s="101"/>
      <c r="AB166" s="101"/>
    </row>
    <row r="167" spans="1:28" s="76" customForma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101"/>
      <c r="X167" s="101"/>
      <c r="Y167" s="101"/>
      <c r="Z167" s="101"/>
      <c r="AA167" s="101"/>
      <c r="AB167" s="101"/>
    </row>
    <row r="168" spans="1:28" s="76" customForma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101"/>
      <c r="X168" s="101"/>
      <c r="Y168" s="101"/>
      <c r="Z168" s="101"/>
      <c r="AA168" s="101"/>
      <c r="AB168" s="101"/>
    </row>
    <row r="169" spans="1:28" s="76" customForma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101"/>
      <c r="X169" s="101"/>
      <c r="Y169" s="101"/>
      <c r="Z169" s="101"/>
      <c r="AA169" s="101"/>
      <c r="AB169" s="101"/>
    </row>
    <row r="170" spans="1:28" s="76" customForma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101"/>
      <c r="X170" s="101"/>
      <c r="Y170" s="101"/>
      <c r="Z170" s="101"/>
      <c r="AA170" s="101"/>
      <c r="AB170" s="101"/>
    </row>
    <row r="171" spans="1:28" s="76" customForma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101"/>
      <c r="X171" s="101"/>
      <c r="Y171" s="101"/>
      <c r="Z171" s="101"/>
      <c r="AA171" s="101"/>
      <c r="AB171" s="101"/>
    </row>
    <row r="172" spans="1:28" s="76" customForma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101"/>
      <c r="X172" s="101"/>
      <c r="Y172" s="101"/>
      <c r="Z172" s="101"/>
      <c r="AA172" s="101"/>
      <c r="AB172" s="101"/>
    </row>
    <row r="173" spans="1:28" s="76" customForma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101"/>
      <c r="X173" s="101"/>
      <c r="Y173" s="101"/>
      <c r="Z173" s="101"/>
      <c r="AA173" s="101"/>
      <c r="AB173" s="101"/>
    </row>
    <row r="174" spans="1:28" s="76" customForma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101"/>
      <c r="X174" s="101"/>
      <c r="Y174" s="101"/>
      <c r="Z174" s="101"/>
      <c r="AA174" s="101"/>
      <c r="AB174" s="101"/>
    </row>
    <row r="175" spans="1:28" s="76" customForma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101"/>
      <c r="X175" s="101"/>
      <c r="Y175" s="101"/>
      <c r="Z175" s="101"/>
      <c r="AA175" s="101"/>
      <c r="AB175" s="101"/>
    </row>
    <row r="176" spans="1:28" s="76" customForma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101"/>
      <c r="X176" s="101"/>
      <c r="Y176" s="101"/>
      <c r="Z176" s="101"/>
      <c r="AA176" s="101"/>
      <c r="AB176" s="101"/>
    </row>
    <row r="177" spans="1:28" s="76" customForma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101"/>
      <c r="X177" s="101"/>
      <c r="Y177" s="101"/>
      <c r="Z177" s="101"/>
      <c r="AA177" s="101"/>
      <c r="AB177" s="101"/>
    </row>
    <row r="178" spans="1:28" s="76" customForma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101"/>
      <c r="X178" s="101"/>
      <c r="Y178" s="101"/>
      <c r="Z178" s="101"/>
      <c r="AA178" s="101"/>
      <c r="AB178" s="101"/>
    </row>
    <row r="179" spans="1:28" s="76" customForma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101"/>
      <c r="X179" s="101"/>
      <c r="Y179" s="101"/>
      <c r="Z179" s="101"/>
      <c r="AA179" s="101"/>
      <c r="AB179" s="101"/>
    </row>
    <row r="180" spans="1:28" s="76" customForma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101"/>
      <c r="X180" s="101"/>
      <c r="Y180" s="101"/>
      <c r="Z180" s="101"/>
      <c r="AA180" s="101"/>
      <c r="AB180" s="101"/>
    </row>
    <row r="181" spans="1:28" s="76" customForma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101"/>
      <c r="X181" s="101"/>
      <c r="Y181" s="101"/>
      <c r="Z181" s="101"/>
      <c r="AA181" s="101"/>
      <c r="AB181" s="101"/>
    </row>
    <row r="182" spans="1:28" s="76" customForma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101"/>
      <c r="X182" s="101"/>
      <c r="Y182" s="101"/>
      <c r="Z182" s="101"/>
      <c r="AA182" s="101"/>
      <c r="AB182" s="101"/>
    </row>
    <row r="183" spans="1:28" s="76" customForma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101"/>
      <c r="X183" s="101"/>
      <c r="Y183" s="101"/>
      <c r="Z183" s="101"/>
      <c r="AA183" s="101"/>
      <c r="AB183" s="101"/>
    </row>
    <row r="184" spans="1:28" s="76" customForma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101"/>
      <c r="X184" s="101"/>
      <c r="Y184" s="101"/>
      <c r="Z184" s="101"/>
      <c r="AA184" s="101"/>
      <c r="AB184" s="101"/>
    </row>
    <row r="185" spans="1:28" s="76" customForma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101"/>
      <c r="X185" s="101"/>
      <c r="Y185" s="101"/>
      <c r="Z185" s="101"/>
      <c r="AA185" s="101"/>
      <c r="AB185" s="101"/>
    </row>
    <row r="186" spans="1:28" s="76" customForma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101"/>
      <c r="X186" s="101"/>
      <c r="Y186" s="101"/>
      <c r="Z186" s="101"/>
      <c r="AA186" s="101"/>
      <c r="AB186" s="101"/>
    </row>
    <row r="187" spans="1:28" s="76" customForma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101"/>
      <c r="X187" s="101"/>
      <c r="Y187" s="101"/>
      <c r="Z187" s="101"/>
      <c r="AA187" s="101"/>
      <c r="AB187" s="101"/>
    </row>
    <row r="188" spans="1:28" s="76" customForma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101"/>
      <c r="X188" s="101"/>
      <c r="Y188" s="101"/>
      <c r="Z188" s="101"/>
      <c r="AA188" s="101"/>
      <c r="AB188" s="101"/>
    </row>
    <row r="189" spans="1:28" s="76" customForma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101"/>
      <c r="X189" s="101"/>
      <c r="Y189" s="101"/>
      <c r="Z189" s="101"/>
      <c r="AA189" s="101"/>
      <c r="AB189" s="101"/>
    </row>
    <row r="190" spans="1:28" s="76" customForma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101"/>
      <c r="X190" s="101"/>
      <c r="Y190" s="101"/>
      <c r="Z190" s="101"/>
      <c r="AA190" s="101"/>
      <c r="AB190" s="101"/>
    </row>
    <row r="191" spans="1:28" s="76" customForma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101"/>
      <c r="X191" s="101"/>
      <c r="Y191" s="101"/>
      <c r="Z191" s="101"/>
      <c r="AA191" s="101"/>
      <c r="AB191" s="101"/>
    </row>
    <row r="192" spans="1:28" s="76" customForma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101"/>
      <c r="X192" s="101"/>
      <c r="Y192" s="101"/>
      <c r="Z192" s="101"/>
      <c r="AA192" s="101"/>
      <c r="AB192" s="101"/>
    </row>
    <row r="193" spans="1:28" s="76" customForma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101"/>
      <c r="X193" s="101"/>
      <c r="Y193" s="101"/>
      <c r="Z193" s="101"/>
      <c r="AA193" s="101"/>
      <c r="AB193" s="101"/>
    </row>
    <row r="194" spans="1:28" s="76" customForma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101"/>
      <c r="X194" s="101"/>
      <c r="Y194" s="101"/>
      <c r="Z194" s="101"/>
      <c r="AA194" s="101"/>
      <c r="AB194" s="101"/>
    </row>
    <row r="195" spans="1:28" s="76" customForma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101"/>
      <c r="X195" s="101"/>
      <c r="Y195" s="101"/>
      <c r="Z195" s="101"/>
      <c r="AA195" s="101"/>
      <c r="AB195" s="101"/>
    </row>
    <row r="196" spans="1:28" s="76" customForma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101"/>
      <c r="X196" s="101"/>
      <c r="Y196" s="101"/>
      <c r="Z196" s="101"/>
      <c r="AA196" s="101"/>
      <c r="AB196" s="101"/>
    </row>
    <row r="197" spans="1:28" s="76" customForma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101"/>
      <c r="X197" s="101"/>
      <c r="Y197" s="101"/>
      <c r="Z197" s="101"/>
      <c r="AA197" s="101"/>
      <c r="AB197" s="101"/>
    </row>
    <row r="198" spans="1:28" s="76" customForma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101"/>
      <c r="X198" s="101"/>
      <c r="Y198" s="101"/>
      <c r="Z198" s="101"/>
      <c r="AA198" s="101"/>
      <c r="AB198" s="101"/>
    </row>
    <row r="199" spans="1:28" s="76" customForma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101"/>
      <c r="X199" s="101"/>
      <c r="Y199" s="101"/>
      <c r="Z199" s="101"/>
      <c r="AA199" s="101"/>
      <c r="AB199" s="101"/>
    </row>
    <row r="200" spans="1:28" s="76" customForma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101"/>
      <c r="X200" s="101"/>
      <c r="Y200" s="101"/>
      <c r="Z200" s="101"/>
      <c r="AA200" s="101"/>
      <c r="AB200" s="101"/>
    </row>
    <row r="201" spans="1:28" s="76" customForma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101"/>
      <c r="X201" s="101"/>
      <c r="Y201" s="101"/>
      <c r="Z201" s="101"/>
      <c r="AA201" s="101"/>
      <c r="AB201" s="101"/>
    </row>
    <row r="202" spans="1:28" s="76" customForma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101"/>
      <c r="X202" s="101"/>
      <c r="Y202" s="101"/>
      <c r="Z202" s="101"/>
      <c r="AA202" s="101"/>
      <c r="AB202" s="101"/>
    </row>
    <row r="203" spans="1:28" s="76" customForma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101"/>
      <c r="X203" s="101"/>
      <c r="Y203" s="101"/>
      <c r="Z203" s="101"/>
      <c r="AA203" s="101"/>
      <c r="AB203" s="101"/>
    </row>
    <row r="204" spans="1:28" s="76" customForma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101"/>
      <c r="X204" s="101"/>
      <c r="Y204" s="101"/>
      <c r="Z204" s="101"/>
      <c r="AA204" s="101"/>
      <c r="AB204" s="101"/>
    </row>
    <row r="205" spans="1:28" s="76" customForma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101"/>
      <c r="X205" s="101"/>
      <c r="Y205" s="101"/>
      <c r="Z205" s="101"/>
      <c r="AA205" s="101"/>
      <c r="AB205" s="101"/>
    </row>
    <row r="206" spans="1:28" s="76" customForma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101"/>
      <c r="X206" s="101"/>
      <c r="Y206" s="101"/>
      <c r="Z206" s="101"/>
      <c r="AA206" s="101"/>
      <c r="AB206" s="101"/>
    </row>
    <row r="207" spans="1:28" s="76" customForma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101"/>
      <c r="X207" s="101"/>
      <c r="Y207" s="101"/>
      <c r="Z207" s="101"/>
      <c r="AA207" s="101"/>
      <c r="AB207" s="101"/>
    </row>
    <row r="208" spans="1:28" s="76" customForma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101"/>
      <c r="X208" s="101"/>
      <c r="Y208" s="101"/>
      <c r="Z208" s="101"/>
      <c r="AA208" s="101"/>
      <c r="AB208" s="101"/>
    </row>
    <row r="209" spans="1:28" s="76" customForma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101"/>
      <c r="X209" s="101"/>
      <c r="Y209" s="101"/>
      <c r="Z209" s="101"/>
      <c r="AA209" s="101"/>
      <c r="AB209" s="101"/>
    </row>
    <row r="210" spans="1:28" s="76" customForma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101"/>
      <c r="X210" s="101"/>
      <c r="Y210" s="101"/>
      <c r="Z210" s="101"/>
      <c r="AA210" s="101"/>
      <c r="AB210" s="101"/>
    </row>
    <row r="211" spans="1:28" s="76" customForma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101"/>
      <c r="X211" s="101"/>
      <c r="Y211" s="101"/>
      <c r="Z211" s="101"/>
      <c r="AA211" s="101"/>
      <c r="AB211" s="101"/>
    </row>
    <row r="212" spans="1:28" s="76" customForma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101"/>
      <c r="X212" s="101"/>
      <c r="Y212" s="101"/>
      <c r="Z212" s="101"/>
      <c r="AA212" s="101"/>
      <c r="AB212" s="101"/>
    </row>
    <row r="213" spans="1:28" s="76" customForma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101"/>
      <c r="X213" s="101"/>
      <c r="Y213" s="101"/>
      <c r="Z213" s="101"/>
      <c r="AA213" s="101"/>
      <c r="AB213" s="101"/>
    </row>
    <row r="214" spans="1:28" s="76" customForma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101"/>
      <c r="X214" s="101"/>
      <c r="Y214" s="101"/>
      <c r="Z214" s="101"/>
      <c r="AA214" s="101"/>
      <c r="AB214" s="101"/>
    </row>
    <row r="215" spans="1:28" s="76" customForma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101"/>
      <c r="X215" s="101"/>
      <c r="Y215" s="101"/>
      <c r="Z215" s="101"/>
      <c r="AA215" s="101"/>
      <c r="AB215" s="101"/>
    </row>
    <row r="216" spans="1:28" s="76" customForma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101"/>
      <c r="X216" s="101"/>
      <c r="Y216" s="101"/>
      <c r="Z216" s="101"/>
      <c r="AA216" s="101"/>
      <c r="AB216" s="101"/>
    </row>
    <row r="217" spans="1:28" s="76" customForma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101"/>
      <c r="X217" s="101"/>
      <c r="Y217" s="101"/>
      <c r="Z217" s="101"/>
      <c r="AA217" s="101"/>
      <c r="AB217" s="101"/>
    </row>
    <row r="218" spans="1:28" s="76" customForma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101"/>
      <c r="X218" s="101"/>
      <c r="Y218" s="101"/>
      <c r="Z218" s="101"/>
      <c r="AA218" s="101"/>
      <c r="AB218" s="101"/>
    </row>
    <row r="219" spans="1:28" s="76" customForma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101"/>
      <c r="X219" s="101"/>
      <c r="Y219" s="101"/>
      <c r="Z219" s="101"/>
      <c r="AA219" s="101"/>
      <c r="AB219" s="101"/>
    </row>
    <row r="220" spans="1:28" s="76" customForma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101"/>
      <c r="X220" s="101"/>
      <c r="Y220" s="101"/>
      <c r="Z220" s="101"/>
      <c r="AA220" s="101"/>
      <c r="AB220" s="101"/>
    </row>
    <row r="221" spans="1:28" s="76" customForma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101"/>
      <c r="X221" s="101"/>
      <c r="Y221" s="101"/>
      <c r="Z221" s="101"/>
      <c r="AA221" s="101"/>
      <c r="AB221" s="101"/>
    </row>
    <row r="222" spans="1:28" s="76" customForma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101"/>
      <c r="X222" s="101"/>
      <c r="Y222" s="101"/>
      <c r="Z222" s="101"/>
      <c r="AA222" s="101"/>
      <c r="AB222" s="101"/>
    </row>
    <row r="223" spans="1:28" s="76" customForma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101"/>
      <c r="X223" s="101"/>
      <c r="Y223" s="101"/>
      <c r="Z223" s="101"/>
      <c r="AA223" s="101"/>
      <c r="AB223" s="101"/>
    </row>
    <row r="224" spans="1:28" s="76" customForma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101"/>
      <c r="X224" s="101"/>
      <c r="Y224" s="101"/>
      <c r="Z224" s="101"/>
      <c r="AA224" s="101"/>
      <c r="AB224" s="101"/>
    </row>
    <row r="225" spans="1:28" s="76" customForma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101"/>
      <c r="X225" s="101"/>
      <c r="Y225" s="101"/>
      <c r="Z225" s="101"/>
      <c r="AA225" s="101"/>
      <c r="AB225" s="101"/>
    </row>
  </sheetData>
  <mergeCells count="7">
    <mergeCell ref="R40:R41"/>
    <mergeCell ref="B5:B6"/>
    <mergeCell ref="C5:C6"/>
    <mergeCell ref="D5:G5"/>
    <mergeCell ref="H5:K5"/>
    <mergeCell ref="L5:O5"/>
    <mergeCell ref="P5:P6"/>
  </mergeCells>
  <printOptions horizontalCentered="1"/>
  <pageMargins left="0.78740157480314965" right="0.78740157480314965" top="0.78740157480314965" bottom="0.39370078740157483" header="0" footer="0"/>
  <pageSetup paperSize="9" scale="41" fitToHeight="2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M205"/>
  <sheetViews>
    <sheetView showGridLines="0" view="pageBreakPreview" zoomScale="80" zoomScaleNormal="70" zoomScaleSheetLayoutView="8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E30" sqref="E30"/>
    </sheetView>
  </sheetViews>
  <sheetFormatPr baseColWidth="10" defaultColWidth="11.42578125" defaultRowHeight="12.75" x14ac:dyDescent="0.2"/>
  <cols>
    <col min="1" max="1" width="4.85546875" style="3" customWidth="1"/>
    <col min="2" max="2" width="68.7109375" style="3" customWidth="1"/>
    <col min="3" max="4" width="11.5703125" style="3" customWidth="1"/>
    <col min="5" max="8" width="12.28515625" style="3" bestFit="1" customWidth="1"/>
    <col min="9" max="12" width="11" style="3" bestFit="1" customWidth="1"/>
    <col min="13" max="18" width="12.28515625" style="3" bestFit="1" customWidth="1"/>
    <col min="19" max="23" width="14.140625" style="3" bestFit="1" customWidth="1"/>
    <col min="24" max="26" width="12.7109375" style="3" bestFit="1" customWidth="1"/>
    <col min="27" max="31" width="12.7109375" style="3" customWidth="1"/>
    <col min="32" max="32" width="17.85546875" style="3" bestFit="1" customWidth="1"/>
    <col min="33" max="33" width="11.42578125" style="3"/>
    <col min="34" max="34" width="56.85546875" style="3" bestFit="1" customWidth="1"/>
    <col min="35" max="36" width="11.42578125" style="3"/>
    <col min="37" max="37" width="46.85546875" style="3" bestFit="1" customWidth="1"/>
    <col min="38" max="16384" width="11.42578125" style="3"/>
  </cols>
  <sheetData>
    <row r="1" spans="1:38" ht="21" x14ac:dyDescent="0.25">
      <c r="A1" s="419" t="s">
        <v>331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</row>
    <row r="2" spans="1:38" ht="13.5" thickBot="1" x14ac:dyDescent="0.25"/>
    <row r="3" spans="1:38" s="4" customFormat="1" ht="16.5" thickBot="1" x14ac:dyDescent="0.3">
      <c r="A3" s="378" t="s">
        <v>75</v>
      </c>
      <c r="B3" s="379" t="s">
        <v>76</v>
      </c>
      <c r="C3" s="380">
        <v>1995</v>
      </c>
      <c r="D3" s="380">
        <v>1996</v>
      </c>
      <c r="E3" s="380">
        <v>1997</v>
      </c>
      <c r="F3" s="380">
        <v>1998</v>
      </c>
      <c r="G3" s="380">
        <v>1999</v>
      </c>
      <c r="H3" s="381">
        <v>2000</v>
      </c>
      <c r="I3" s="381">
        <v>2001</v>
      </c>
      <c r="J3" s="381">
        <v>2002</v>
      </c>
      <c r="K3" s="381">
        <v>2003</v>
      </c>
      <c r="L3" s="381">
        <v>2004</v>
      </c>
      <c r="M3" s="381">
        <v>2005</v>
      </c>
      <c r="N3" s="381">
        <v>2006</v>
      </c>
      <c r="O3" s="381">
        <v>2007</v>
      </c>
      <c r="P3" s="381">
        <v>2008</v>
      </c>
      <c r="Q3" s="382">
        <v>2009</v>
      </c>
      <c r="R3" s="380">
        <v>2010</v>
      </c>
      <c r="S3" s="380">
        <v>2011</v>
      </c>
      <c r="T3" s="380">
        <v>2012</v>
      </c>
      <c r="U3" s="380">
        <v>2013</v>
      </c>
      <c r="V3" s="380">
        <v>2014</v>
      </c>
      <c r="W3" s="380">
        <v>2015</v>
      </c>
      <c r="X3" s="380">
        <v>2016</v>
      </c>
      <c r="Y3" s="380">
        <v>2017</v>
      </c>
      <c r="Z3" s="380">
        <v>2018</v>
      </c>
      <c r="AA3" s="380">
        <v>2019</v>
      </c>
      <c r="AB3" s="383">
        <v>2020</v>
      </c>
      <c r="AC3" s="380">
        <v>2021</v>
      </c>
      <c r="AD3" s="380">
        <v>2022</v>
      </c>
      <c r="AE3" s="382">
        <v>2023</v>
      </c>
      <c r="AF3" s="384" t="s">
        <v>0</v>
      </c>
      <c r="AG3" s="242"/>
      <c r="AH3" s="242"/>
      <c r="AI3" s="242"/>
      <c r="AJ3" s="242"/>
      <c r="AK3" s="242"/>
      <c r="AL3" s="242"/>
    </row>
    <row r="4" spans="1:38" s="4" customFormat="1" ht="15" x14ac:dyDescent="0.25">
      <c r="A4" s="243">
        <v>1</v>
      </c>
      <c r="B4" s="244" t="s">
        <v>281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5" t="s">
        <v>178</v>
      </c>
      <c r="AD4" s="245"/>
      <c r="AE4" s="336"/>
      <c r="AF4" s="247">
        <f>SUM(C4:AE4)</f>
        <v>0</v>
      </c>
      <c r="AG4" s="242"/>
      <c r="AH4" s="242"/>
      <c r="AI4" s="242"/>
      <c r="AJ4" s="242"/>
      <c r="AK4" s="242"/>
      <c r="AL4" s="242"/>
    </row>
    <row r="5" spans="1:38" x14ac:dyDescent="0.2">
      <c r="A5" s="248">
        <f t="shared" ref="A5:A12" si="0">A4+1</f>
        <v>2</v>
      </c>
      <c r="B5" s="249" t="s">
        <v>220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>
        <v>189</v>
      </c>
      <c r="S5" s="251">
        <v>96</v>
      </c>
      <c r="T5" s="251"/>
      <c r="U5" s="251"/>
      <c r="V5" s="251"/>
      <c r="W5" s="251"/>
      <c r="X5" s="251"/>
      <c r="Y5" s="251"/>
      <c r="Z5" s="251"/>
      <c r="AA5" s="251"/>
      <c r="AB5" s="251"/>
      <c r="AC5" s="250" t="s">
        <v>178</v>
      </c>
      <c r="AD5" s="250"/>
      <c r="AE5" s="337"/>
      <c r="AF5" s="357">
        <f>SUM(C5:AE5)</f>
        <v>285</v>
      </c>
      <c r="AG5" s="252"/>
      <c r="AH5" s="252"/>
      <c r="AI5" s="60"/>
      <c r="AJ5" s="60"/>
      <c r="AK5" s="60"/>
      <c r="AL5" s="60"/>
    </row>
    <row r="6" spans="1:38" x14ac:dyDescent="0.2">
      <c r="A6" s="248">
        <f t="shared" si="0"/>
        <v>3</v>
      </c>
      <c r="B6" s="249" t="s">
        <v>289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1"/>
      <c r="T6" s="251"/>
      <c r="U6" s="251"/>
      <c r="V6" s="251"/>
      <c r="W6" s="251"/>
      <c r="X6" s="251"/>
      <c r="Y6" s="251">
        <v>5395.24</v>
      </c>
      <c r="Z6" s="251"/>
      <c r="AA6" s="251">
        <v>235.60000000000019</v>
      </c>
      <c r="AB6" s="251"/>
      <c r="AC6" s="250" t="s">
        <v>178</v>
      </c>
      <c r="AD6" s="250"/>
      <c r="AE6" s="337"/>
      <c r="AF6" s="357">
        <f>SUM(C6:AE6)</f>
        <v>5630.84</v>
      </c>
      <c r="AG6" s="252"/>
      <c r="AH6" s="252"/>
      <c r="AI6" s="60"/>
      <c r="AJ6" s="60"/>
      <c r="AK6" s="60"/>
      <c r="AL6" s="60"/>
    </row>
    <row r="7" spans="1:38" x14ac:dyDescent="0.2">
      <c r="A7" s="248">
        <f t="shared" si="0"/>
        <v>4</v>
      </c>
      <c r="B7" s="249" t="s">
        <v>316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0"/>
      <c r="AD7" s="250">
        <v>1598.54177</v>
      </c>
      <c r="AE7" s="337">
        <v>85.22684000000001</v>
      </c>
      <c r="AF7" s="357">
        <f t="shared" ref="AF7:AF45" si="1">SUM(C7:AE7)</f>
        <v>1683.7686100000001</v>
      </c>
      <c r="AG7" s="252"/>
      <c r="AH7" s="252"/>
      <c r="AI7" s="60"/>
      <c r="AJ7" s="60"/>
      <c r="AK7" s="60"/>
      <c r="AL7" s="60"/>
    </row>
    <row r="8" spans="1:38" x14ac:dyDescent="0.2">
      <c r="A8" s="248">
        <f t="shared" si="0"/>
        <v>5</v>
      </c>
      <c r="B8" s="254" t="s">
        <v>221</v>
      </c>
      <c r="C8" s="255"/>
      <c r="D8" s="255"/>
      <c r="E8" s="255"/>
      <c r="F8" s="255"/>
      <c r="G8" s="255"/>
      <c r="H8" s="255"/>
      <c r="I8" s="256"/>
      <c r="J8" s="256"/>
      <c r="K8" s="256"/>
      <c r="L8" s="256"/>
      <c r="M8" s="256"/>
      <c r="N8" s="256"/>
      <c r="O8" s="256">
        <v>364</v>
      </c>
      <c r="P8" s="256">
        <v>10952</v>
      </c>
      <c r="Q8" s="256">
        <v>13012</v>
      </c>
      <c r="R8" s="256">
        <v>5393</v>
      </c>
      <c r="S8" s="256">
        <v>1075</v>
      </c>
      <c r="T8" s="256">
        <v>166</v>
      </c>
      <c r="U8" s="256"/>
      <c r="V8" s="257"/>
      <c r="W8" s="257">
        <v>74625</v>
      </c>
      <c r="X8" s="257">
        <v>7000.1</v>
      </c>
      <c r="Y8" s="257"/>
      <c r="Z8" s="257"/>
      <c r="AA8" s="257"/>
      <c r="AB8" s="257"/>
      <c r="AC8" s="250" t="s">
        <v>178</v>
      </c>
      <c r="AD8" s="250"/>
      <c r="AE8" s="337"/>
      <c r="AF8" s="357">
        <f t="shared" si="1"/>
        <v>112587.1</v>
      </c>
      <c r="AG8" s="252"/>
      <c r="AH8" s="323" t="s">
        <v>302</v>
      </c>
      <c r="AI8" s="324">
        <v>58</v>
      </c>
      <c r="AJ8" s="60"/>
      <c r="AK8" s="60"/>
      <c r="AL8" s="60"/>
    </row>
    <row r="9" spans="1:38" x14ac:dyDescent="0.2">
      <c r="A9" s="253">
        <f t="shared" si="0"/>
        <v>6</v>
      </c>
      <c r="B9" s="254" t="s">
        <v>246</v>
      </c>
      <c r="C9" s="255"/>
      <c r="D9" s="255"/>
      <c r="E9" s="255"/>
      <c r="F9" s="255"/>
      <c r="G9" s="255"/>
      <c r="H9" s="255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>
        <v>2395</v>
      </c>
      <c r="U9" s="256">
        <v>933</v>
      </c>
      <c r="V9" s="257"/>
      <c r="W9" s="257"/>
      <c r="X9" s="257">
        <v>6805</v>
      </c>
      <c r="Y9" s="257">
        <v>16324.7</v>
      </c>
      <c r="Z9" s="257">
        <v>7274.0500000000011</v>
      </c>
      <c r="AA9" s="257"/>
      <c r="AB9" s="257"/>
      <c r="AC9" s="250" t="s">
        <v>178</v>
      </c>
      <c r="AD9" s="250"/>
      <c r="AE9" s="337"/>
      <c r="AF9" s="357">
        <f t="shared" si="1"/>
        <v>33731.75</v>
      </c>
      <c r="AG9" s="252"/>
      <c r="AH9" s="323" t="s">
        <v>303</v>
      </c>
      <c r="AI9" s="324">
        <v>1765.6000000000001</v>
      </c>
      <c r="AJ9" s="60"/>
      <c r="AK9" s="60"/>
      <c r="AL9" s="60"/>
    </row>
    <row r="10" spans="1:38" x14ac:dyDescent="0.2">
      <c r="A10" s="248">
        <f t="shared" si="0"/>
        <v>7</v>
      </c>
      <c r="B10" s="254" t="s">
        <v>282</v>
      </c>
      <c r="C10" s="255"/>
      <c r="D10" s="255"/>
      <c r="E10" s="255"/>
      <c r="F10" s="255"/>
      <c r="G10" s="255"/>
      <c r="H10" s="255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7"/>
      <c r="W10" s="257"/>
      <c r="X10" s="257"/>
      <c r="Y10" s="257">
        <v>7815</v>
      </c>
      <c r="Z10" s="257"/>
      <c r="AA10" s="257"/>
      <c r="AB10" s="257"/>
      <c r="AC10" s="250" t="s">
        <v>178</v>
      </c>
      <c r="AD10" s="250"/>
      <c r="AE10" s="337"/>
      <c r="AF10" s="357">
        <f t="shared" si="1"/>
        <v>7815</v>
      </c>
      <c r="AG10" s="252"/>
      <c r="AH10" s="323" t="s">
        <v>314</v>
      </c>
      <c r="AI10" s="324">
        <v>1136.2961499999999</v>
      </c>
      <c r="AJ10" s="60"/>
      <c r="AK10" s="60"/>
      <c r="AL10" s="60"/>
    </row>
    <row r="11" spans="1:38" x14ac:dyDescent="0.2">
      <c r="A11" s="253">
        <f t="shared" si="0"/>
        <v>8</v>
      </c>
      <c r="B11" s="254" t="s">
        <v>137</v>
      </c>
      <c r="C11" s="255"/>
      <c r="D11" s="255"/>
      <c r="E11" s="255"/>
      <c r="F11" s="255"/>
      <c r="G11" s="255"/>
      <c r="H11" s="255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>
        <v>200</v>
      </c>
      <c r="U11" s="256"/>
      <c r="V11" s="257"/>
      <c r="W11" s="257"/>
      <c r="X11" s="257"/>
      <c r="Y11" s="257"/>
      <c r="Z11" s="257"/>
      <c r="AA11" s="257"/>
      <c r="AB11" s="257"/>
      <c r="AC11" s="250" t="s">
        <v>178</v>
      </c>
      <c r="AD11" s="250"/>
      <c r="AE11" s="337"/>
      <c r="AF11" s="357">
        <f t="shared" si="1"/>
        <v>200</v>
      </c>
      <c r="AG11" s="252"/>
      <c r="AH11" s="323" t="s">
        <v>304</v>
      </c>
      <c r="AI11" s="324">
        <v>102684.2</v>
      </c>
      <c r="AJ11" s="60"/>
      <c r="AK11" s="60"/>
      <c r="AL11" s="60"/>
    </row>
    <row r="12" spans="1:38" x14ac:dyDescent="0.2">
      <c r="A12" s="253">
        <f t="shared" si="0"/>
        <v>9</v>
      </c>
      <c r="B12" s="254" t="s">
        <v>77</v>
      </c>
      <c r="C12" s="256"/>
      <c r="D12" s="256"/>
      <c r="E12" s="256">
        <v>2400</v>
      </c>
      <c r="F12" s="256">
        <v>3900</v>
      </c>
      <c r="G12" s="256">
        <v>3300</v>
      </c>
      <c r="H12" s="256">
        <v>37300</v>
      </c>
      <c r="I12" s="256">
        <v>597</v>
      </c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8" t="s">
        <v>74</v>
      </c>
      <c r="U12" s="258" t="s">
        <v>74</v>
      </c>
      <c r="V12" s="259"/>
      <c r="W12" s="259"/>
      <c r="X12" s="259"/>
      <c r="Y12" s="259"/>
      <c r="Z12" s="259"/>
      <c r="AA12" s="259"/>
      <c r="AB12" s="259"/>
      <c r="AC12" s="250" t="s">
        <v>178</v>
      </c>
      <c r="AD12" s="250"/>
      <c r="AE12" s="337"/>
      <c r="AF12" s="357">
        <f t="shared" si="1"/>
        <v>47497</v>
      </c>
      <c r="AG12" s="252"/>
      <c r="AH12" s="323" t="s">
        <v>305</v>
      </c>
      <c r="AI12" s="325">
        <v>6251</v>
      </c>
      <c r="AK12" s="15"/>
    </row>
    <row r="13" spans="1:38" ht="13.9" customHeight="1" x14ac:dyDescent="0.2">
      <c r="A13" s="253">
        <f t="shared" ref="A13:A23" si="2">+A12+1</f>
        <v>10</v>
      </c>
      <c r="B13" s="254" t="s">
        <v>78</v>
      </c>
      <c r="C13" s="256"/>
      <c r="D13" s="256"/>
      <c r="E13" s="256">
        <v>24000</v>
      </c>
      <c r="F13" s="256"/>
      <c r="G13" s="256">
        <v>6147</v>
      </c>
      <c r="H13" s="256">
        <v>25</v>
      </c>
      <c r="I13" s="256">
        <v>24</v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>
        <v>9</v>
      </c>
      <c r="U13" s="256"/>
      <c r="V13" s="257"/>
      <c r="W13" s="257"/>
      <c r="X13" s="257"/>
      <c r="Y13" s="257"/>
      <c r="Z13" s="257"/>
      <c r="AA13" s="257"/>
      <c r="AB13" s="257"/>
      <c r="AC13" s="250" t="s">
        <v>178</v>
      </c>
      <c r="AD13" s="250"/>
      <c r="AE13" s="337"/>
      <c r="AF13" s="357">
        <f t="shared" si="1"/>
        <v>30205</v>
      </c>
      <c r="AG13" s="252"/>
      <c r="AH13" s="323" t="s">
        <v>306</v>
      </c>
      <c r="AI13" s="325">
        <v>472</v>
      </c>
      <c r="AK13" s="15"/>
    </row>
    <row r="14" spans="1:38" ht="13.9" customHeight="1" x14ac:dyDescent="0.2">
      <c r="A14" s="253">
        <f t="shared" si="2"/>
        <v>11</v>
      </c>
      <c r="B14" s="254" t="s">
        <v>334</v>
      </c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7"/>
      <c r="W14" s="257"/>
      <c r="X14" s="257"/>
      <c r="Y14" s="257"/>
      <c r="Z14" s="257"/>
      <c r="AA14" s="257"/>
      <c r="AB14" s="257"/>
      <c r="AC14" s="250"/>
      <c r="AD14" s="250"/>
      <c r="AE14" s="337">
        <v>82.411280000000005</v>
      </c>
      <c r="AF14" s="357">
        <f t="shared" si="1"/>
        <v>82.411280000000005</v>
      </c>
      <c r="AG14" s="252"/>
      <c r="AH14" s="323"/>
      <c r="AI14" s="325"/>
      <c r="AK14" s="15"/>
    </row>
    <row r="15" spans="1:38" x14ac:dyDescent="0.2">
      <c r="A15" s="253">
        <f t="shared" si="2"/>
        <v>12</v>
      </c>
      <c r="B15" s="254" t="s">
        <v>138</v>
      </c>
      <c r="C15" s="255"/>
      <c r="D15" s="255"/>
      <c r="E15" s="255"/>
      <c r="F15" s="255"/>
      <c r="G15" s="255"/>
      <c r="H15" s="255"/>
      <c r="I15" s="256"/>
      <c r="J15" s="256"/>
      <c r="K15" s="256"/>
      <c r="L15" s="256"/>
      <c r="M15" s="256"/>
      <c r="N15" s="256"/>
      <c r="O15" s="256"/>
      <c r="P15" s="256"/>
      <c r="Q15" s="256">
        <v>876</v>
      </c>
      <c r="R15" s="256">
        <v>285</v>
      </c>
      <c r="S15" s="256">
        <v>127.7</v>
      </c>
      <c r="T15" s="256">
        <v>477</v>
      </c>
      <c r="U15" s="256">
        <v>15</v>
      </c>
      <c r="V15" s="257"/>
      <c r="W15" s="257"/>
      <c r="X15" s="257"/>
      <c r="Y15" s="257"/>
      <c r="Z15" s="257"/>
      <c r="AA15" s="257"/>
      <c r="AB15" s="257"/>
      <c r="AC15" s="250" t="s">
        <v>178</v>
      </c>
      <c r="AD15" s="250"/>
      <c r="AE15" s="337"/>
      <c r="AF15" s="357">
        <f t="shared" si="1"/>
        <v>1780.7</v>
      </c>
      <c r="AG15" s="252"/>
      <c r="AH15" s="323" t="s">
        <v>293</v>
      </c>
      <c r="AI15" s="325">
        <v>3369</v>
      </c>
      <c r="AK15" s="15"/>
    </row>
    <row r="16" spans="1:38" x14ac:dyDescent="0.2">
      <c r="A16" s="253">
        <f t="shared" si="2"/>
        <v>13</v>
      </c>
      <c r="B16" s="254" t="s">
        <v>139</v>
      </c>
      <c r="C16" s="255"/>
      <c r="D16" s="255"/>
      <c r="E16" s="255"/>
      <c r="F16" s="255"/>
      <c r="G16" s="255"/>
      <c r="H16" s="255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7"/>
      <c r="W16" s="257"/>
      <c r="X16" s="257"/>
      <c r="Y16" s="257"/>
      <c r="Z16" s="257"/>
      <c r="AA16" s="257"/>
      <c r="AB16" s="257"/>
      <c r="AC16" s="250" t="s">
        <v>178</v>
      </c>
      <c r="AD16" s="250"/>
      <c r="AE16" s="337"/>
      <c r="AF16" s="357">
        <f t="shared" si="1"/>
        <v>0</v>
      </c>
      <c r="AG16" s="252"/>
      <c r="AH16" s="323" t="s">
        <v>307</v>
      </c>
      <c r="AI16" s="325">
        <v>67600</v>
      </c>
      <c r="AK16" s="15"/>
    </row>
    <row r="17" spans="1:37" x14ac:dyDescent="0.2">
      <c r="A17" s="253">
        <f t="shared" si="2"/>
        <v>14</v>
      </c>
      <c r="B17" s="254" t="s">
        <v>163</v>
      </c>
      <c r="C17" s="255"/>
      <c r="D17" s="255"/>
      <c r="E17" s="255"/>
      <c r="F17" s="255"/>
      <c r="G17" s="255"/>
      <c r="H17" s="255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>
        <v>419108</v>
      </c>
      <c r="V17" s="257">
        <v>246828.65658000001</v>
      </c>
      <c r="W17" s="257">
        <v>210720</v>
      </c>
      <c r="X17" s="257">
        <v>102043.80395</v>
      </c>
      <c r="Y17" s="257"/>
      <c r="Z17" s="257"/>
      <c r="AA17" s="257"/>
      <c r="AB17" s="257"/>
      <c r="AC17" s="250" t="s">
        <v>178</v>
      </c>
      <c r="AD17" s="250"/>
      <c r="AE17" s="337"/>
      <c r="AF17" s="357">
        <f t="shared" si="1"/>
        <v>978700.46052999992</v>
      </c>
      <c r="AG17" s="252"/>
      <c r="AH17" s="323" t="s">
        <v>308</v>
      </c>
      <c r="AI17" s="325">
        <v>753</v>
      </c>
      <c r="AK17" s="15"/>
    </row>
    <row r="18" spans="1:37" x14ac:dyDescent="0.2">
      <c r="A18" s="253">
        <f t="shared" si="2"/>
        <v>15</v>
      </c>
      <c r="B18" s="254" t="s">
        <v>162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>
        <v>668</v>
      </c>
      <c r="R18" s="256">
        <v>999</v>
      </c>
      <c r="S18" s="256">
        <v>1455.5</v>
      </c>
      <c r="T18" s="256">
        <v>673.3</v>
      </c>
      <c r="U18" s="256">
        <v>1809.8</v>
      </c>
      <c r="V18" s="257">
        <v>4717.46156485558</v>
      </c>
      <c r="W18" s="257">
        <v>1493.9409852570489</v>
      </c>
      <c r="X18" s="257">
        <v>105.4</v>
      </c>
      <c r="Y18" s="257">
        <v>103.34553534661404</v>
      </c>
      <c r="Z18" s="257">
        <v>1109.3295147697852</v>
      </c>
      <c r="AA18" s="257"/>
      <c r="AB18" s="257"/>
      <c r="AC18" s="250" t="s">
        <v>178</v>
      </c>
      <c r="AD18" s="250"/>
      <c r="AE18" s="337">
        <v>4518.1052200477998</v>
      </c>
      <c r="AF18" s="357">
        <f t="shared" si="1"/>
        <v>17653.182820276827</v>
      </c>
      <c r="AG18" s="252"/>
      <c r="AH18" s="323" t="s">
        <v>315</v>
      </c>
      <c r="AI18" s="325">
        <v>709.8</v>
      </c>
      <c r="AK18" s="15"/>
    </row>
    <row r="19" spans="1:37" x14ac:dyDescent="0.2">
      <c r="A19" s="253">
        <f t="shared" si="2"/>
        <v>16</v>
      </c>
      <c r="B19" s="254" t="s">
        <v>222</v>
      </c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>
        <v>21912</v>
      </c>
      <c r="O19" s="256">
        <v>87705</v>
      </c>
      <c r="P19" s="256">
        <v>114259</v>
      </c>
      <c r="Q19" s="256">
        <v>52970</v>
      </c>
      <c r="R19" s="256">
        <v>5176</v>
      </c>
      <c r="S19" s="256">
        <v>1669</v>
      </c>
      <c r="T19" s="256">
        <v>4709</v>
      </c>
      <c r="U19" s="256"/>
      <c r="V19" s="257">
        <v>8230.5</v>
      </c>
      <c r="W19" s="257">
        <v>3634.2000000000003</v>
      </c>
      <c r="X19" s="257">
        <v>1964.6</v>
      </c>
      <c r="Y19" s="257">
        <v>1221.8</v>
      </c>
      <c r="Z19" s="257"/>
      <c r="AA19" s="257">
        <v>6359.3</v>
      </c>
      <c r="AB19" s="257">
        <v>5677.2</v>
      </c>
      <c r="AC19" s="250">
        <v>1765.6000000000001</v>
      </c>
      <c r="AD19" s="250">
        <v>2667.6</v>
      </c>
      <c r="AE19" s="337">
        <v>4475.5</v>
      </c>
      <c r="AF19" s="357">
        <f t="shared" si="1"/>
        <v>324396.29999999993</v>
      </c>
      <c r="AG19" s="252"/>
      <c r="AH19" s="323"/>
      <c r="AI19" s="326">
        <f>SUM(AI8:AI18)</f>
        <v>184798.89614999999</v>
      </c>
      <c r="AK19" s="15"/>
    </row>
    <row r="20" spans="1:37" x14ac:dyDescent="0.2">
      <c r="A20" s="253">
        <f t="shared" si="2"/>
        <v>17</v>
      </c>
      <c r="B20" s="254" t="s">
        <v>251</v>
      </c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7"/>
      <c r="W20" s="257"/>
      <c r="X20" s="257">
        <v>6860</v>
      </c>
      <c r="Y20" s="257"/>
      <c r="Z20" s="257"/>
      <c r="AA20" s="257"/>
      <c r="AB20" s="257"/>
      <c r="AC20" s="250" t="s">
        <v>178</v>
      </c>
      <c r="AD20" s="250"/>
      <c r="AE20" s="337"/>
      <c r="AF20" s="357">
        <f t="shared" si="1"/>
        <v>6860</v>
      </c>
      <c r="AG20" s="252"/>
      <c r="AH20" s="252"/>
      <c r="AK20" s="15"/>
    </row>
    <row r="21" spans="1:37" x14ac:dyDescent="0.2">
      <c r="A21" s="253">
        <f t="shared" si="2"/>
        <v>18</v>
      </c>
      <c r="B21" s="254" t="s">
        <v>283</v>
      </c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7"/>
      <c r="W21" s="257"/>
      <c r="X21" s="257"/>
      <c r="Y21" s="257">
        <v>22955.784</v>
      </c>
      <c r="Z21" s="257"/>
      <c r="AA21" s="257"/>
      <c r="AB21" s="257"/>
      <c r="AC21" s="250" t="s">
        <v>178</v>
      </c>
      <c r="AD21" s="250"/>
      <c r="AE21" s="337"/>
      <c r="AF21" s="357">
        <f t="shared" si="1"/>
        <v>22955.784</v>
      </c>
      <c r="AG21" s="252"/>
      <c r="AH21" s="252"/>
      <c r="AK21" s="15"/>
    </row>
    <row r="22" spans="1:37" x14ac:dyDescent="0.2">
      <c r="A22" s="253">
        <f t="shared" si="2"/>
        <v>19</v>
      </c>
      <c r="B22" s="254" t="s">
        <v>247</v>
      </c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7"/>
      <c r="W22" s="257">
        <v>2440</v>
      </c>
      <c r="X22" s="257">
        <v>837.5</v>
      </c>
      <c r="Y22" s="257"/>
      <c r="Z22" s="257">
        <v>275</v>
      </c>
      <c r="AA22" s="257"/>
      <c r="AB22" s="257"/>
      <c r="AC22" s="250" t="s">
        <v>178</v>
      </c>
      <c r="AD22" s="250"/>
      <c r="AE22" s="337"/>
      <c r="AF22" s="357">
        <f t="shared" si="1"/>
        <v>3552.5</v>
      </c>
      <c r="AG22" s="252"/>
      <c r="AH22" s="252"/>
      <c r="AK22" s="15"/>
    </row>
    <row r="23" spans="1:37" x14ac:dyDescent="0.2">
      <c r="A23" s="253">
        <f t="shared" si="2"/>
        <v>20</v>
      </c>
      <c r="B23" s="254" t="s">
        <v>223</v>
      </c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>
        <v>800</v>
      </c>
      <c r="R23" s="256">
        <v>950</v>
      </c>
      <c r="S23" s="256">
        <v>1500</v>
      </c>
      <c r="T23" s="256">
        <v>200</v>
      </c>
      <c r="U23" s="256">
        <v>350</v>
      </c>
      <c r="V23" s="257">
        <v>400</v>
      </c>
      <c r="W23" s="257">
        <v>2175</v>
      </c>
      <c r="X23" s="257">
        <v>2530</v>
      </c>
      <c r="Y23" s="257">
        <v>5566.0000000000027</v>
      </c>
      <c r="Z23" s="257"/>
      <c r="AA23" s="257"/>
      <c r="AB23" s="257"/>
      <c r="AC23" s="250" t="s">
        <v>178</v>
      </c>
      <c r="AD23" s="250"/>
      <c r="AE23" s="337"/>
      <c r="AF23" s="357">
        <f t="shared" si="1"/>
        <v>14471.000000000004</v>
      </c>
      <c r="AG23" s="252"/>
      <c r="AH23" s="252"/>
      <c r="AK23" s="15"/>
    </row>
    <row r="24" spans="1:37" x14ac:dyDescent="0.2">
      <c r="A24" s="253">
        <f t="shared" ref="A24:A34" si="3">+A23+1</f>
        <v>21</v>
      </c>
      <c r="B24" s="254" t="s">
        <v>79</v>
      </c>
      <c r="C24" s="256"/>
      <c r="D24" s="256">
        <v>521</v>
      </c>
      <c r="E24" s="256">
        <v>19214</v>
      </c>
      <c r="F24" s="256">
        <v>42870</v>
      </c>
      <c r="G24" s="256">
        <v>37036</v>
      </c>
      <c r="H24" s="256">
        <v>26544</v>
      </c>
      <c r="I24" s="256">
        <v>12531</v>
      </c>
      <c r="J24" s="256">
        <v>5340</v>
      </c>
      <c r="K24" s="256">
        <v>2585</v>
      </c>
      <c r="L24" s="256">
        <v>3537</v>
      </c>
      <c r="M24" s="256">
        <v>2885</v>
      </c>
      <c r="N24" s="256">
        <v>3945</v>
      </c>
      <c r="O24" s="256">
        <v>10410</v>
      </c>
      <c r="P24" s="256">
        <v>50137</v>
      </c>
      <c r="Q24" s="256">
        <v>59756</v>
      </c>
      <c r="R24" s="256">
        <v>14857</v>
      </c>
      <c r="S24" s="256">
        <v>2327</v>
      </c>
      <c r="T24" s="256">
        <v>4851</v>
      </c>
      <c r="U24" s="256">
        <v>5951</v>
      </c>
      <c r="V24" s="257">
        <v>4268.6495340000001</v>
      </c>
      <c r="W24" s="257">
        <v>5522.489246000001</v>
      </c>
      <c r="X24" s="257">
        <v>5522.8819970000004</v>
      </c>
      <c r="Y24" s="257">
        <v>2887.2799999999997</v>
      </c>
      <c r="Z24" s="257"/>
      <c r="AA24" s="257"/>
      <c r="AB24" s="257"/>
      <c r="AC24" s="250" t="s">
        <v>178</v>
      </c>
      <c r="AD24" s="250"/>
      <c r="AE24" s="337"/>
      <c r="AF24" s="357">
        <f t="shared" si="1"/>
        <v>323498.30077700008</v>
      </c>
      <c r="AG24" s="252"/>
      <c r="AH24" s="252"/>
      <c r="AI24" s="15"/>
      <c r="AJ24" s="15"/>
      <c r="AK24" s="15"/>
    </row>
    <row r="25" spans="1:37" x14ac:dyDescent="0.2">
      <c r="A25" s="253">
        <f t="shared" si="3"/>
        <v>22</v>
      </c>
      <c r="B25" s="254" t="s">
        <v>140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>
        <v>58</v>
      </c>
      <c r="U25" s="256"/>
      <c r="V25" s="257"/>
      <c r="W25" s="257"/>
      <c r="X25" s="257"/>
      <c r="Y25" s="257"/>
      <c r="Z25" s="257"/>
      <c r="AA25" s="257"/>
      <c r="AB25" s="257"/>
      <c r="AC25" s="250" t="s">
        <v>178</v>
      </c>
      <c r="AD25" s="250"/>
      <c r="AE25" s="337"/>
      <c r="AF25" s="357">
        <f t="shared" si="1"/>
        <v>58</v>
      </c>
      <c r="AG25" s="252"/>
      <c r="AH25" s="252"/>
      <c r="AI25" s="15"/>
      <c r="AJ25" s="15"/>
      <c r="AK25" s="15"/>
    </row>
    <row r="26" spans="1:37" x14ac:dyDescent="0.2">
      <c r="A26" s="253">
        <f t="shared" si="3"/>
        <v>23</v>
      </c>
      <c r="B26" s="254" t="s">
        <v>252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7"/>
      <c r="W26" s="257"/>
      <c r="X26" s="257">
        <v>4734</v>
      </c>
      <c r="Y26" s="257">
        <v>4179.12</v>
      </c>
      <c r="Z26" s="257">
        <v>1583</v>
      </c>
      <c r="AA26" s="257"/>
      <c r="AB26" s="257"/>
      <c r="AC26" s="250" t="s">
        <v>178</v>
      </c>
      <c r="AD26" s="250"/>
      <c r="AE26" s="337"/>
      <c r="AF26" s="357">
        <f t="shared" si="1"/>
        <v>10496.119999999999</v>
      </c>
      <c r="AG26" s="252"/>
      <c r="AH26" s="252"/>
      <c r="AI26" s="15"/>
      <c r="AJ26" s="15"/>
      <c r="AK26" s="15"/>
    </row>
    <row r="27" spans="1:37" x14ac:dyDescent="0.2">
      <c r="A27" s="253">
        <f t="shared" si="3"/>
        <v>24</v>
      </c>
      <c r="B27" s="254" t="s">
        <v>253</v>
      </c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7"/>
      <c r="W27" s="257"/>
      <c r="X27" s="257">
        <v>4115.8</v>
      </c>
      <c r="Y27" s="257"/>
      <c r="Z27" s="257"/>
      <c r="AA27" s="257"/>
      <c r="AB27" s="257"/>
      <c r="AC27" s="250" t="s">
        <v>178</v>
      </c>
      <c r="AD27" s="250"/>
      <c r="AE27" s="337"/>
      <c r="AF27" s="357">
        <f t="shared" si="1"/>
        <v>4115.8</v>
      </c>
      <c r="AG27" s="252"/>
      <c r="AH27" s="252"/>
      <c r="AI27" s="15"/>
    </row>
    <row r="28" spans="1:37" x14ac:dyDescent="0.2">
      <c r="A28" s="253">
        <f t="shared" si="3"/>
        <v>25</v>
      </c>
      <c r="B28" s="254" t="s">
        <v>141</v>
      </c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>
        <v>25696</v>
      </c>
      <c r="U28" s="256">
        <v>8895</v>
      </c>
      <c r="V28" s="257">
        <v>57</v>
      </c>
      <c r="W28" s="257"/>
      <c r="X28" s="257"/>
      <c r="Y28" s="257"/>
      <c r="Z28" s="257"/>
      <c r="AA28" s="257"/>
      <c r="AB28" s="257"/>
      <c r="AC28" s="250" t="s">
        <v>178</v>
      </c>
      <c r="AD28" s="250"/>
      <c r="AE28" s="337"/>
      <c r="AF28" s="357">
        <f t="shared" si="1"/>
        <v>34648</v>
      </c>
      <c r="AG28" s="252"/>
      <c r="AH28" s="252"/>
      <c r="AI28" s="15"/>
    </row>
    <row r="29" spans="1:37" x14ac:dyDescent="0.2">
      <c r="A29" s="253">
        <f t="shared" si="3"/>
        <v>26</v>
      </c>
      <c r="B29" s="254" t="s">
        <v>142</v>
      </c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>
        <v>1349</v>
      </c>
      <c r="S29" s="256">
        <v>96442</v>
      </c>
      <c r="T29" s="256">
        <v>750</v>
      </c>
      <c r="U29" s="256"/>
      <c r="V29" s="257"/>
      <c r="W29" s="257"/>
      <c r="X29" s="257"/>
      <c r="Y29" s="257"/>
      <c r="Z29" s="257"/>
      <c r="AA29" s="257"/>
      <c r="AB29" s="257"/>
      <c r="AC29" s="250" t="s">
        <v>178</v>
      </c>
      <c r="AD29" s="250"/>
      <c r="AE29" s="337"/>
      <c r="AF29" s="357">
        <f t="shared" si="1"/>
        <v>98541</v>
      </c>
      <c r="AG29" s="252"/>
      <c r="AH29" s="252"/>
      <c r="AI29" s="15"/>
    </row>
    <row r="30" spans="1:37" x14ac:dyDescent="0.2">
      <c r="A30" s="253">
        <f t="shared" si="3"/>
        <v>27</v>
      </c>
      <c r="B30" s="254" t="s">
        <v>80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>
        <v>1873</v>
      </c>
      <c r="P30" s="256">
        <v>2389</v>
      </c>
      <c r="Q30" s="256">
        <v>1062</v>
      </c>
      <c r="R30" s="256">
        <v>744</v>
      </c>
      <c r="S30" s="256">
        <v>13714</v>
      </c>
      <c r="T30" s="256">
        <v>2451</v>
      </c>
      <c r="U30" s="256"/>
      <c r="V30" s="257"/>
      <c r="W30" s="257"/>
      <c r="X30" s="257"/>
      <c r="Y30" s="257"/>
      <c r="Z30" s="257"/>
      <c r="AA30" s="257"/>
      <c r="AB30" s="257"/>
      <c r="AC30" s="250" t="s">
        <v>178</v>
      </c>
      <c r="AD30" s="250"/>
      <c r="AE30" s="337"/>
      <c r="AF30" s="357">
        <f t="shared" si="1"/>
        <v>22233</v>
      </c>
      <c r="AG30" s="252"/>
      <c r="AH30" s="252"/>
      <c r="AI30" s="15"/>
    </row>
    <row r="31" spans="1:37" x14ac:dyDescent="0.2">
      <c r="A31" s="253">
        <f t="shared" si="3"/>
        <v>28</v>
      </c>
      <c r="B31" s="254" t="s">
        <v>335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7"/>
      <c r="W31" s="257"/>
      <c r="X31" s="257"/>
      <c r="Y31" s="257"/>
      <c r="Z31" s="257"/>
      <c r="AA31" s="257"/>
      <c r="AB31" s="257"/>
      <c r="AC31" s="250"/>
      <c r="AD31" s="250"/>
      <c r="AE31" s="337">
        <v>1119.5</v>
      </c>
      <c r="AF31" s="357">
        <f t="shared" si="1"/>
        <v>1119.5</v>
      </c>
      <c r="AG31" s="252"/>
      <c r="AH31" s="252"/>
      <c r="AI31" s="15"/>
    </row>
    <row r="32" spans="1:37" x14ac:dyDescent="0.2">
      <c r="A32" s="253">
        <f t="shared" si="3"/>
        <v>29</v>
      </c>
      <c r="B32" s="254" t="s">
        <v>284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7"/>
      <c r="W32" s="257"/>
      <c r="X32" s="257"/>
      <c r="Y32" s="257">
        <v>11222.000000000002</v>
      </c>
      <c r="Z32" s="257">
        <v>17303.600000000002</v>
      </c>
      <c r="AA32" s="257"/>
      <c r="AB32" s="257"/>
      <c r="AC32" s="250" t="s">
        <v>178</v>
      </c>
      <c r="AD32" s="250"/>
      <c r="AE32" s="337"/>
      <c r="AF32" s="357">
        <f t="shared" si="1"/>
        <v>28525.600000000006</v>
      </c>
      <c r="AG32" s="252"/>
      <c r="AH32" s="252"/>
      <c r="AI32" s="15"/>
    </row>
    <row r="33" spans="1:37" x14ac:dyDescent="0.2">
      <c r="A33" s="253">
        <f t="shared" si="3"/>
        <v>30</v>
      </c>
      <c r="B33" s="254" t="s">
        <v>81</v>
      </c>
      <c r="C33" s="256"/>
      <c r="D33" s="256"/>
      <c r="E33" s="256"/>
      <c r="F33" s="256">
        <v>160</v>
      </c>
      <c r="G33" s="256">
        <v>352</v>
      </c>
      <c r="H33" s="256">
        <v>1255</v>
      </c>
      <c r="I33" s="256">
        <v>50.1</v>
      </c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7"/>
      <c r="W33" s="257"/>
      <c r="X33" s="257"/>
      <c r="Y33" s="257"/>
      <c r="Z33" s="257"/>
      <c r="AA33" s="257"/>
      <c r="AB33" s="257"/>
      <c r="AC33" s="250" t="s">
        <v>178</v>
      </c>
      <c r="AD33" s="250"/>
      <c r="AE33" s="337"/>
      <c r="AF33" s="357">
        <f t="shared" si="1"/>
        <v>1817.1</v>
      </c>
      <c r="AG33" s="252"/>
      <c r="AH33" s="252"/>
      <c r="AI33" s="15"/>
    </row>
    <row r="34" spans="1:37" ht="14.25" x14ac:dyDescent="0.2">
      <c r="A34" s="253">
        <f t="shared" si="3"/>
        <v>31</v>
      </c>
      <c r="B34" s="254" t="s">
        <v>264</v>
      </c>
      <c r="C34" s="256"/>
      <c r="D34" s="256">
        <v>50</v>
      </c>
      <c r="E34" s="256">
        <v>196</v>
      </c>
      <c r="F34" s="256">
        <v>281</v>
      </c>
      <c r="G34" s="256">
        <v>104</v>
      </c>
      <c r="H34" s="256">
        <v>388</v>
      </c>
      <c r="I34" s="256">
        <v>0</v>
      </c>
      <c r="J34" s="256"/>
      <c r="K34" s="256"/>
      <c r="L34" s="256"/>
      <c r="M34" s="256"/>
      <c r="N34" s="256">
        <v>597</v>
      </c>
      <c r="O34" s="256">
        <v>71</v>
      </c>
      <c r="P34" s="256">
        <v>2690</v>
      </c>
      <c r="Q34" s="256">
        <v>851</v>
      </c>
      <c r="R34" s="258" t="s">
        <v>74</v>
      </c>
      <c r="S34" s="258" t="s">
        <v>74</v>
      </c>
      <c r="T34" s="258" t="s">
        <v>74</v>
      </c>
      <c r="U34" s="258" t="s">
        <v>74</v>
      </c>
      <c r="V34" s="259"/>
      <c r="W34" s="259"/>
      <c r="X34" s="259"/>
      <c r="Y34" s="259"/>
      <c r="Z34" s="259"/>
      <c r="AA34" s="259"/>
      <c r="AB34" s="259"/>
      <c r="AC34" s="250" t="s">
        <v>178</v>
      </c>
      <c r="AD34" s="250"/>
      <c r="AE34" s="337"/>
      <c r="AF34" s="357">
        <f t="shared" si="1"/>
        <v>5228</v>
      </c>
      <c r="AG34" s="252"/>
      <c r="AH34" s="252"/>
      <c r="AI34" s="15"/>
    </row>
    <row r="35" spans="1:37" x14ac:dyDescent="0.2">
      <c r="A35" s="253">
        <f t="shared" ref="A35:A82" si="4">+A34+1</f>
        <v>32</v>
      </c>
      <c r="B35" s="254" t="s">
        <v>224</v>
      </c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8"/>
      <c r="S35" s="258"/>
      <c r="T35" s="258"/>
      <c r="U35" s="258"/>
      <c r="V35" s="259">
        <v>2500</v>
      </c>
      <c r="W35" s="259">
        <v>5768.9732999999997</v>
      </c>
      <c r="X35" s="259">
        <v>13536.9</v>
      </c>
      <c r="Y35" s="259"/>
      <c r="Z35" s="259"/>
      <c r="AA35" s="259"/>
      <c r="AB35" s="259"/>
      <c r="AC35" s="250" t="s">
        <v>178</v>
      </c>
      <c r="AD35" s="250"/>
      <c r="AE35" s="337"/>
      <c r="AF35" s="357">
        <f t="shared" si="1"/>
        <v>21805.873299999999</v>
      </c>
      <c r="AG35" s="252"/>
      <c r="AH35" s="252"/>
      <c r="AI35" s="15"/>
    </row>
    <row r="36" spans="1:37" x14ac:dyDescent="0.2">
      <c r="A36" s="253">
        <f t="shared" si="4"/>
        <v>33</v>
      </c>
      <c r="B36" s="254" t="s">
        <v>82</v>
      </c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>
        <v>630</v>
      </c>
      <c r="O36" s="256"/>
      <c r="P36" s="256">
        <v>3331</v>
      </c>
      <c r="Q36" s="256">
        <v>1593</v>
      </c>
      <c r="R36" s="256">
        <v>24698</v>
      </c>
      <c r="S36" s="256">
        <v>150365</v>
      </c>
      <c r="T36" s="256">
        <v>127994</v>
      </c>
      <c r="U36" s="256">
        <v>159724</v>
      </c>
      <c r="V36" s="257">
        <v>52511</v>
      </c>
      <c r="W36" s="257"/>
      <c r="X36" s="257"/>
      <c r="Y36" s="257"/>
      <c r="Z36" s="257"/>
      <c r="AA36" s="257"/>
      <c r="AB36" s="257"/>
      <c r="AC36" s="250" t="s">
        <v>178</v>
      </c>
      <c r="AD36" s="250"/>
      <c r="AE36" s="337"/>
      <c r="AF36" s="357">
        <f t="shared" si="1"/>
        <v>520846</v>
      </c>
      <c r="AG36" s="252"/>
      <c r="AH36" s="252"/>
      <c r="AI36" s="15"/>
    </row>
    <row r="37" spans="1:37" x14ac:dyDescent="0.2">
      <c r="A37" s="253">
        <f t="shared" si="4"/>
        <v>34</v>
      </c>
      <c r="B37" s="254" t="s">
        <v>254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7"/>
      <c r="W37" s="257"/>
      <c r="X37" s="257">
        <v>1544.4</v>
      </c>
      <c r="Y37" s="257">
        <v>156.79999999999995</v>
      </c>
      <c r="Z37" s="257"/>
      <c r="AA37" s="257"/>
      <c r="AB37" s="257"/>
      <c r="AC37" s="250" t="s">
        <v>178</v>
      </c>
      <c r="AD37" s="250"/>
      <c r="AE37" s="337"/>
      <c r="AF37" s="357">
        <f t="shared" si="1"/>
        <v>1701.2</v>
      </c>
      <c r="AG37" s="252"/>
      <c r="AH37" s="252"/>
      <c r="AI37" s="15"/>
    </row>
    <row r="38" spans="1:37" x14ac:dyDescent="0.2">
      <c r="A38" s="253">
        <f t="shared" si="4"/>
        <v>35</v>
      </c>
      <c r="B38" s="254" t="s">
        <v>225</v>
      </c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7">
        <v>16675</v>
      </c>
      <c r="W38" s="257">
        <v>30884</v>
      </c>
      <c r="X38" s="257">
        <v>30884</v>
      </c>
      <c r="Y38" s="257">
        <v>890.24</v>
      </c>
      <c r="Z38" s="257"/>
      <c r="AA38" s="257"/>
      <c r="AB38" s="257"/>
      <c r="AC38" s="250" t="s">
        <v>178</v>
      </c>
      <c r="AD38" s="250"/>
      <c r="AE38" s="337"/>
      <c r="AF38" s="357">
        <f t="shared" si="1"/>
        <v>79333.240000000005</v>
      </c>
      <c r="AG38" s="252"/>
      <c r="AH38" s="252"/>
      <c r="AI38" s="15"/>
    </row>
    <row r="39" spans="1:37" x14ac:dyDescent="0.2">
      <c r="A39" s="253">
        <f t="shared" si="4"/>
        <v>36</v>
      </c>
      <c r="B39" s="254" t="s">
        <v>83</v>
      </c>
      <c r="C39" s="256"/>
      <c r="D39" s="256"/>
      <c r="E39" s="256"/>
      <c r="F39" s="256"/>
      <c r="G39" s="256"/>
      <c r="H39" s="256"/>
      <c r="I39" s="256">
        <v>2965</v>
      </c>
      <c r="J39" s="256">
        <v>1275</v>
      </c>
      <c r="K39" s="256"/>
      <c r="L39" s="256">
        <v>180</v>
      </c>
      <c r="M39" s="256">
        <v>220</v>
      </c>
      <c r="N39" s="256">
        <v>260</v>
      </c>
      <c r="O39" s="256"/>
      <c r="P39" s="256"/>
      <c r="Q39" s="256"/>
      <c r="R39" s="256"/>
      <c r="S39" s="256"/>
      <c r="T39" s="256"/>
      <c r="U39" s="256">
        <v>62750</v>
      </c>
      <c r="V39" s="257"/>
      <c r="W39" s="257"/>
      <c r="X39" s="257"/>
      <c r="Y39" s="257"/>
      <c r="Z39" s="257"/>
      <c r="AA39" s="257"/>
      <c r="AB39" s="257"/>
      <c r="AC39" s="250">
        <v>1136.2961499999999</v>
      </c>
      <c r="AD39" s="250">
        <v>453.62141000000003</v>
      </c>
      <c r="AE39" s="337">
        <v>322.81</v>
      </c>
      <c r="AF39" s="357">
        <f t="shared" si="1"/>
        <v>69562.727559999999</v>
      </c>
      <c r="AG39" s="252"/>
      <c r="AH39" s="252"/>
      <c r="AI39" s="15"/>
    </row>
    <row r="40" spans="1:37" x14ac:dyDescent="0.2">
      <c r="A40" s="253">
        <f t="shared" si="4"/>
        <v>37</v>
      </c>
      <c r="B40" s="254" t="s">
        <v>255</v>
      </c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7"/>
      <c r="W40" s="257"/>
      <c r="X40" s="257">
        <v>21500</v>
      </c>
      <c r="Y40" s="257"/>
      <c r="Z40" s="257"/>
      <c r="AA40" s="257"/>
      <c r="AB40" s="257"/>
      <c r="AC40" s="250" t="s">
        <v>178</v>
      </c>
      <c r="AD40" s="250"/>
      <c r="AE40" s="337"/>
      <c r="AF40" s="357">
        <f t="shared" si="1"/>
        <v>21500</v>
      </c>
      <c r="AG40" s="252"/>
      <c r="AH40" s="252"/>
      <c r="AI40" s="15"/>
    </row>
    <row r="41" spans="1:37" x14ac:dyDescent="0.2">
      <c r="A41" s="253">
        <f t="shared" si="4"/>
        <v>38</v>
      </c>
      <c r="B41" s="254" t="s">
        <v>210</v>
      </c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7"/>
      <c r="W41" s="257">
        <v>1763.9999999999998</v>
      </c>
      <c r="X41" s="257">
        <v>24104.5</v>
      </c>
      <c r="Y41" s="257">
        <v>5593.2</v>
      </c>
      <c r="Z41" s="257">
        <v>141.60000000000011</v>
      </c>
      <c r="AA41" s="257"/>
      <c r="AB41" s="257"/>
      <c r="AC41" s="250" t="s">
        <v>178</v>
      </c>
      <c r="AD41" s="250"/>
      <c r="AE41" s="337"/>
      <c r="AF41" s="357">
        <f t="shared" si="1"/>
        <v>31603.3</v>
      </c>
      <c r="AG41" s="252"/>
      <c r="AH41" s="252"/>
      <c r="AI41" s="15"/>
      <c r="AJ41" s="15"/>
    </row>
    <row r="42" spans="1:37" x14ac:dyDescent="0.2">
      <c r="A42" s="253">
        <f t="shared" si="4"/>
        <v>39</v>
      </c>
      <c r="B42" s="254" t="s">
        <v>256</v>
      </c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7"/>
      <c r="W42" s="257"/>
      <c r="X42" s="257">
        <v>9288</v>
      </c>
      <c r="Y42" s="257">
        <v>13190.850000000002</v>
      </c>
      <c r="Z42" s="257">
        <v>4545.300000000002</v>
      </c>
      <c r="AA42" s="257"/>
      <c r="AB42" s="257"/>
      <c r="AC42" s="250" t="s">
        <v>178</v>
      </c>
      <c r="AD42" s="250"/>
      <c r="AE42" s="337"/>
      <c r="AF42" s="357">
        <f t="shared" si="1"/>
        <v>27024.150000000005</v>
      </c>
      <c r="AG42" s="252"/>
      <c r="AH42" s="252"/>
      <c r="AI42" s="15"/>
      <c r="AJ42" s="15"/>
      <c r="AK42" s="15"/>
    </row>
    <row r="43" spans="1:37" x14ac:dyDescent="0.2">
      <c r="A43" s="253">
        <f t="shared" si="4"/>
        <v>40</v>
      </c>
      <c r="B43" s="254" t="s">
        <v>211</v>
      </c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7"/>
      <c r="W43" s="257">
        <v>2784</v>
      </c>
      <c r="X43" s="257"/>
      <c r="Y43" s="257"/>
      <c r="Z43" s="257"/>
      <c r="AA43" s="257"/>
      <c r="AB43" s="257"/>
      <c r="AC43" s="250" t="s">
        <v>178</v>
      </c>
      <c r="AD43" s="250"/>
      <c r="AE43" s="337"/>
      <c r="AF43" s="357">
        <f t="shared" si="1"/>
        <v>2784</v>
      </c>
      <c r="AG43" s="252"/>
      <c r="AH43" s="252"/>
      <c r="AI43" s="15"/>
      <c r="AJ43" s="15"/>
      <c r="AK43" s="15"/>
    </row>
    <row r="44" spans="1:37" x14ac:dyDescent="0.2">
      <c r="A44" s="253">
        <f t="shared" si="4"/>
        <v>41</v>
      </c>
      <c r="B44" s="254" t="s">
        <v>226</v>
      </c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>
        <v>7149</v>
      </c>
      <c r="P44" s="256">
        <v>4291</v>
      </c>
      <c r="Q44" s="256"/>
      <c r="R44" s="256"/>
      <c r="S44" s="256"/>
      <c r="T44" s="256"/>
      <c r="U44" s="256"/>
      <c r="V44" s="257"/>
      <c r="W44" s="257">
        <v>5400</v>
      </c>
      <c r="X44" s="257">
        <v>120</v>
      </c>
      <c r="Y44" s="257"/>
      <c r="Z44" s="257"/>
      <c r="AA44" s="257"/>
      <c r="AB44" s="257"/>
      <c r="AC44" s="250" t="s">
        <v>178</v>
      </c>
      <c r="AD44" s="250"/>
      <c r="AE44" s="337"/>
      <c r="AF44" s="357">
        <f t="shared" si="1"/>
        <v>16960</v>
      </c>
      <c r="AG44" s="252"/>
      <c r="AH44" s="252"/>
    </row>
    <row r="45" spans="1:37" x14ac:dyDescent="0.2">
      <c r="A45" s="253">
        <f t="shared" si="4"/>
        <v>42</v>
      </c>
      <c r="B45" s="254" t="s">
        <v>227</v>
      </c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>
        <v>472406</v>
      </c>
      <c r="U45" s="256">
        <v>341172</v>
      </c>
      <c r="V45" s="257">
        <v>317876.30182000017</v>
      </c>
      <c r="W45" s="257">
        <v>168899.99999999997</v>
      </c>
      <c r="X45" s="257">
        <v>44176.618466920103</v>
      </c>
      <c r="Y45" s="257">
        <v>579.79999999999995</v>
      </c>
      <c r="Z45" s="257"/>
      <c r="AA45" s="257"/>
      <c r="AB45" s="257"/>
      <c r="AC45" s="250" t="s">
        <v>178</v>
      </c>
      <c r="AD45" s="250"/>
      <c r="AE45" s="337"/>
      <c r="AF45" s="357">
        <f t="shared" si="1"/>
        <v>1345110.7202869204</v>
      </c>
      <c r="AG45" s="252"/>
      <c r="AH45" s="252"/>
      <c r="AI45" s="15"/>
      <c r="AJ45" s="15"/>
    </row>
    <row r="46" spans="1:37" x14ac:dyDescent="0.2">
      <c r="A46" s="253">
        <f t="shared" si="4"/>
        <v>43</v>
      </c>
      <c r="B46" s="254" t="s">
        <v>248</v>
      </c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>
        <v>1000</v>
      </c>
      <c r="P46" s="256">
        <v>400</v>
      </c>
      <c r="Q46" s="256">
        <v>86</v>
      </c>
      <c r="R46" s="256"/>
      <c r="S46" s="256">
        <v>492.7</v>
      </c>
      <c r="T46" s="256"/>
      <c r="U46" s="256"/>
      <c r="V46" s="257"/>
      <c r="W46" s="257"/>
      <c r="X46" s="257"/>
      <c r="Y46" s="257"/>
      <c r="Z46" s="257"/>
      <c r="AA46" s="257"/>
      <c r="AB46" s="257"/>
      <c r="AC46" s="250" t="s">
        <v>178</v>
      </c>
      <c r="AD46" s="250"/>
      <c r="AE46" s="337"/>
      <c r="AF46" s="357">
        <f>SUM(C46:AE46)</f>
        <v>1978.7</v>
      </c>
      <c r="AG46" s="252"/>
      <c r="AH46" s="252"/>
      <c r="AI46" s="15"/>
      <c r="AJ46" s="15"/>
    </row>
    <row r="47" spans="1:37" x14ac:dyDescent="0.2">
      <c r="A47" s="253">
        <f t="shared" si="4"/>
        <v>44</v>
      </c>
      <c r="B47" s="254" t="s">
        <v>84</v>
      </c>
      <c r="C47" s="256"/>
      <c r="D47" s="256">
        <v>38550</v>
      </c>
      <c r="E47" s="256">
        <v>47228</v>
      </c>
      <c r="F47" s="256">
        <v>34264</v>
      </c>
      <c r="G47" s="256">
        <v>6884</v>
      </c>
      <c r="H47" s="256">
        <v>150</v>
      </c>
      <c r="I47" s="256">
        <v>238</v>
      </c>
      <c r="J47" s="256">
        <v>184</v>
      </c>
      <c r="K47" s="256">
        <v>152</v>
      </c>
      <c r="L47" s="256">
        <v>30775</v>
      </c>
      <c r="M47" s="256">
        <v>90228</v>
      </c>
      <c r="N47" s="256">
        <v>14062</v>
      </c>
      <c r="O47" s="256"/>
      <c r="P47" s="256"/>
      <c r="Q47" s="256"/>
      <c r="R47" s="256"/>
      <c r="S47" s="256"/>
      <c r="T47" s="256"/>
      <c r="U47" s="256"/>
      <c r="V47" s="257"/>
      <c r="W47" s="257"/>
      <c r="X47" s="257"/>
      <c r="Y47" s="257"/>
      <c r="Z47" s="257"/>
      <c r="AA47" s="257"/>
      <c r="AB47" s="257"/>
      <c r="AC47" s="250" t="s">
        <v>178</v>
      </c>
      <c r="AD47" s="250"/>
      <c r="AE47" s="337"/>
      <c r="AF47" s="357">
        <f>SUM(C47:AE47)</f>
        <v>262715</v>
      </c>
      <c r="AG47" s="252"/>
      <c r="AH47" s="252"/>
      <c r="AI47" s="15"/>
      <c r="AJ47" s="15"/>
      <c r="AK47" s="15"/>
    </row>
    <row r="48" spans="1:37" x14ac:dyDescent="0.2">
      <c r="A48" s="253">
        <f t="shared" si="4"/>
        <v>45</v>
      </c>
      <c r="B48" s="254" t="s">
        <v>228</v>
      </c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7"/>
      <c r="W48" s="257"/>
      <c r="X48" s="257">
        <v>26022.578557277899</v>
      </c>
      <c r="Y48" s="257">
        <v>2559.9999999999986</v>
      </c>
      <c r="Z48" s="257"/>
      <c r="AA48" s="257"/>
      <c r="AB48" s="257"/>
      <c r="AC48" s="250" t="s">
        <v>178</v>
      </c>
      <c r="AD48" s="250"/>
      <c r="AE48" s="337"/>
      <c r="AF48" s="357">
        <f t="shared" ref="AF48:AF65" si="5">SUM(C48:AE48)</f>
        <v>28582.578557277899</v>
      </c>
      <c r="AG48" s="252"/>
      <c r="AH48" s="252"/>
      <c r="AJ48" s="15"/>
      <c r="AK48" s="15"/>
    </row>
    <row r="49" spans="1:65" x14ac:dyDescent="0.2">
      <c r="A49" s="253">
        <f t="shared" si="4"/>
        <v>46</v>
      </c>
      <c r="B49" s="254" t="s">
        <v>249</v>
      </c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7"/>
      <c r="W49" s="257">
        <v>960</v>
      </c>
      <c r="X49" s="257">
        <v>26022.578557277899</v>
      </c>
      <c r="Y49" s="257"/>
      <c r="Z49" s="257"/>
      <c r="AA49" s="257"/>
      <c r="AB49" s="257"/>
      <c r="AC49" s="250" t="s">
        <v>178</v>
      </c>
      <c r="AD49" s="250"/>
      <c r="AE49" s="337"/>
      <c r="AF49" s="357">
        <f t="shared" si="5"/>
        <v>26982.578557277899</v>
      </c>
      <c r="AG49" s="252"/>
      <c r="AH49" s="252"/>
      <c r="AJ49" s="15"/>
      <c r="AK49" s="15"/>
    </row>
    <row r="50" spans="1:65" x14ac:dyDescent="0.2">
      <c r="A50" s="253">
        <f t="shared" si="4"/>
        <v>47</v>
      </c>
      <c r="B50" s="254" t="s">
        <v>237</v>
      </c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>
        <v>5929</v>
      </c>
      <c r="R50" s="256">
        <v>37867</v>
      </c>
      <c r="S50" s="256">
        <v>2616</v>
      </c>
      <c r="T50" s="256">
        <v>992</v>
      </c>
      <c r="U50" s="256">
        <v>1286</v>
      </c>
      <c r="V50" s="257">
        <v>604.94100000000003</v>
      </c>
      <c r="W50" s="257">
        <v>19991.959999999995</v>
      </c>
      <c r="X50" s="257"/>
      <c r="Y50" s="257"/>
      <c r="Z50" s="257"/>
      <c r="AA50" s="257"/>
      <c r="AB50" s="257"/>
      <c r="AC50" s="250" t="s">
        <v>178</v>
      </c>
      <c r="AD50" s="250"/>
      <c r="AE50" s="337"/>
      <c r="AF50" s="357">
        <f t="shared" si="5"/>
        <v>69286.900999999998</v>
      </c>
      <c r="AG50" s="252"/>
      <c r="AH50" s="252"/>
      <c r="AJ50" s="15"/>
      <c r="AK50" s="15"/>
    </row>
    <row r="51" spans="1:65" x14ac:dyDescent="0.2">
      <c r="A51" s="253">
        <f t="shared" si="4"/>
        <v>48</v>
      </c>
      <c r="B51" s="254" t="s">
        <v>257</v>
      </c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7"/>
      <c r="W51" s="257"/>
      <c r="X51" s="257">
        <v>4669</v>
      </c>
      <c r="Y51" s="257">
        <v>9009.3656599999995</v>
      </c>
      <c r="Z51" s="257">
        <v>2693.6283400000002</v>
      </c>
      <c r="AA51" s="257"/>
      <c r="AB51" s="257"/>
      <c r="AC51" s="250" t="s">
        <v>178</v>
      </c>
      <c r="AD51" s="250"/>
      <c r="AE51" s="337"/>
      <c r="AF51" s="357">
        <f t="shared" si="5"/>
        <v>16371.993999999999</v>
      </c>
      <c r="AG51" s="252"/>
      <c r="AH51" s="252"/>
      <c r="AJ51" s="15"/>
      <c r="AK51" s="15"/>
    </row>
    <row r="52" spans="1:65" ht="26.25" customHeight="1" x14ac:dyDescent="0.2">
      <c r="A52" s="253">
        <f t="shared" si="4"/>
        <v>49</v>
      </c>
      <c r="B52" s="260" t="s">
        <v>85</v>
      </c>
      <c r="C52" s="256"/>
      <c r="D52" s="256"/>
      <c r="E52" s="256"/>
      <c r="F52" s="256">
        <v>792</v>
      </c>
      <c r="G52" s="256">
        <v>25.5</v>
      </c>
      <c r="H52" s="256">
        <v>23</v>
      </c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7"/>
      <c r="W52" s="257"/>
      <c r="X52" s="257"/>
      <c r="Y52" s="257"/>
      <c r="Z52" s="257"/>
      <c r="AA52" s="257"/>
      <c r="AB52" s="257"/>
      <c r="AC52" s="250" t="s">
        <v>178</v>
      </c>
      <c r="AD52" s="250"/>
      <c r="AE52" s="337"/>
      <c r="AF52" s="357">
        <f t="shared" si="5"/>
        <v>840.5</v>
      </c>
      <c r="AG52" s="252"/>
      <c r="AH52" s="252"/>
      <c r="AJ52" s="15"/>
      <c r="AK52" s="15"/>
    </row>
    <row r="53" spans="1:65" x14ac:dyDescent="0.2">
      <c r="A53" s="253">
        <f t="shared" si="4"/>
        <v>50</v>
      </c>
      <c r="B53" s="254" t="s">
        <v>258</v>
      </c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7"/>
      <c r="W53" s="257"/>
      <c r="X53" s="257">
        <v>2777.6</v>
      </c>
      <c r="Y53" s="257"/>
      <c r="Z53" s="257"/>
      <c r="AA53" s="257"/>
      <c r="AB53" s="257"/>
      <c r="AC53" s="250" t="s">
        <v>178</v>
      </c>
      <c r="AD53" s="250"/>
      <c r="AE53" s="337"/>
      <c r="AF53" s="357">
        <f t="shared" si="5"/>
        <v>2777.6</v>
      </c>
      <c r="AG53" s="252"/>
      <c r="AH53" s="252"/>
      <c r="AI53" s="15"/>
    </row>
    <row r="54" spans="1:65" x14ac:dyDescent="0.2">
      <c r="A54" s="253">
        <f t="shared" si="4"/>
        <v>51</v>
      </c>
      <c r="B54" s="254" t="s">
        <v>259</v>
      </c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7"/>
      <c r="W54" s="257"/>
      <c r="X54" s="257">
        <v>918</v>
      </c>
      <c r="Y54" s="257"/>
      <c r="Z54" s="257"/>
      <c r="AA54" s="257"/>
      <c r="AB54" s="257"/>
      <c r="AC54" s="250" t="s">
        <v>178</v>
      </c>
      <c r="AD54" s="250"/>
      <c r="AE54" s="337"/>
      <c r="AF54" s="357">
        <f t="shared" si="5"/>
        <v>918</v>
      </c>
      <c r="AG54" s="252"/>
      <c r="AH54" s="252"/>
      <c r="AI54" s="15"/>
    </row>
    <row r="55" spans="1:65" x14ac:dyDescent="0.2">
      <c r="A55" s="253">
        <f t="shared" si="4"/>
        <v>52</v>
      </c>
      <c r="B55" s="254" t="s">
        <v>86</v>
      </c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>
        <v>718</v>
      </c>
      <c r="T55" s="256">
        <v>776</v>
      </c>
      <c r="U55" s="256">
        <v>1152</v>
      </c>
      <c r="V55" s="257">
        <v>237.93</v>
      </c>
      <c r="W55" s="257"/>
      <c r="X55" s="257"/>
      <c r="Y55" s="257"/>
      <c r="Z55" s="257"/>
      <c r="AA55" s="257">
        <v>7240.7999999999993</v>
      </c>
      <c r="AB55" s="257"/>
      <c r="AC55" s="250" t="s">
        <v>178</v>
      </c>
      <c r="AD55" s="250"/>
      <c r="AE55" s="337"/>
      <c r="AF55" s="357">
        <f t="shared" si="5"/>
        <v>10124.73</v>
      </c>
      <c r="AG55" s="252"/>
      <c r="AH55" s="252"/>
      <c r="AI55" s="15"/>
    </row>
    <row r="56" spans="1:65" x14ac:dyDescent="0.2">
      <c r="A56" s="253">
        <f t="shared" si="4"/>
        <v>53</v>
      </c>
      <c r="B56" s="254" t="s">
        <v>285</v>
      </c>
      <c r="C56" s="256">
        <v>7634.63</v>
      </c>
      <c r="D56" s="256">
        <v>58480.46</v>
      </c>
      <c r="E56" s="256">
        <v>113616.85</v>
      </c>
      <c r="F56" s="256">
        <v>96149.62</v>
      </c>
      <c r="G56" s="256">
        <v>119312.06</v>
      </c>
      <c r="H56" s="256">
        <v>48150</v>
      </c>
      <c r="I56" s="256">
        <v>111</v>
      </c>
      <c r="J56" s="256">
        <v>4915</v>
      </c>
      <c r="K56" s="256">
        <v>5278</v>
      </c>
      <c r="L56" s="256">
        <v>11866</v>
      </c>
      <c r="M56" s="256">
        <v>24818</v>
      </c>
      <c r="N56" s="256">
        <v>94821</v>
      </c>
      <c r="O56" s="256">
        <v>23375</v>
      </c>
      <c r="P56" s="256">
        <v>79556</v>
      </c>
      <c r="Q56" s="256">
        <v>60499</v>
      </c>
      <c r="R56" s="256">
        <v>29495</v>
      </c>
      <c r="S56" s="256">
        <v>30762</v>
      </c>
      <c r="T56" s="256">
        <v>61938</v>
      </c>
      <c r="U56" s="256">
        <v>71594</v>
      </c>
      <c r="V56" s="257">
        <v>46101.700000000004</v>
      </c>
      <c r="W56" s="257">
        <v>49031.362172351386</v>
      </c>
      <c r="X56" s="257">
        <v>21507.899544492888</v>
      </c>
      <c r="Y56" s="257">
        <v>22334.801090162942</v>
      </c>
      <c r="Z56" s="257">
        <v>65217.343939616796</v>
      </c>
      <c r="AA56" s="257"/>
      <c r="AB56" s="257">
        <v>35.84437086092715</v>
      </c>
      <c r="AC56" s="250" t="s">
        <v>178</v>
      </c>
      <c r="AD56" s="250"/>
      <c r="AE56" s="337">
        <v>74951.99482837267</v>
      </c>
      <c r="AF56" s="357">
        <f t="shared" si="5"/>
        <v>1221552.5659458574</v>
      </c>
      <c r="AG56" s="252"/>
      <c r="AH56" s="252"/>
      <c r="AI56" s="15"/>
    </row>
    <row r="57" spans="1:65" x14ac:dyDescent="0.2">
      <c r="A57" s="253">
        <f t="shared" si="4"/>
        <v>54</v>
      </c>
      <c r="B57" s="254" t="s">
        <v>286</v>
      </c>
      <c r="C57" s="256"/>
      <c r="D57" s="256">
        <v>6</v>
      </c>
      <c r="E57" s="256">
        <v>469</v>
      </c>
      <c r="F57" s="256">
        <v>34617</v>
      </c>
      <c r="G57" s="256">
        <v>2336</v>
      </c>
      <c r="H57" s="256">
        <v>7763</v>
      </c>
      <c r="I57" s="256">
        <v>1342</v>
      </c>
      <c r="J57" s="256">
        <v>916</v>
      </c>
      <c r="K57" s="256">
        <v>640</v>
      </c>
      <c r="L57" s="256">
        <v>4602</v>
      </c>
      <c r="M57" s="256">
        <v>6105</v>
      </c>
      <c r="N57" s="256">
        <v>8225</v>
      </c>
      <c r="O57" s="256">
        <v>6774</v>
      </c>
      <c r="P57" s="256">
        <v>1474</v>
      </c>
      <c r="Q57" s="256">
        <v>5769</v>
      </c>
      <c r="R57" s="256">
        <v>1141</v>
      </c>
      <c r="S57" s="256">
        <v>56940.7</v>
      </c>
      <c r="T57" s="256">
        <v>48533</v>
      </c>
      <c r="U57" s="256">
        <v>16923</v>
      </c>
      <c r="V57" s="257">
        <v>5999.9885162753981</v>
      </c>
      <c r="W57" s="257">
        <v>31543.227064137802</v>
      </c>
      <c r="X57" s="257">
        <v>25417.126457183593</v>
      </c>
      <c r="Y57" s="257">
        <v>17269.532462643569</v>
      </c>
      <c r="Z57" s="257">
        <v>6862.3228772728189</v>
      </c>
      <c r="AA57" s="257"/>
      <c r="AB57" s="257">
        <v>10.76158940397351</v>
      </c>
      <c r="AC57" s="250" t="s">
        <v>178</v>
      </c>
      <c r="AD57" s="250"/>
      <c r="AE57" s="337">
        <v>2558.9085751258212</v>
      </c>
      <c r="AF57" s="357">
        <f t="shared" si="5"/>
        <v>294237.56754204299</v>
      </c>
      <c r="AG57" s="252"/>
      <c r="AH57" s="252"/>
      <c r="AI57" s="15"/>
      <c r="AJ57" s="15"/>
      <c r="AL57" s="15"/>
      <c r="AN57" s="261"/>
      <c r="AO57" s="262"/>
      <c r="AP57" s="262"/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</row>
    <row r="58" spans="1:65" x14ac:dyDescent="0.2">
      <c r="A58" s="253">
        <f t="shared" si="4"/>
        <v>55</v>
      </c>
      <c r="B58" s="254" t="s">
        <v>260</v>
      </c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7"/>
      <c r="W58" s="257"/>
      <c r="X58" s="257">
        <v>61105.9</v>
      </c>
      <c r="Y58" s="257">
        <v>269050.25243999995</v>
      </c>
      <c r="Z58" s="257">
        <v>26696.486539999998</v>
      </c>
      <c r="AA58" s="257"/>
      <c r="AB58" s="257"/>
      <c r="AC58" s="250" t="s">
        <v>178</v>
      </c>
      <c r="AD58" s="250">
        <v>175.63580000000002</v>
      </c>
      <c r="AE58" s="337">
        <v>15557.634400000003</v>
      </c>
      <c r="AF58" s="357">
        <f t="shared" si="5"/>
        <v>372585.90917999996</v>
      </c>
      <c r="AG58" s="252"/>
      <c r="AH58" s="252"/>
      <c r="AI58" s="15"/>
      <c r="AJ58" s="15"/>
      <c r="AL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</row>
    <row r="59" spans="1:65" s="101" customFormat="1" x14ac:dyDescent="0.2">
      <c r="A59" s="253">
        <f t="shared" si="4"/>
        <v>56</v>
      </c>
      <c r="B59" s="254" t="s">
        <v>196</v>
      </c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>
        <v>155000</v>
      </c>
      <c r="S59" s="256">
        <v>2532.6999999999998</v>
      </c>
      <c r="T59" s="256">
        <v>941</v>
      </c>
      <c r="U59" s="256"/>
      <c r="V59" s="257">
        <v>55000</v>
      </c>
      <c r="W59" s="257"/>
      <c r="X59" s="257">
        <v>457</v>
      </c>
      <c r="Y59" s="257">
        <v>852</v>
      </c>
      <c r="Z59" s="257">
        <v>306</v>
      </c>
      <c r="AA59" s="257">
        <v>614.999999</v>
      </c>
      <c r="AB59" s="257">
        <v>4317.7</v>
      </c>
      <c r="AC59" s="250" t="s">
        <v>178</v>
      </c>
      <c r="AD59" s="250">
        <v>587.96035999999992</v>
      </c>
      <c r="AE59" s="337">
        <v>207</v>
      </c>
      <c r="AF59" s="357">
        <f t="shared" si="5"/>
        <v>220816.36035900001</v>
      </c>
      <c r="AG59" s="252"/>
      <c r="AH59" s="252"/>
      <c r="AI59" s="263"/>
      <c r="AJ59" s="263"/>
      <c r="AL59" s="263"/>
      <c r="AN59" s="263"/>
      <c r="AO59" s="263"/>
      <c r="AP59" s="263"/>
      <c r="AQ59" s="263"/>
      <c r="AR59" s="263"/>
      <c r="AS59" s="263"/>
      <c r="AT59" s="263"/>
      <c r="AU59" s="263"/>
      <c r="AV59" s="263"/>
      <c r="AW59" s="263"/>
      <c r="AX59" s="263"/>
      <c r="AY59" s="263"/>
      <c r="AZ59" s="263"/>
      <c r="BA59" s="263"/>
      <c r="BB59" s="263"/>
      <c r="BC59" s="263"/>
      <c r="BD59" s="263"/>
      <c r="BE59" s="263"/>
      <c r="BF59" s="263"/>
      <c r="BG59" s="263"/>
      <c r="BH59" s="263"/>
      <c r="BI59" s="263"/>
      <c r="BJ59" s="263"/>
      <c r="BK59" s="263"/>
      <c r="BL59" s="263"/>
      <c r="BM59" s="263"/>
    </row>
    <row r="60" spans="1:65" s="101" customFormat="1" x14ac:dyDescent="0.2">
      <c r="A60" s="253">
        <f t="shared" si="4"/>
        <v>57</v>
      </c>
      <c r="B60" s="254" t="s">
        <v>336</v>
      </c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7"/>
      <c r="W60" s="257"/>
      <c r="X60" s="257"/>
      <c r="Y60" s="257"/>
      <c r="Z60" s="257"/>
      <c r="AA60" s="257"/>
      <c r="AB60" s="257"/>
      <c r="AC60" s="250"/>
      <c r="AD60" s="250"/>
      <c r="AE60" s="337">
        <v>105012</v>
      </c>
      <c r="AF60" s="357">
        <f t="shared" si="5"/>
        <v>105012</v>
      </c>
      <c r="AG60" s="252"/>
      <c r="AH60" s="252"/>
      <c r="AI60" s="263"/>
      <c r="AJ60" s="263"/>
      <c r="AL60" s="263"/>
      <c r="AN60" s="263"/>
      <c r="AO60" s="263"/>
      <c r="AP60" s="263"/>
      <c r="AQ60" s="263"/>
      <c r="AR60" s="263"/>
      <c r="AS60" s="263"/>
      <c r="AT60" s="263"/>
      <c r="AU60" s="263"/>
      <c r="AV60" s="263"/>
      <c r="AW60" s="263"/>
      <c r="AX60" s="263"/>
      <c r="AY60" s="263"/>
      <c r="AZ60" s="263"/>
      <c r="BA60" s="263"/>
      <c r="BB60" s="263"/>
      <c r="BC60" s="263"/>
      <c r="BD60" s="263"/>
      <c r="BE60" s="263"/>
      <c r="BF60" s="263"/>
      <c r="BG60" s="263"/>
      <c r="BH60" s="263"/>
      <c r="BI60" s="263"/>
      <c r="BJ60" s="263"/>
      <c r="BK60" s="263"/>
      <c r="BL60" s="263"/>
      <c r="BM60" s="263"/>
    </row>
    <row r="61" spans="1:65" s="101" customFormat="1" x14ac:dyDescent="0.2">
      <c r="A61" s="253">
        <f t="shared" si="4"/>
        <v>58</v>
      </c>
      <c r="B61" s="254" t="s">
        <v>337</v>
      </c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7"/>
      <c r="W61" s="257"/>
      <c r="X61" s="257"/>
      <c r="Y61" s="257"/>
      <c r="Z61" s="257"/>
      <c r="AA61" s="257"/>
      <c r="AB61" s="257"/>
      <c r="AC61" s="250"/>
      <c r="AD61" s="250"/>
      <c r="AE61" s="337">
        <v>2732.498</v>
      </c>
      <c r="AF61" s="357">
        <f t="shared" si="5"/>
        <v>2732.498</v>
      </c>
      <c r="AG61" s="252"/>
      <c r="AH61" s="252"/>
      <c r="AI61" s="263"/>
      <c r="AJ61" s="263"/>
      <c r="AL61" s="263"/>
      <c r="AN61" s="263"/>
      <c r="AO61" s="263"/>
      <c r="AP61" s="263"/>
      <c r="AQ61" s="263"/>
      <c r="AR61" s="263"/>
      <c r="AS61" s="263"/>
      <c r="AT61" s="263"/>
      <c r="AU61" s="263"/>
      <c r="AV61" s="263"/>
      <c r="AW61" s="263"/>
      <c r="AX61" s="263"/>
      <c r="AY61" s="263"/>
      <c r="AZ61" s="263"/>
      <c r="BA61" s="263"/>
      <c r="BB61" s="263"/>
      <c r="BC61" s="263"/>
      <c r="BD61" s="263"/>
      <c r="BE61" s="263"/>
      <c r="BF61" s="263"/>
      <c r="BG61" s="263"/>
      <c r="BH61" s="263"/>
      <c r="BI61" s="263"/>
      <c r="BJ61" s="263"/>
      <c r="BK61" s="263"/>
      <c r="BL61" s="263"/>
      <c r="BM61" s="263"/>
    </row>
    <row r="62" spans="1:65" s="101" customFormat="1" x14ac:dyDescent="0.2">
      <c r="A62" s="253">
        <f t="shared" si="4"/>
        <v>59</v>
      </c>
      <c r="B62" s="254" t="s">
        <v>287</v>
      </c>
      <c r="C62" s="256"/>
      <c r="D62" s="256"/>
      <c r="E62" s="256">
        <v>32416.105</v>
      </c>
      <c r="F62" s="256">
        <v>37156.508000000002</v>
      </c>
      <c r="G62" s="256">
        <v>104710.859</v>
      </c>
      <c r="H62" s="256">
        <v>86324</v>
      </c>
      <c r="I62" s="256">
        <v>970</v>
      </c>
      <c r="J62" s="256">
        <v>5090</v>
      </c>
      <c r="K62" s="256">
        <v>2433</v>
      </c>
      <c r="L62" s="256">
        <v>34608</v>
      </c>
      <c r="M62" s="256">
        <v>11653</v>
      </c>
      <c r="N62" s="256">
        <v>56770</v>
      </c>
      <c r="O62" s="256">
        <v>78712</v>
      </c>
      <c r="P62" s="256">
        <v>69851</v>
      </c>
      <c r="Q62" s="256">
        <v>33109</v>
      </c>
      <c r="R62" s="256">
        <v>88781</v>
      </c>
      <c r="S62" s="256">
        <v>270138</v>
      </c>
      <c r="T62" s="256">
        <v>490574</v>
      </c>
      <c r="U62" s="256">
        <v>206693</v>
      </c>
      <c r="V62" s="257">
        <v>281064.61238999997</v>
      </c>
      <c r="W62" s="257">
        <v>339247.83916999999</v>
      </c>
      <c r="X62" s="257">
        <v>181556.54718999992</v>
      </c>
      <c r="Y62" s="257">
        <v>72452.357835136892</v>
      </c>
      <c r="Z62" s="257">
        <v>4492.6942200000003</v>
      </c>
      <c r="AA62" s="257">
        <v>31305.253199999963</v>
      </c>
      <c r="AB62" s="257">
        <v>19018.400000000001</v>
      </c>
      <c r="AC62" s="250">
        <v>102684.2</v>
      </c>
      <c r="AD62" s="250">
        <v>362752.32000000007</v>
      </c>
      <c r="AE62" s="337">
        <v>97124.54</v>
      </c>
      <c r="AF62" s="357">
        <f t="shared" si="5"/>
        <v>3101688.2360051367</v>
      </c>
      <c r="AG62" s="252"/>
      <c r="AH62" s="252"/>
      <c r="AI62" s="263"/>
      <c r="AJ62" s="263"/>
      <c r="AL62" s="263"/>
      <c r="AN62" s="263"/>
      <c r="AO62" s="263"/>
      <c r="AP62" s="263"/>
      <c r="AQ62" s="263"/>
      <c r="AR62" s="263"/>
      <c r="AS62" s="263"/>
      <c r="AT62" s="263"/>
      <c r="AU62" s="263"/>
      <c r="AV62" s="263"/>
      <c r="AW62" s="263"/>
      <c r="AX62" s="263"/>
      <c r="AY62" s="263"/>
      <c r="AZ62" s="263"/>
      <c r="BA62" s="263"/>
      <c r="BB62" s="263"/>
      <c r="BC62" s="263"/>
      <c r="BD62" s="263"/>
      <c r="BE62" s="263"/>
      <c r="BF62" s="263"/>
      <c r="BG62" s="263"/>
      <c r="BH62" s="263"/>
      <c r="BI62" s="263"/>
      <c r="BJ62" s="263"/>
      <c r="BK62" s="263"/>
      <c r="BL62" s="263"/>
      <c r="BM62" s="263"/>
    </row>
    <row r="63" spans="1:65" s="101" customFormat="1" x14ac:dyDescent="0.2">
      <c r="A63" s="253">
        <f t="shared" si="4"/>
        <v>60</v>
      </c>
      <c r="B63" s="254" t="s">
        <v>238</v>
      </c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>
        <v>7483</v>
      </c>
      <c r="R63" s="256">
        <v>33759</v>
      </c>
      <c r="S63" s="256">
        <v>328925</v>
      </c>
      <c r="T63" s="256">
        <v>195512</v>
      </c>
      <c r="U63" s="256">
        <v>185271</v>
      </c>
      <c r="V63" s="257">
        <v>7741</v>
      </c>
      <c r="W63" s="257">
        <v>2415</v>
      </c>
      <c r="X63" s="257">
        <v>5463</v>
      </c>
      <c r="Y63" s="257">
        <v>5800</v>
      </c>
      <c r="Z63" s="257"/>
      <c r="AA63" s="257">
        <v>31370</v>
      </c>
      <c r="AB63" s="257">
        <v>8057.3</v>
      </c>
      <c r="AC63" s="250">
        <v>6251</v>
      </c>
      <c r="AD63" s="250">
        <v>13133.98</v>
      </c>
      <c r="AE63" s="337">
        <v>3368.9630599998709</v>
      </c>
      <c r="AF63" s="357">
        <f t="shared" si="5"/>
        <v>834550.24305999989</v>
      </c>
      <c r="AG63" s="252"/>
      <c r="AH63" s="252"/>
      <c r="AI63" s="263"/>
      <c r="AJ63" s="263"/>
      <c r="AL63" s="263"/>
      <c r="AN63" s="263"/>
      <c r="AO63" s="263"/>
      <c r="AP63" s="263"/>
      <c r="AQ63" s="263"/>
      <c r="AR63" s="263"/>
      <c r="AS63" s="263"/>
      <c r="AT63" s="263"/>
      <c r="AU63" s="263"/>
      <c r="AV63" s="263"/>
      <c r="AW63" s="263"/>
      <c r="AX63" s="263"/>
      <c r="AY63" s="263"/>
      <c r="AZ63" s="263"/>
      <c r="BA63" s="263"/>
      <c r="BB63" s="263"/>
      <c r="BC63" s="263"/>
      <c r="BD63" s="263"/>
      <c r="BE63" s="263"/>
      <c r="BF63" s="263"/>
      <c r="BG63" s="263"/>
      <c r="BH63" s="263"/>
      <c r="BI63" s="263"/>
      <c r="BJ63" s="263"/>
      <c r="BK63" s="263"/>
      <c r="BL63" s="263"/>
      <c r="BM63" s="263"/>
    </row>
    <row r="64" spans="1:65" x14ac:dyDescent="0.2">
      <c r="A64" s="253">
        <f t="shared" si="4"/>
        <v>61</v>
      </c>
      <c r="B64" s="254" t="s">
        <v>239</v>
      </c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7"/>
      <c r="W64" s="257">
        <v>1719</v>
      </c>
      <c r="X64" s="257">
        <v>2069.3806800000002</v>
      </c>
      <c r="Y64" s="257"/>
      <c r="Z64" s="257"/>
      <c r="AA64" s="257">
        <v>8571.6959999999999</v>
      </c>
      <c r="AB64" s="257"/>
      <c r="AC64" s="250" t="s">
        <v>178</v>
      </c>
      <c r="AD64" s="250"/>
      <c r="AE64" s="337"/>
      <c r="AF64" s="357">
        <f t="shared" si="5"/>
        <v>12360.07668</v>
      </c>
      <c r="AG64" s="252"/>
      <c r="AH64" s="252"/>
      <c r="AI64" s="15"/>
      <c r="AJ64" s="15"/>
      <c r="AL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</row>
    <row r="65" spans="1:65" x14ac:dyDescent="0.2">
      <c r="A65" s="253">
        <f t="shared" si="4"/>
        <v>62</v>
      </c>
      <c r="B65" s="254" t="s">
        <v>240</v>
      </c>
      <c r="C65" s="256"/>
      <c r="D65" s="256"/>
      <c r="E65" s="256"/>
      <c r="F65" s="256"/>
      <c r="G65" s="256">
        <v>0</v>
      </c>
      <c r="H65" s="256"/>
      <c r="I65" s="256"/>
      <c r="J65" s="256"/>
      <c r="K65" s="256"/>
      <c r="L65" s="256"/>
      <c r="M65" s="256"/>
      <c r="N65" s="256"/>
      <c r="O65" s="256"/>
      <c r="P65" s="256"/>
      <c r="Q65" s="256">
        <v>1246</v>
      </c>
      <c r="R65" s="256">
        <v>4106</v>
      </c>
      <c r="S65" s="256"/>
      <c r="T65" s="256"/>
      <c r="U65" s="256"/>
      <c r="V65" s="257"/>
      <c r="W65" s="257">
        <v>1545</v>
      </c>
      <c r="X65" s="257">
        <v>7825.1</v>
      </c>
      <c r="Y65" s="257"/>
      <c r="Z65" s="257"/>
      <c r="AA65" s="257"/>
      <c r="AB65" s="257"/>
      <c r="AC65" s="250" t="s">
        <v>178</v>
      </c>
      <c r="AD65" s="250"/>
      <c r="AE65" s="337"/>
      <c r="AF65" s="357">
        <f t="shared" si="5"/>
        <v>14722.1</v>
      </c>
      <c r="AG65" s="252"/>
      <c r="AH65" s="252"/>
      <c r="AI65" s="15"/>
      <c r="AJ65" s="15"/>
      <c r="AL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</row>
    <row r="66" spans="1:65" x14ac:dyDescent="0.2">
      <c r="A66" s="253">
        <f t="shared" si="4"/>
        <v>63</v>
      </c>
      <c r="B66" s="254" t="s">
        <v>241</v>
      </c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>
        <v>9650</v>
      </c>
      <c r="S66" s="256">
        <v>6479.3</v>
      </c>
      <c r="T66" s="256">
        <v>4542</v>
      </c>
      <c r="U66" s="256"/>
      <c r="V66" s="257"/>
      <c r="W66" s="257">
        <v>9025</v>
      </c>
      <c r="X66" s="257">
        <v>22758.138469000001</v>
      </c>
      <c r="Y66" s="257">
        <v>23606.024999999998</v>
      </c>
      <c r="Z66" s="257">
        <v>7588.1874999999982</v>
      </c>
      <c r="AA66" s="257"/>
      <c r="AB66" s="257"/>
      <c r="AC66" s="250" t="s">
        <v>178</v>
      </c>
      <c r="AD66" s="250"/>
      <c r="AE66" s="337"/>
      <c r="AF66" s="357">
        <f>SUM(C66:AE66)</f>
        <v>83648.650968999995</v>
      </c>
      <c r="AG66" s="252"/>
      <c r="AH66" s="252"/>
      <c r="AI66" s="15"/>
      <c r="AJ66" s="15"/>
      <c r="AL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</row>
    <row r="67" spans="1:65" x14ac:dyDescent="0.2">
      <c r="A67" s="253">
        <f t="shared" si="4"/>
        <v>64</v>
      </c>
      <c r="B67" s="254" t="s">
        <v>212</v>
      </c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7"/>
      <c r="W67" s="257">
        <v>4255</v>
      </c>
      <c r="X67" s="257">
        <v>33228</v>
      </c>
      <c r="Y67" s="257">
        <v>46020.000000000015</v>
      </c>
      <c r="Z67" s="257"/>
      <c r="AA67" s="257"/>
      <c r="AB67" s="257"/>
      <c r="AC67" s="250" t="s">
        <v>178</v>
      </c>
      <c r="AD67" s="250"/>
      <c r="AE67" s="337"/>
      <c r="AF67" s="357">
        <f>SUM(C67:AE67)</f>
        <v>83503.000000000015</v>
      </c>
      <c r="AG67" s="252"/>
      <c r="AH67" s="252"/>
      <c r="AI67" s="15"/>
      <c r="AJ67" s="15"/>
      <c r="AL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</row>
    <row r="68" spans="1:65" x14ac:dyDescent="0.2">
      <c r="A68" s="253">
        <f t="shared" si="4"/>
        <v>65</v>
      </c>
      <c r="B68" s="254" t="s">
        <v>265</v>
      </c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>
        <v>48894</v>
      </c>
      <c r="O68" s="256">
        <v>16022</v>
      </c>
      <c r="P68" s="258" t="s">
        <v>74</v>
      </c>
      <c r="Q68" s="258" t="s">
        <v>74</v>
      </c>
      <c r="R68" s="258" t="s">
        <v>74</v>
      </c>
      <c r="S68" s="258" t="s">
        <v>74</v>
      </c>
      <c r="T68" s="258" t="s">
        <v>74</v>
      </c>
      <c r="U68" s="258" t="s">
        <v>74</v>
      </c>
      <c r="V68" s="259"/>
      <c r="W68" s="259"/>
      <c r="X68" s="259"/>
      <c r="Y68" s="259"/>
      <c r="Z68" s="259"/>
      <c r="AA68" s="259"/>
      <c r="AB68" s="259"/>
      <c r="AC68" s="250" t="s">
        <v>178</v>
      </c>
      <c r="AD68" s="250"/>
      <c r="AE68" s="337"/>
      <c r="AF68" s="357">
        <f t="shared" ref="AF68:AF93" si="6">SUM(C68:AE68)</f>
        <v>64916</v>
      </c>
      <c r="AG68" s="252"/>
      <c r="AH68" s="252"/>
      <c r="AI68" s="15"/>
      <c r="AJ68" s="15"/>
      <c r="AL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</row>
    <row r="69" spans="1:65" x14ac:dyDescent="0.2">
      <c r="A69" s="253">
        <f t="shared" si="4"/>
        <v>66</v>
      </c>
      <c r="B69" s="254" t="s">
        <v>261</v>
      </c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7"/>
      <c r="W69" s="257"/>
      <c r="X69" s="257">
        <v>134.19999999999999</v>
      </c>
      <c r="Y69" s="257">
        <v>184.42000000000002</v>
      </c>
      <c r="Z69" s="257">
        <v>108.47999999999999</v>
      </c>
      <c r="AA69" s="257">
        <v>272.5</v>
      </c>
      <c r="AB69" s="257">
        <v>12516</v>
      </c>
      <c r="AC69" s="250" t="s">
        <v>178</v>
      </c>
      <c r="AD69" s="250"/>
      <c r="AE69" s="337"/>
      <c r="AF69" s="357">
        <f t="shared" si="6"/>
        <v>13215.6</v>
      </c>
      <c r="AG69" s="252"/>
      <c r="AH69" s="252"/>
      <c r="AI69" s="15"/>
      <c r="AJ69" s="15"/>
      <c r="AL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</row>
    <row r="70" spans="1:65" x14ac:dyDescent="0.2">
      <c r="A70" s="253">
        <f t="shared" si="4"/>
        <v>67</v>
      </c>
      <c r="B70" s="254" t="s">
        <v>262</v>
      </c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7"/>
      <c r="W70" s="257"/>
      <c r="X70" s="257">
        <v>133.80000000000001</v>
      </c>
      <c r="Y70" s="257">
        <v>184.42000000000002</v>
      </c>
      <c r="Z70" s="257">
        <v>108.46000000000001</v>
      </c>
      <c r="AA70" s="257">
        <v>305.89999999999998</v>
      </c>
      <c r="AB70" s="257">
        <v>12516</v>
      </c>
      <c r="AC70" s="250" t="s">
        <v>178</v>
      </c>
      <c r="AD70" s="250"/>
      <c r="AE70" s="337"/>
      <c r="AF70" s="357">
        <f t="shared" si="6"/>
        <v>13248.58</v>
      </c>
      <c r="AG70" s="252"/>
      <c r="AH70" s="252"/>
      <c r="AI70" s="15"/>
      <c r="AJ70" s="15"/>
      <c r="AL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</row>
    <row r="71" spans="1:65" x14ac:dyDescent="0.2">
      <c r="A71" s="253">
        <f t="shared" si="4"/>
        <v>68</v>
      </c>
      <c r="B71" s="254" t="s">
        <v>242</v>
      </c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>
        <v>716</v>
      </c>
      <c r="T71" s="256"/>
      <c r="U71" s="256"/>
      <c r="V71" s="257"/>
      <c r="W71" s="257"/>
      <c r="X71" s="257">
        <v>0</v>
      </c>
      <c r="Y71" s="257"/>
      <c r="Z71" s="257">
        <v>1741.549</v>
      </c>
      <c r="AA71" s="257"/>
      <c r="AB71" s="257"/>
      <c r="AC71" s="250" t="s">
        <v>178</v>
      </c>
      <c r="AD71" s="250"/>
      <c r="AE71" s="337"/>
      <c r="AF71" s="357">
        <f t="shared" si="6"/>
        <v>2457.549</v>
      </c>
      <c r="AG71" s="252"/>
      <c r="AH71" s="252"/>
      <c r="AI71" s="15"/>
      <c r="AJ71" s="15"/>
      <c r="AL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</row>
    <row r="72" spans="1:65" x14ac:dyDescent="0.2">
      <c r="A72" s="253">
        <f t="shared" si="4"/>
        <v>69</v>
      </c>
      <c r="B72" s="254" t="s">
        <v>243</v>
      </c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>
        <v>739</v>
      </c>
      <c r="T72" s="256"/>
      <c r="U72" s="256"/>
      <c r="V72" s="257"/>
      <c r="W72" s="257"/>
      <c r="X72" s="257">
        <v>0</v>
      </c>
      <c r="Y72" s="257"/>
      <c r="Z72" s="257">
        <v>3320.2550000000001</v>
      </c>
      <c r="AA72" s="257"/>
      <c r="AB72" s="257"/>
      <c r="AC72" s="250" t="s">
        <v>178</v>
      </c>
      <c r="AD72" s="250"/>
      <c r="AE72" s="337"/>
      <c r="AF72" s="357">
        <f t="shared" si="6"/>
        <v>4059.2550000000001</v>
      </c>
      <c r="AG72" s="252"/>
      <c r="AH72" s="252"/>
      <c r="AI72" s="15"/>
      <c r="AJ72" s="15"/>
      <c r="AL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</row>
    <row r="73" spans="1:65" x14ac:dyDescent="0.2">
      <c r="A73" s="253">
        <f t="shared" si="4"/>
        <v>70</v>
      </c>
      <c r="B73" s="254" t="s">
        <v>143</v>
      </c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>
        <v>708</v>
      </c>
      <c r="S73" s="256">
        <v>5490</v>
      </c>
      <c r="T73" s="256"/>
      <c r="U73" s="256"/>
      <c r="V73" s="257"/>
      <c r="W73" s="257"/>
      <c r="X73" s="257">
        <v>0</v>
      </c>
      <c r="Y73" s="257"/>
      <c r="Z73" s="257"/>
      <c r="AA73" s="257"/>
      <c r="AB73" s="257"/>
      <c r="AC73" s="250" t="s">
        <v>178</v>
      </c>
      <c r="AD73" s="250"/>
      <c r="AE73" s="337"/>
      <c r="AF73" s="357">
        <f t="shared" si="6"/>
        <v>6198</v>
      </c>
      <c r="AG73" s="252"/>
      <c r="AH73" s="252"/>
      <c r="AI73" s="15"/>
      <c r="AJ73" s="15"/>
      <c r="AL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</row>
    <row r="74" spans="1:65" x14ac:dyDescent="0.2">
      <c r="A74" s="264">
        <f t="shared" si="4"/>
        <v>71</v>
      </c>
      <c r="B74" s="254" t="s">
        <v>143</v>
      </c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>
        <v>844</v>
      </c>
      <c r="U74" s="256"/>
      <c r="V74" s="257"/>
      <c r="W74" s="257"/>
      <c r="X74" s="257"/>
      <c r="Y74" s="257"/>
      <c r="Z74" s="257"/>
      <c r="AA74" s="257"/>
      <c r="AB74" s="257"/>
      <c r="AC74" s="250" t="s">
        <v>178</v>
      </c>
      <c r="AD74" s="250"/>
      <c r="AE74" s="337"/>
      <c r="AF74" s="357">
        <f t="shared" si="6"/>
        <v>844</v>
      </c>
      <c r="AG74" s="252"/>
      <c r="AH74" s="252"/>
      <c r="AI74" s="15"/>
      <c r="AJ74" s="15"/>
      <c r="AL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</row>
    <row r="75" spans="1:65" x14ac:dyDescent="0.2">
      <c r="A75" s="264">
        <f t="shared" si="4"/>
        <v>72</v>
      </c>
      <c r="B75" s="254" t="s">
        <v>250</v>
      </c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7">
        <v>1020</v>
      </c>
      <c r="X75" s="257">
        <v>602</v>
      </c>
      <c r="Y75" s="257"/>
      <c r="Z75" s="257"/>
      <c r="AA75" s="257"/>
      <c r="AB75" s="257"/>
      <c r="AC75" s="250" t="s">
        <v>178</v>
      </c>
      <c r="AD75" s="250"/>
      <c r="AE75" s="337"/>
      <c r="AF75" s="357">
        <f t="shared" si="6"/>
        <v>1622</v>
      </c>
      <c r="AG75" s="252"/>
      <c r="AH75" s="252"/>
      <c r="AI75" s="15"/>
      <c r="AJ75" s="15"/>
      <c r="AL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</row>
    <row r="76" spans="1:65" x14ac:dyDescent="0.2">
      <c r="A76" s="253">
        <f t="shared" si="4"/>
        <v>73</v>
      </c>
      <c r="B76" s="254" t="s">
        <v>263</v>
      </c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7"/>
      <c r="W76" s="257"/>
      <c r="X76" s="257">
        <v>2007</v>
      </c>
      <c r="Y76" s="257">
        <v>508.97</v>
      </c>
      <c r="Z76" s="257"/>
      <c r="AA76" s="257"/>
      <c r="AB76" s="257"/>
      <c r="AC76" s="250" t="s">
        <v>178</v>
      </c>
      <c r="AD76" s="250"/>
      <c r="AE76" s="337"/>
      <c r="AF76" s="357">
        <f t="shared" si="6"/>
        <v>2515.9700000000003</v>
      </c>
      <c r="AG76" s="252"/>
      <c r="AH76" s="252"/>
      <c r="AI76" s="15"/>
      <c r="AJ76" s="15"/>
      <c r="AL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</row>
    <row r="77" spans="1:65" x14ac:dyDescent="0.2">
      <c r="A77" s="253">
        <f t="shared" si="4"/>
        <v>74</v>
      </c>
      <c r="B77" s="254" t="s">
        <v>309</v>
      </c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7"/>
      <c r="W77" s="257">
        <v>50000</v>
      </c>
      <c r="X77" s="257">
        <v>41944</v>
      </c>
      <c r="Y77" s="257">
        <v>4280.0000000000036</v>
      </c>
      <c r="Z77" s="257"/>
      <c r="AA77" s="257"/>
      <c r="AB77" s="257"/>
      <c r="AC77" s="250">
        <v>58</v>
      </c>
      <c r="AD77" s="250">
        <v>403.4</v>
      </c>
      <c r="AE77" s="337">
        <v>375.8</v>
      </c>
      <c r="AF77" s="357">
        <f t="shared" si="6"/>
        <v>97061.2</v>
      </c>
      <c r="AG77" s="252"/>
      <c r="AH77" s="252"/>
      <c r="AI77" s="15"/>
      <c r="AJ77" s="15"/>
      <c r="AL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</row>
    <row r="78" spans="1:65" x14ac:dyDescent="0.2">
      <c r="A78" s="253">
        <f t="shared" si="4"/>
        <v>75</v>
      </c>
      <c r="B78" s="265" t="s">
        <v>244</v>
      </c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6"/>
      <c r="N78" s="266"/>
      <c r="O78" s="266"/>
      <c r="P78" s="266"/>
      <c r="Q78" s="266"/>
      <c r="R78" s="266">
        <v>20893</v>
      </c>
      <c r="S78" s="266">
        <v>19567</v>
      </c>
      <c r="T78" s="266">
        <v>6547.3604500000001</v>
      </c>
      <c r="U78" s="266"/>
      <c r="V78" s="267"/>
      <c r="W78" s="267"/>
      <c r="X78" s="267"/>
      <c r="Y78" s="267"/>
      <c r="Z78" s="267"/>
      <c r="AA78" s="267"/>
      <c r="AB78" s="267">
        <v>220.60000000000002</v>
      </c>
      <c r="AC78" s="250" t="s">
        <v>178</v>
      </c>
      <c r="AD78" s="250"/>
      <c r="AE78" s="337"/>
      <c r="AF78" s="357">
        <f t="shared" si="6"/>
        <v>47227.960449999999</v>
      </c>
      <c r="AG78" s="252"/>
      <c r="AH78" s="252"/>
      <c r="AI78" s="15"/>
      <c r="AJ78" s="15"/>
      <c r="AL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</row>
    <row r="79" spans="1:65" x14ac:dyDescent="0.2">
      <c r="A79" s="253">
        <f t="shared" si="4"/>
        <v>76</v>
      </c>
      <c r="B79" s="254" t="s">
        <v>144</v>
      </c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>
        <v>28</v>
      </c>
      <c r="U79" s="256"/>
      <c r="V79" s="257"/>
      <c r="W79" s="257"/>
      <c r="X79" s="257"/>
      <c r="Y79" s="257"/>
      <c r="Z79" s="257"/>
      <c r="AA79" s="257"/>
      <c r="AB79" s="257"/>
      <c r="AC79" s="250" t="s">
        <v>178</v>
      </c>
      <c r="AD79" s="250"/>
      <c r="AE79" s="337"/>
      <c r="AF79" s="357">
        <f t="shared" si="6"/>
        <v>28</v>
      </c>
      <c r="AG79" s="252"/>
      <c r="AH79" s="252"/>
      <c r="AI79" s="15"/>
      <c r="AJ79" s="15"/>
      <c r="AL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</row>
    <row r="80" spans="1:65" ht="12" customHeight="1" x14ac:dyDescent="0.2">
      <c r="A80" s="253">
        <f t="shared" si="4"/>
        <v>77</v>
      </c>
      <c r="B80" s="254" t="s">
        <v>213</v>
      </c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7"/>
      <c r="W80" s="257">
        <v>2760</v>
      </c>
      <c r="X80" s="257">
        <v>16284</v>
      </c>
      <c r="Y80" s="257">
        <v>275.10000000000025</v>
      </c>
      <c r="Z80" s="257">
        <v>5474.9999999999991</v>
      </c>
      <c r="AA80" s="257"/>
      <c r="AB80" s="257"/>
      <c r="AC80" s="250" t="s">
        <v>178</v>
      </c>
      <c r="AD80" s="250"/>
      <c r="AE80" s="337"/>
      <c r="AF80" s="357">
        <f t="shared" si="6"/>
        <v>24794.1</v>
      </c>
      <c r="AG80" s="252"/>
      <c r="AH80" s="252"/>
      <c r="AI80" s="15"/>
      <c r="AJ80" s="15"/>
      <c r="AL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</row>
    <row r="81" spans="1:65" x14ac:dyDescent="0.2">
      <c r="A81" s="253">
        <f t="shared" si="4"/>
        <v>78</v>
      </c>
      <c r="B81" s="254" t="s">
        <v>288</v>
      </c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7"/>
      <c r="W81" s="257"/>
      <c r="X81" s="257"/>
      <c r="Y81" s="257">
        <v>19444.102207862143</v>
      </c>
      <c r="Z81" s="257">
        <v>29599.587249999997</v>
      </c>
      <c r="AA81" s="257">
        <v>82028.830159688179</v>
      </c>
      <c r="AB81" s="257"/>
      <c r="AC81" s="250" t="s">
        <v>178</v>
      </c>
      <c r="AD81" s="250"/>
      <c r="AE81" s="337"/>
      <c r="AF81" s="357">
        <f t="shared" si="6"/>
        <v>131072.51961755031</v>
      </c>
      <c r="AG81" s="252"/>
      <c r="AH81" s="252"/>
      <c r="AI81" s="15"/>
      <c r="AJ81" s="15"/>
      <c r="AL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</row>
    <row r="82" spans="1:65" x14ac:dyDescent="0.2">
      <c r="A82" s="253">
        <f t="shared" si="4"/>
        <v>79</v>
      </c>
      <c r="B82" s="254" t="s">
        <v>87</v>
      </c>
      <c r="C82" s="256"/>
      <c r="D82" s="256"/>
      <c r="E82" s="256"/>
      <c r="F82" s="256">
        <v>156</v>
      </c>
      <c r="G82" s="256">
        <v>244</v>
      </c>
      <c r="H82" s="256">
        <v>300</v>
      </c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7"/>
      <c r="W82" s="257"/>
      <c r="X82" s="257"/>
      <c r="Y82" s="257"/>
      <c r="Z82" s="257"/>
      <c r="AA82" s="257"/>
      <c r="AB82" s="257"/>
      <c r="AC82" s="250" t="s">
        <v>178</v>
      </c>
      <c r="AD82" s="250"/>
      <c r="AE82" s="337"/>
      <c r="AF82" s="357">
        <f t="shared" si="6"/>
        <v>700</v>
      </c>
      <c r="AG82" s="252"/>
      <c r="AH82" s="252"/>
      <c r="AI82" s="15"/>
      <c r="AJ82" s="15"/>
      <c r="AL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</row>
    <row r="83" spans="1:65" x14ac:dyDescent="0.2">
      <c r="A83" s="253">
        <f t="shared" ref="A83:A90" si="7">+A82+1</f>
        <v>80</v>
      </c>
      <c r="B83" s="254" t="s">
        <v>214</v>
      </c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7"/>
      <c r="W83" s="257">
        <v>824.4</v>
      </c>
      <c r="X83" s="257">
        <v>5910</v>
      </c>
      <c r="Y83" s="257"/>
      <c r="Z83" s="257"/>
      <c r="AA83" s="257"/>
      <c r="AB83" s="257"/>
      <c r="AC83" s="250" t="s">
        <v>178</v>
      </c>
      <c r="AD83" s="250"/>
      <c r="AE83" s="337"/>
      <c r="AF83" s="357">
        <f t="shared" si="6"/>
        <v>6734.4</v>
      </c>
      <c r="AG83" s="252"/>
      <c r="AH83" s="252"/>
      <c r="AI83" s="15"/>
      <c r="AJ83" s="15"/>
      <c r="AL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</row>
    <row r="84" spans="1:65" x14ac:dyDescent="0.2">
      <c r="A84" s="253">
        <f t="shared" si="7"/>
        <v>81</v>
      </c>
      <c r="B84" s="254" t="s">
        <v>310</v>
      </c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7"/>
      <c r="W84" s="257"/>
      <c r="X84" s="257"/>
      <c r="Y84" s="257"/>
      <c r="Z84" s="257"/>
      <c r="AA84" s="257"/>
      <c r="AB84" s="257">
        <v>1013.4</v>
      </c>
      <c r="AC84" s="250">
        <v>472</v>
      </c>
      <c r="AD84" s="250">
        <v>1126.2</v>
      </c>
      <c r="AE84" s="337">
        <v>1940.7</v>
      </c>
      <c r="AF84" s="357">
        <f t="shared" si="6"/>
        <v>4552.3</v>
      </c>
      <c r="AG84" s="252"/>
      <c r="AH84" s="252"/>
      <c r="AI84" s="15"/>
      <c r="AJ84" s="15"/>
      <c r="AL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</row>
    <row r="85" spans="1:65" x14ac:dyDescent="0.2">
      <c r="A85" s="253">
        <f t="shared" si="7"/>
        <v>82</v>
      </c>
      <c r="B85" s="254" t="s">
        <v>245</v>
      </c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>
        <v>103037</v>
      </c>
      <c r="Q85" s="256">
        <v>91026</v>
      </c>
      <c r="R85" s="256">
        <v>76529</v>
      </c>
      <c r="S85" s="256">
        <v>197258</v>
      </c>
      <c r="T85" s="256">
        <v>59670</v>
      </c>
      <c r="U85" s="256">
        <v>114000</v>
      </c>
      <c r="V85" s="257">
        <v>122256.727</v>
      </c>
      <c r="W85" s="257">
        <v>2264.2274436090229</v>
      </c>
      <c r="X85" s="257"/>
      <c r="Y85" s="257">
        <v>27000</v>
      </c>
      <c r="Z85" s="257">
        <v>27000</v>
      </c>
      <c r="AA85" s="257"/>
      <c r="AB85" s="257">
        <v>22646</v>
      </c>
      <c r="AC85" s="250" t="s">
        <v>178</v>
      </c>
      <c r="AD85" s="250">
        <v>187186.00000000003</v>
      </c>
      <c r="AE85" s="337">
        <v>23988</v>
      </c>
      <c r="AF85" s="357">
        <f t="shared" si="6"/>
        <v>1053860.9544436089</v>
      </c>
      <c r="AG85" s="252"/>
      <c r="AH85" s="252"/>
      <c r="AI85" s="15"/>
      <c r="AJ85" s="15"/>
      <c r="AL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</row>
    <row r="86" spans="1:65" x14ac:dyDescent="0.2">
      <c r="A86" s="253">
        <f t="shared" si="7"/>
        <v>83</v>
      </c>
      <c r="B86" s="254" t="s">
        <v>229</v>
      </c>
      <c r="C86" s="256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>
        <v>1388</v>
      </c>
      <c r="V86" s="257">
        <v>5203</v>
      </c>
      <c r="W86" s="257">
        <v>44895.467218748592</v>
      </c>
      <c r="X86" s="257">
        <v>64604.209854666311</v>
      </c>
      <c r="Y86" s="257">
        <v>30038.740066641618</v>
      </c>
      <c r="Z86" s="257">
        <v>4211.9999999999882</v>
      </c>
      <c r="AA86" s="257">
        <v>5364.0000000000064</v>
      </c>
      <c r="AB86" s="257">
        <v>17504.520000000037</v>
      </c>
      <c r="AC86" s="250" t="s">
        <v>178</v>
      </c>
      <c r="AD86" s="250"/>
      <c r="AE86" s="337">
        <v>62.699999999999996</v>
      </c>
      <c r="AF86" s="357">
        <f t="shared" si="6"/>
        <v>173272.63714005658</v>
      </c>
      <c r="AG86" s="252"/>
      <c r="AH86" s="252"/>
      <c r="AI86" s="15"/>
      <c r="AJ86" s="15"/>
      <c r="AL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</row>
    <row r="87" spans="1:65" x14ac:dyDescent="0.2">
      <c r="A87" s="253">
        <f t="shared" si="7"/>
        <v>84</v>
      </c>
      <c r="B87" s="254" t="s">
        <v>198</v>
      </c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>
        <v>2000</v>
      </c>
      <c r="S87" s="256"/>
      <c r="T87" s="256"/>
      <c r="U87" s="256"/>
      <c r="V87" s="257"/>
      <c r="W87" s="257"/>
      <c r="X87" s="257"/>
      <c r="Y87" s="257"/>
      <c r="Z87" s="257"/>
      <c r="AA87" s="257"/>
      <c r="AB87" s="257"/>
      <c r="AC87" s="250" t="s">
        <v>178</v>
      </c>
      <c r="AD87" s="250"/>
      <c r="AE87" s="337"/>
      <c r="AF87" s="357">
        <f t="shared" si="6"/>
        <v>2000</v>
      </c>
      <c r="AG87" s="252"/>
      <c r="AH87" s="252"/>
      <c r="AI87" s="15"/>
      <c r="AJ87" s="15"/>
      <c r="AL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</row>
    <row r="88" spans="1:65" x14ac:dyDescent="0.2">
      <c r="A88" s="253">
        <f t="shared" si="7"/>
        <v>85</v>
      </c>
      <c r="B88" s="254" t="s">
        <v>197</v>
      </c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7">
        <v>10750</v>
      </c>
      <c r="W88" s="257"/>
      <c r="X88" s="257"/>
      <c r="Y88" s="257"/>
      <c r="Z88" s="257"/>
      <c r="AA88" s="257"/>
      <c r="AB88" s="257"/>
      <c r="AC88" s="250" t="s">
        <v>178</v>
      </c>
      <c r="AD88" s="250"/>
      <c r="AE88" s="337"/>
      <c r="AF88" s="357">
        <f t="shared" si="6"/>
        <v>10750</v>
      </c>
      <c r="AG88" s="252"/>
      <c r="AH88" s="252"/>
      <c r="AI88" s="15"/>
      <c r="AJ88" s="15"/>
      <c r="AL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</row>
    <row r="89" spans="1:65" x14ac:dyDescent="0.2">
      <c r="A89" s="253">
        <f t="shared" si="7"/>
        <v>86</v>
      </c>
      <c r="B89" s="254" t="s">
        <v>338</v>
      </c>
      <c r="C89" s="256"/>
      <c r="D89" s="25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7"/>
      <c r="W89" s="257"/>
      <c r="X89" s="257"/>
      <c r="Y89" s="257"/>
      <c r="Z89" s="257"/>
      <c r="AA89" s="257"/>
      <c r="AB89" s="257"/>
      <c r="AC89" s="250"/>
      <c r="AD89" s="250"/>
      <c r="AE89" s="337">
        <v>21.6</v>
      </c>
      <c r="AF89" s="357">
        <f t="shared" si="6"/>
        <v>21.6</v>
      </c>
      <c r="AG89" s="252"/>
      <c r="AH89" s="252"/>
      <c r="AI89" s="15"/>
      <c r="AJ89" s="15"/>
      <c r="AL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</row>
    <row r="90" spans="1:65" x14ac:dyDescent="0.2">
      <c r="A90" s="253">
        <f t="shared" si="7"/>
        <v>87</v>
      </c>
      <c r="B90" s="254" t="s">
        <v>311</v>
      </c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7"/>
      <c r="W90" s="257"/>
      <c r="X90" s="257"/>
      <c r="Y90" s="257"/>
      <c r="Z90" s="257">
        <v>4771.8100000000004</v>
      </c>
      <c r="AA90" s="257">
        <v>2896.09</v>
      </c>
      <c r="AB90" s="257">
        <v>289.60000000000002</v>
      </c>
      <c r="AC90" s="250">
        <v>3369</v>
      </c>
      <c r="AD90" s="250">
        <v>5739</v>
      </c>
      <c r="AE90" s="337">
        <v>10497</v>
      </c>
      <c r="AF90" s="357">
        <f t="shared" si="6"/>
        <v>27562.5</v>
      </c>
      <c r="AG90" s="252"/>
      <c r="AH90" s="252"/>
      <c r="AI90" s="15"/>
      <c r="AJ90" s="15"/>
      <c r="AL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</row>
    <row r="91" spans="1:65" x14ac:dyDescent="0.2">
      <c r="A91" s="253">
        <f t="shared" ref="A91:A108" si="8">+A90+1</f>
        <v>88</v>
      </c>
      <c r="B91" s="254" t="s">
        <v>230</v>
      </c>
      <c r="C91" s="256"/>
      <c r="D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>
        <v>64026</v>
      </c>
      <c r="V91" s="257">
        <v>15596</v>
      </c>
      <c r="W91" s="257"/>
      <c r="X91" s="257"/>
      <c r="Y91" s="257"/>
      <c r="Z91" s="257"/>
      <c r="AA91" s="257"/>
      <c r="AB91" s="257"/>
      <c r="AC91" s="250" t="s">
        <v>178</v>
      </c>
      <c r="AD91" s="250"/>
      <c r="AE91" s="337"/>
      <c r="AF91" s="357">
        <f t="shared" si="6"/>
        <v>79622</v>
      </c>
      <c r="AG91" s="252"/>
      <c r="AH91" s="252"/>
      <c r="AI91" s="15"/>
      <c r="AJ91" s="15"/>
      <c r="AL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</row>
    <row r="92" spans="1:65" x14ac:dyDescent="0.2">
      <c r="A92" s="253">
        <f t="shared" si="8"/>
        <v>89</v>
      </c>
      <c r="B92" s="254" t="s">
        <v>231</v>
      </c>
      <c r="C92" s="256"/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7">
        <v>37343</v>
      </c>
      <c r="W92" s="257">
        <v>158338.5</v>
      </c>
      <c r="X92" s="257">
        <v>31892.5</v>
      </c>
      <c r="Y92" s="257"/>
      <c r="Z92" s="257"/>
      <c r="AA92" s="257"/>
      <c r="AB92" s="257"/>
      <c r="AC92" s="250" t="s">
        <v>178</v>
      </c>
      <c r="AD92" s="250"/>
      <c r="AE92" s="337"/>
      <c r="AF92" s="357">
        <f t="shared" si="6"/>
        <v>227574</v>
      </c>
      <c r="AG92" s="252"/>
      <c r="AH92" s="252"/>
      <c r="AI92" s="15"/>
      <c r="AJ92" s="15"/>
      <c r="AL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</row>
    <row r="93" spans="1:65" x14ac:dyDescent="0.2">
      <c r="A93" s="253">
        <f t="shared" si="8"/>
        <v>90</v>
      </c>
      <c r="B93" s="254" t="s">
        <v>232</v>
      </c>
      <c r="C93" s="256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>
        <v>237</v>
      </c>
      <c r="P93" s="256">
        <v>197</v>
      </c>
      <c r="Q93" s="256">
        <v>548</v>
      </c>
      <c r="R93" s="256">
        <v>292</v>
      </c>
      <c r="S93" s="256">
        <v>228</v>
      </c>
      <c r="T93" s="256">
        <v>1057</v>
      </c>
      <c r="U93" s="256">
        <v>23196</v>
      </c>
      <c r="V93" s="257"/>
      <c r="W93" s="257"/>
      <c r="X93" s="257"/>
      <c r="Y93" s="257"/>
      <c r="Z93" s="257"/>
      <c r="AA93" s="257"/>
      <c r="AB93" s="257"/>
      <c r="AC93" s="250" t="s">
        <v>178</v>
      </c>
      <c r="AD93" s="250"/>
      <c r="AE93" s="337"/>
      <c r="AF93" s="357">
        <f t="shared" si="6"/>
        <v>25755</v>
      </c>
      <c r="AG93" s="252"/>
      <c r="AH93" s="252"/>
      <c r="AI93" s="15"/>
      <c r="AJ93" s="15"/>
      <c r="AL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</row>
    <row r="94" spans="1:65" x14ac:dyDescent="0.2">
      <c r="A94" s="253">
        <f t="shared" si="8"/>
        <v>91</v>
      </c>
      <c r="B94" s="254" t="s">
        <v>295</v>
      </c>
      <c r="C94" s="256"/>
      <c r="D94" s="256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7"/>
      <c r="W94" s="257"/>
      <c r="X94" s="257"/>
      <c r="Y94" s="257"/>
      <c r="Z94" s="257">
        <v>24870.424000000003</v>
      </c>
      <c r="AA94" s="257"/>
      <c r="AB94" s="257">
        <v>6444.3119999999999</v>
      </c>
      <c r="AC94" s="250">
        <v>67600</v>
      </c>
      <c r="AD94" s="250"/>
      <c r="AE94" s="337">
        <v>884.27</v>
      </c>
      <c r="AF94" s="357">
        <f>SUM(C94:AE94)</f>
        <v>99799.006000000008</v>
      </c>
      <c r="AG94" s="252"/>
      <c r="AH94" s="252"/>
      <c r="AI94" s="15"/>
      <c r="AJ94" s="15"/>
      <c r="AL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</row>
    <row r="95" spans="1:65" x14ac:dyDescent="0.2">
      <c r="A95" s="253">
        <f t="shared" si="8"/>
        <v>92</v>
      </c>
      <c r="B95" s="254" t="s">
        <v>200</v>
      </c>
      <c r="C95" s="256"/>
      <c r="D95" s="256"/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6"/>
      <c r="P95" s="256"/>
      <c r="Q95" s="256"/>
      <c r="R95" s="256">
        <v>7709</v>
      </c>
      <c r="S95" s="256"/>
      <c r="T95" s="256"/>
      <c r="U95" s="256"/>
      <c r="V95" s="257"/>
      <c r="W95" s="257"/>
      <c r="X95" s="257"/>
      <c r="Y95" s="257">
        <v>1197.31234915762</v>
      </c>
      <c r="Z95" s="257">
        <v>384.9</v>
      </c>
      <c r="AA95" s="257">
        <v>158.84538984714709</v>
      </c>
      <c r="AB95" s="257">
        <v>7.3838999999999997</v>
      </c>
      <c r="AC95" s="250" t="s">
        <v>178</v>
      </c>
      <c r="AD95" s="250"/>
      <c r="AE95" s="337"/>
      <c r="AF95" s="357">
        <f>SUM(C95:AE95)</f>
        <v>9457.4416390047681</v>
      </c>
      <c r="AG95" s="252"/>
      <c r="AH95" s="252"/>
      <c r="AI95" s="15"/>
      <c r="AJ95" s="15"/>
      <c r="AL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</row>
    <row r="96" spans="1:65" x14ac:dyDescent="0.2">
      <c r="A96" s="253">
        <f t="shared" si="8"/>
        <v>93</v>
      </c>
      <c r="B96" s="254" t="s">
        <v>201</v>
      </c>
      <c r="C96" s="256"/>
      <c r="D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7">
        <v>446428.57142857148</v>
      </c>
      <c r="W96" s="257"/>
      <c r="X96" s="257"/>
      <c r="Y96" s="257"/>
      <c r="Z96" s="257"/>
      <c r="AA96" s="257"/>
      <c r="AB96" s="257"/>
      <c r="AC96" s="250" t="s">
        <v>178</v>
      </c>
      <c r="AD96" s="250"/>
      <c r="AE96" s="337"/>
      <c r="AF96" s="357">
        <f t="shared" ref="AF96:AF108" si="9">SUM(C96:AE96)</f>
        <v>446428.57142857148</v>
      </c>
      <c r="AG96" s="252"/>
      <c r="AH96" s="252"/>
      <c r="AI96" s="15"/>
      <c r="AJ96" s="15"/>
      <c r="AL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</row>
    <row r="97" spans="1:65" x14ac:dyDescent="0.2">
      <c r="A97" s="253">
        <f t="shared" si="8"/>
        <v>94</v>
      </c>
      <c r="B97" s="254" t="s">
        <v>88</v>
      </c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>
        <v>120</v>
      </c>
      <c r="O97" s="256">
        <v>515</v>
      </c>
      <c r="P97" s="256">
        <v>578</v>
      </c>
      <c r="Q97" s="256">
        <v>1156</v>
      </c>
      <c r="R97" s="258" t="s">
        <v>74</v>
      </c>
      <c r="S97" s="258" t="s">
        <v>74</v>
      </c>
      <c r="T97" s="258" t="s">
        <v>74</v>
      </c>
      <c r="U97" s="258" t="s">
        <v>74</v>
      </c>
      <c r="V97" s="259" t="s">
        <v>74</v>
      </c>
      <c r="W97" s="259"/>
      <c r="X97" s="259"/>
      <c r="Y97" s="259"/>
      <c r="Z97" s="259"/>
      <c r="AA97" s="259"/>
      <c r="AB97" s="259"/>
      <c r="AC97" s="250" t="s">
        <v>178</v>
      </c>
      <c r="AD97" s="250"/>
      <c r="AE97" s="337"/>
      <c r="AF97" s="357">
        <f t="shared" si="9"/>
        <v>2369</v>
      </c>
      <c r="AG97" s="252"/>
      <c r="AH97" s="252"/>
      <c r="AI97" s="15"/>
      <c r="AJ97" s="15"/>
      <c r="AL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</row>
    <row r="98" spans="1:65" x14ac:dyDescent="0.2">
      <c r="A98" s="253">
        <f t="shared" si="8"/>
        <v>95</v>
      </c>
      <c r="B98" s="254" t="s">
        <v>215</v>
      </c>
      <c r="C98" s="256"/>
      <c r="D98" s="256"/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8"/>
      <c r="S98" s="258"/>
      <c r="T98" s="258"/>
      <c r="U98" s="258"/>
      <c r="V98" s="259"/>
      <c r="W98" s="259">
        <v>218000</v>
      </c>
      <c r="X98" s="259">
        <v>38345.342000000004</v>
      </c>
      <c r="Y98" s="259"/>
      <c r="Z98" s="259"/>
      <c r="AA98" s="259"/>
      <c r="AB98" s="259"/>
      <c r="AC98" s="250" t="s">
        <v>178</v>
      </c>
      <c r="AD98" s="250"/>
      <c r="AE98" s="337">
        <v>530.40000000000009</v>
      </c>
      <c r="AF98" s="357">
        <f t="shared" si="9"/>
        <v>256875.742</v>
      </c>
      <c r="AG98" s="252"/>
      <c r="AH98" s="252"/>
      <c r="AI98" s="15"/>
      <c r="AJ98" s="15"/>
      <c r="AL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</row>
    <row r="99" spans="1:65" x14ac:dyDescent="0.2">
      <c r="A99" s="253">
        <f t="shared" si="8"/>
        <v>96</v>
      </c>
      <c r="B99" s="254" t="s">
        <v>233</v>
      </c>
      <c r="C99" s="256"/>
      <c r="D99" s="256"/>
      <c r="E99" s="256"/>
      <c r="F99" s="256"/>
      <c r="G99" s="256"/>
      <c r="H99" s="256">
        <v>894</v>
      </c>
      <c r="I99" s="256">
        <v>1554</v>
      </c>
      <c r="J99" s="256">
        <v>644</v>
      </c>
      <c r="K99" s="256">
        <v>311</v>
      </c>
      <c r="L99" s="256">
        <v>538</v>
      </c>
      <c r="M99" s="256">
        <v>427</v>
      </c>
      <c r="N99" s="256">
        <v>1041</v>
      </c>
      <c r="O99" s="256">
        <v>140</v>
      </c>
      <c r="P99" s="256">
        <v>37</v>
      </c>
      <c r="Q99" s="256">
        <v>72</v>
      </c>
      <c r="R99" s="256">
        <v>161</v>
      </c>
      <c r="S99" s="256">
        <v>135</v>
      </c>
      <c r="T99" s="256">
        <v>101</v>
      </c>
      <c r="U99" s="256">
        <v>83</v>
      </c>
      <c r="V99" s="257">
        <v>473</v>
      </c>
      <c r="W99" s="257">
        <v>33326</v>
      </c>
      <c r="X99" s="257">
        <v>547.20000000000005</v>
      </c>
      <c r="Y99" s="257">
        <v>76</v>
      </c>
      <c r="Z99" s="257">
        <v>518</v>
      </c>
      <c r="AA99" s="257">
        <v>133</v>
      </c>
      <c r="AB99" s="257">
        <v>157.69999999999999</v>
      </c>
      <c r="AC99" s="250">
        <v>753</v>
      </c>
      <c r="AD99" s="250">
        <v>1239</v>
      </c>
      <c r="AE99" s="337">
        <v>438</v>
      </c>
      <c r="AF99" s="357">
        <f t="shared" si="9"/>
        <v>43798.899999999994</v>
      </c>
      <c r="AG99" s="252"/>
      <c r="AH99" s="252"/>
      <c r="AI99" s="15"/>
      <c r="AJ99" s="15"/>
      <c r="AL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</row>
    <row r="100" spans="1:65" x14ac:dyDescent="0.2">
      <c r="A100" s="253">
        <f t="shared" si="8"/>
        <v>97</v>
      </c>
      <c r="B100" s="254" t="s">
        <v>234</v>
      </c>
      <c r="C100" s="256"/>
      <c r="D100" s="256"/>
      <c r="E100" s="256"/>
      <c r="F100" s="256">
        <v>100</v>
      </c>
      <c r="G100" s="256"/>
      <c r="H100" s="256"/>
      <c r="I100" s="256">
        <v>560</v>
      </c>
      <c r="J100" s="256">
        <v>6696</v>
      </c>
      <c r="K100" s="256">
        <v>5960</v>
      </c>
      <c r="L100" s="256">
        <v>987</v>
      </c>
      <c r="M100" s="256"/>
      <c r="N100" s="256">
        <v>207</v>
      </c>
      <c r="O100" s="256">
        <v>1622</v>
      </c>
      <c r="P100" s="256">
        <v>8403</v>
      </c>
      <c r="Q100" s="256">
        <v>11771</v>
      </c>
      <c r="R100" s="256">
        <v>980</v>
      </c>
      <c r="S100" s="256">
        <v>532</v>
      </c>
      <c r="T100" s="256">
        <v>761</v>
      </c>
      <c r="U100" s="256">
        <v>8515.9</v>
      </c>
      <c r="V100" s="257">
        <v>20152.800000000003</v>
      </c>
      <c r="W100" s="257">
        <v>25562.697911856914</v>
      </c>
      <c r="X100" s="257">
        <v>7169.7309020797566</v>
      </c>
      <c r="Y100" s="257"/>
      <c r="Z100" s="257">
        <v>55.66</v>
      </c>
      <c r="AA100" s="257"/>
      <c r="AB100" s="257"/>
      <c r="AC100" s="250" t="s">
        <v>178</v>
      </c>
      <c r="AD100" s="250">
        <v>147</v>
      </c>
      <c r="AE100" s="337">
        <v>596.49355735994925</v>
      </c>
      <c r="AF100" s="357">
        <f t="shared" si="9"/>
        <v>100779.28237129663</v>
      </c>
      <c r="AG100" s="252"/>
      <c r="AH100" s="252"/>
      <c r="AI100" s="15"/>
      <c r="AJ100" s="15"/>
      <c r="AL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</row>
    <row r="101" spans="1:65" x14ac:dyDescent="0.2">
      <c r="A101" s="253">
        <f t="shared" si="8"/>
        <v>98</v>
      </c>
      <c r="B101" s="254" t="s">
        <v>236</v>
      </c>
      <c r="C101" s="256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7"/>
      <c r="W101" s="257">
        <v>102530</v>
      </c>
      <c r="X101" s="257"/>
      <c r="Y101" s="257"/>
      <c r="Z101" s="257"/>
      <c r="AA101" s="257"/>
      <c r="AB101" s="257"/>
      <c r="AC101" s="250" t="s">
        <v>178</v>
      </c>
      <c r="AD101" s="250"/>
      <c r="AE101" s="337"/>
      <c r="AF101" s="357">
        <f t="shared" si="9"/>
        <v>102530</v>
      </c>
      <c r="AG101" s="252"/>
      <c r="AH101" s="252"/>
      <c r="AI101" s="15"/>
      <c r="AJ101" s="15"/>
      <c r="AL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</row>
    <row r="102" spans="1:65" x14ac:dyDescent="0.2">
      <c r="A102" s="253">
        <f t="shared" si="8"/>
        <v>99</v>
      </c>
      <c r="B102" s="254" t="s">
        <v>89</v>
      </c>
      <c r="C102" s="256">
        <v>14</v>
      </c>
      <c r="D102" s="256">
        <v>144</v>
      </c>
      <c r="E102" s="256">
        <v>667</v>
      </c>
      <c r="F102" s="256">
        <v>363</v>
      </c>
      <c r="G102" s="256">
        <v>379</v>
      </c>
      <c r="H102" s="256">
        <v>3286</v>
      </c>
      <c r="I102" s="256">
        <v>12544</v>
      </c>
      <c r="J102" s="256">
        <v>4375</v>
      </c>
      <c r="K102" s="256"/>
      <c r="L102" s="256">
        <v>231</v>
      </c>
      <c r="M102" s="256">
        <v>38.64</v>
      </c>
      <c r="N102" s="256"/>
      <c r="O102" s="256"/>
      <c r="P102" s="256"/>
      <c r="Q102" s="256"/>
      <c r="R102" s="256"/>
      <c r="S102" s="256"/>
      <c r="T102" s="256"/>
      <c r="U102" s="256"/>
      <c r="V102" s="257"/>
      <c r="W102" s="257"/>
      <c r="X102" s="257"/>
      <c r="Y102" s="257"/>
      <c r="Z102" s="257"/>
      <c r="AA102" s="257"/>
      <c r="AB102" s="257"/>
      <c r="AC102" s="250" t="s">
        <v>178</v>
      </c>
      <c r="AD102" s="250"/>
      <c r="AE102" s="337"/>
      <c r="AF102" s="357">
        <f t="shared" si="9"/>
        <v>22041.64</v>
      </c>
      <c r="AG102" s="252"/>
      <c r="AH102" s="252"/>
      <c r="AI102" s="15"/>
      <c r="AJ102" s="15"/>
      <c r="AL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</row>
    <row r="103" spans="1:65" x14ac:dyDescent="0.2">
      <c r="A103" s="253">
        <f t="shared" si="8"/>
        <v>100</v>
      </c>
      <c r="B103" s="254" t="s">
        <v>199</v>
      </c>
      <c r="C103" s="256"/>
      <c r="D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>
        <v>1192.7752</v>
      </c>
      <c r="T103" s="256"/>
      <c r="U103" s="256"/>
      <c r="V103" s="257"/>
      <c r="W103" s="257"/>
      <c r="X103" s="257"/>
      <c r="Y103" s="257"/>
      <c r="Z103" s="257"/>
      <c r="AA103" s="257"/>
      <c r="AB103" s="257"/>
      <c r="AC103" s="250" t="s">
        <v>178</v>
      </c>
      <c r="AD103" s="250"/>
      <c r="AE103" s="337"/>
      <c r="AF103" s="357">
        <f t="shared" si="9"/>
        <v>1192.7752</v>
      </c>
      <c r="AG103" s="252"/>
      <c r="AH103" s="252"/>
      <c r="AI103" s="15"/>
      <c r="AJ103" s="15"/>
      <c r="AL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</row>
    <row r="104" spans="1:65" x14ac:dyDescent="0.2">
      <c r="A104" s="253">
        <f t="shared" si="8"/>
        <v>101</v>
      </c>
      <c r="B104" s="254" t="s">
        <v>235</v>
      </c>
      <c r="C104" s="256"/>
      <c r="D104" s="256"/>
      <c r="E104" s="256"/>
      <c r="F104" s="256"/>
      <c r="G104" s="256"/>
      <c r="H104" s="256"/>
      <c r="I104" s="256"/>
      <c r="J104" s="256"/>
      <c r="K104" s="256">
        <v>2547</v>
      </c>
      <c r="L104" s="256">
        <v>1984</v>
      </c>
      <c r="M104" s="256">
        <v>2210</v>
      </c>
      <c r="N104" s="256">
        <v>6114</v>
      </c>
      <c r="O104" s="256">
        <v>4773</v>
      </c>
      <c r="P104" s="256">
        <v>3739</v>
      </c>
      <c r="Q104" s="256">
        <v>2443</v>
      </c>
      <c r="R104" s="256">
        <v>7550</v>
      </c>
      <c r="S104" s="256">
        <v>3946</v>
      </c>
      <c r="T104" s="256">
        <v>2860</v>
      </c>
      <c r="U104" s="256">
        <v>1730</v>
      </c>
      <c r="V104" s="257">
        <v>52511</v>
      </c>
      <c r="W104" s="257"/>
      <c r="X104" s="257"/>
      <c r="Y104" s="257">
        <v>8475.0660000000007</v>
      </c>
      <c r="Z104" s="257">
        <v>723.90000000000009</v>
      </c>
      <c r="AA104" s="257">
        <v>682.4</v>
      </c>
      <c r="AB104" s="257">
        <v>6965.34969</v>
      </c>
      <c r="AC104" s="250" t="s">
        <v>178</v>
      </c>
      <c r="AD104" s="250">
        <v>9412.2383099999988</v>
      </c>
      <c r="AE104" s="337">
        <v>13416.61622</v>
      </c>
      <c r="AF104" s="357">
        <f t="shared" si="9"/>
        <v>132082.57021999999</v>
      </c>
      <c r="AG104" s="252"/>
      <c r="AH104" s="252"/>
      <c r="AI104" s="15"/>
      <c r="AJ104" s="15"/>
      <c r="AL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</row>
    <row r="105" spans="1:65" x14ac:dyDescent="0.2">
      <c r="A105" s="253">
        <f t="shared" si="8"/>
        <v>102</v>
      </c>
      <c r="B105" s="254" t="s">
        <v>90</v>
      </c>
      <c r="C105" s="256"/>
      <c r="D105" s="256"/>
      <c r="E105" s="256"/>
      <c r="F105" s="256"/>
      <c r="G105" s="256"/>
      <c r="H105" s="256"/>
      <c r="I105" s="256"/>
      <c r="J105" s="256">
        <v>302</v>
      </c>
      <c r="K105" s="256">
        <v>153.6</v>
      </c>
      <c r="L105" s="256">
        <v>195.2</v>
      </c>
      <c r="M105" s="256">
        <v>290</v>
      </c>
      <c r="N105" s="256">
        <v>80.599999999999994</v>
      </c>
      <c r="O105" s="256">
        <v>101</v>
      </c>
      <c r="P105" s="256">
        <v>40</v>
      </c>
      <c r="Q105" s="256"/>
      <c r="R105" s="256"/>
      <c r="S105" s="256"/>
      <c r="T105" s="256"/>
      <c r="U105" s="256"/>
      <c r="V105" s="257"/>
      <c r="W105" s="257"/>
      <c r="X105" s="257"/>
      <c r="Y105" s="257"/>
      <c r="Z105" s="257"/>
      <c r="AA105" s="257"/>
      <c r="AB105" s="257"/>
      <c r="AC105" s="250" t="s">
        <v>178</v>
      </c>
      <c r="AD105" s="250"/>
      <c r="AE105" s="337"/>
      <c r="AF105" s="357">
        <f t="shared" si="9"/>
        <v>1162.4000000000001</v>
      </c>
      <c r="AG105" s="252"/>
      <c r="AH105" s="252"/>
      <c r="AI105" s="15"/>
      <c r="AJ105" s="15"/>
      <c r="AL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</row>
    <row r="106" spans="1:65" x14ac:dyDescent="0.2">
      <c r="A106" s="253">
        <f t="shared" si="8"/>
        <v>103</v>
      </c>
      <c r="B106" s="254" t="s">
        <v>91</v>
      </c>
      <c r="C106" s="256"/>
      <c r="D106" s="256"/>
      <c r="E106" s="256"/>
      <c r="F106" s="256"/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>
        <v>7776.99</v>
      </c>
      <c r="T106" s="256">
        <v>58466</v>
      </c>
      <c r="U106" s="256">
        <v>57787</v>
      </c>
      <c r="V106" s="257">
        <v>2845.1</v>
      </c>
      <c r="W106" s="257">
        <v>115163</v>
      </c>
      <c r="X106" s="257">
        <v>18529.791798054568</v>
      </c>
      <c r="Y106" s="257">
        <v>176792</v>
      </c>
      <c r="Z106" s="257">
        <v>3608.0000000000032</v>
      </c>
      <c r="AA106" s="257"/>
      <c r="AB106" s="257"/>
      <c r="AC106" s="250" t="s">
        <v>178</v>
      </c>
      <c r="AD106" s="250"/>
      <c r="AE106" s="337"/>
      <c r="AF106" s="357">
        <f t="shared" si="9"/>
        <v>440967.88179805456</v>
      </c>
      <c r="AG106" s="252"/>
      <c r="AH106" s="252"/>
      <c r="AI106" s="15"/>
      <c r="AJ106" s="15"/>
      <c r="AL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</row>
    <row r="107" spans="1:65" x14ac:dyDescent="0.2">
      <c r="A107" s="253">
        <f t="shared" si="8"/>
        <v>104</v>
      </c>
      <c r="B107" s="254" t="s">
        <v>92</v>
      </c>
      <c r="C107" s="256"/>
      <c r="D107" s="256"/>
      <c r="E107" s="256"/>
      <c r="F107" s="256"/>
      <c r="G107" s="256"/>
      <c r="H107" s="256"/>
      <c r="I107" s="256"/>
      <c r="J107" s="256">
        <v>305</v>
      </c>
      <c r="K107" s="256"/>
      <c r="L107" s="256">
        <v>3062</v>
      </c>
      <c r="M107" s="256">
        <v>850</v>
      </c>
      <c r="N107" s="256">
        <v>2698</v>
      </c>
      <c r="O107" s="256">
        <v>3688</v>
      </c>
      <c r="P107" s="256">
        <v>1656</v>
      </c>
      <c r="Q107" s="256">
        <v>6809</v>
      </c>
      <c r="R107" s="256">
        <v>2259</v>
      </c>
      <c r="S107" s="256">
        <v>6236</v>
      </c>
      <c r="T107" s="256">
        <v>3570</v>
      </c>
      <c r="U107" s="256">
        <v>10266</v>
      </c>
      <c r="V107" s="257">
        <v>2796.34</v>
      </c>
      <c r="W107" s="257">
        <v>333.62</v>
      </c>
      <c r="X107" s="257">
        <v>1282.4901800000002</v>
      </c>
      <c r="Y107" s="257">
        <v>15.524999999999999</v>
      </c>
      <c r="Z107" s="257">
        <v>196.13300000000001</v>
      </c>
      <c r="AA107" s="257">
        <v>42.837810000000005</v>
      </c>
      <c r="AB107" s="257"/>
      <c r="AC107" s="250">
        <v>709.8</v>
      </c>
      <c r="AD107" s="250">
        <v>550</v>
      </c>
      <c r="AE107" s="337">
        <v>4448</v>
      </c>
      <c r="AF107" s="357">
        <f t="shared" si="9"/>
        <v>51773.745990000003</v>
      </c>
      <c r="AG107" s="252"/>
      <c r="AH107" s="252"/>
      <c r="AI107" s="15"/>
      <c r="AJ107" s="15"/>
      <c r="AL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</row>
    <row r="108" spans="1:65" ht="13.5" thickBot="1" x14ac:dyDescent="0.25">
      <c r="A108" s="253">
        <f t="shared" si="8"/>
        <v>105</v>
      </c>
      <c r="B108" s="254" t="s">
        <v>145</v>
      </c>
      <c r="C108" s="256"/>
      <c r="D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>
        <v>165391</v>
      </c>
      <c r="U108" s="256"/>
      <c r="V108" s="257"/>
      <c r="W108" s="257"/>
      <c r="X108" s="257"/>
      <c r="Y108" s="268"/>
      <c r="Z108" s="268"/>
      <c r="AA108" s="268"/>
      <c r="AB108" s="268"/>
      <c r="AC108" s="339"/>
      <c r="AD108" s="361"/>
      <c r="AE108" s="338"/>
      <c r="AF108" s="357">
        <f t="shared" si="9"/>
        <v>165391</v>
      </c>
      <c r="AG108" s="252"/>
      <c r="AH108" s="252"/>
      <c r="AI108" s="15"/>
      <c r="AJ108" s="15"/>
      <c r="AL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</row>
    <row r="109" spans="1:65" ht="15" thickBot="1" x14ac:dyDescent="0.25">
      <c r="A109" s="420" t="s">
        <v>0</v>
      </c>
      <c r="B109" s="421"/>
      <c r="C109" s="271">
        <v>7648.63</v>
      </c>
      <c r="D109" s="271">
        <v>97751.459999999992</v>
      </c>
      <c r="E109" s="271">
        <v>240206.95500000002</v>
      </c>
      <c r="F109" s="271">
        <v>250809.128</v>
      </c>
      <c r="G109" s="270">
        <v>280830.41899999999</v>
      </c>
      <c r="H109" s="270">
        <v>212402</v>
      </c>
      <c r="I109" s="270">
        <v>33486.1</v>
      </c>
      <c r="J109" s="270">
        <v>30042</v>
      </c>
      <c r="K109" s="271">
        <v>20059.599999999999</v>
      </c>
      <c r="L109" s="271">
        <v>92565.2</v>
      </c>
      <c r="M109" s="271">
        <v>139724.64000000001</v>
      </c>
      <c r="N109" s="271">
        <v>260376.6</v>
      </c>
      <c r="O109" s="270">
        <v>244531</v>
      </c>
      <c r="P109" s="271">
        <v>457017</v>
      </c>
      <c r="Q109" s="271">
        <v>359534</v>
      </c>
      <c r="R109" s="271">
        <v>533520</v>
      </c>
      <c r="S109" s="271">
        <v>1212192.3652000001</v>
      </c>
      <c r="T109" s="270">
        <v>1746138.6604500001</v>
      </c>
      <c r="U109" s="270">
        <v>1764618.7</v>
      </c>
      <c r="V109" s="270">
        <v>1767170.2798337028</v>
      </c>
      <c r="W109" s="270">
        <v>1730862.9045119609</v>
      </c>
      <c r="X109" s="270">
        <v>938857.61860395304</v>
      </c>
      <c r="Y109" s="270">
        <f t="shared" ref="Y109:AF109" si="10">SUM(Y4:Y108)</f>
        <v>835507.14964695147</v>
      </c>
      <c r="Z109" s="272">
        <f t="shared" si="10"/>
        <v>252782.70118165942</v>
      </c>
      <c r="AA109" s="272">
        <f t="shared" si="10"/>
        <v>177582.05255853527</v>
      </c>
      <c r="AB109" s="272">
        <f t="shared" si="10"/>
        <v>117398.07155026494</v>
      </c>
      <c r="AC109" s="272">
        <f t="shared" si="10"/>
        <v>184798.89614999999</v>
      </c>
      <c r="AD109" s="272">
        <f t="shared" si="10"/>
        <v>587172.49765000015</v>
      </c>
      <c r="AE109" s="272">
        <f t="shared" si="10"/>
        <v>369316.67198090616</v>
      </c>
      <c r="AF109" s="273">
        <f t="shared" si="10"/>
        <v>14944903.301317936</v>
      </c>
      <c r="AG109" s="252"/>
      <c r="AH109" s="15"/>
      <c r="AI109" s="15"/>
      <c r="AJ109" s="15"/>
      <c r="AL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</row>
    <row r="110" spans="1:65" ht="14.25" x14ac:dyDescent="0.2">
      <c r="A110" s="274"/>
      <c r="B110" s="274"/>
      <c r="C110" s="275"/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  <c r="X110" s="275"/>
      <c r="Y110" s="275"/>
      <c r="Z110" s="275"/>
      <c r="AA110" s="275"/>
      <c r="AB110" s="275"/>
      <c r="AC110" s="275"/>
      <c r="AD110" s="275"/>
      <c r="AE110" s="275"/>
      <c r="AF110" s="276"/>
      <c r="AG110" s="252"/>
      <c r="AH110" s="15"/>
      <c r="AI110" s="15"/>
      <c r="AJ110" s="15"/>
      <c r="AL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</row>
    <row r="111" spans="1:65" ht="15" thickBot="1" x14ac:dyDescent="0.25">
      <c r="A111" s="277"/>
      <c r="B111" s="274"/>
      <c r="C111" s="278"/>
      <c r="D111" s="278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8"/>
      <c r="AA111" s="278"/>
      <c r="AB111" s="278"/>
      <c r="AC111" s="278"/>
      <c r="AD111" s="278"/>
      <c r="AE111" s="278"/>
      <c r="AF111" s="279"/>
      <c r="AG111" s="252"/>
      <c r="AH111" s="15"/>
      <c r="AI111" s="15"/>
      <c r="AJ111" s="15"/>
      <c r="AL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</row>
    <row r="112" spans="1:65" ht="16.5" thickBot="1" x14ac:dyDescent="0.3">
      <c r="A112" s="378" t="s">
        <v>75</v>
      </c>
      <c r="B112" s="385" t="s">
        <v>93</v>
      </c>
      <c r="C112" s="380">
        <v>1995</v>
      </c>
      <c r="D112" s="380">
        <v>1996</v>
      </c>
      <c r="E112" s="380">
        <v>1997</v>
      </c>
      <c r="F112" s="380">
        <v>1998</v>
      </c>
      <c r="G112" s="380">
        <v>1999</v>
      </c>
      <c r="H112" s="381">
        <v>2000</v>
      </c>
      <c r="I112" s="381">
        <v>2001</v>
      </c>
      <c r="J112" s="381">
        <v>2002</v>
      </c>
      <c r="K112" s="381">
        <v>2003</v>
      </c>
      <c r="L112" s="381">
        <v>2004</v>
      </c>
      <c r="M112" s="381">
        <v>2005</v>
      </c>
      <c r="N112" s="381">
        <v>2006</v>
      </c>
      <c r="O112" s="381">
        <v>2007</v>
      </c>
      <c r="P112" s="381">
        <v>2008</v>
      </c>
      <c r="Q112" s="382">
        <v>2009</v>
      </c>
      <c r="R112" s="380">
        <v>2010</v>
      </c>
      <c r="S112" s="380">
        <v>2011</v>
      </c>
      <c r="T112" s="380">
        <v>2012</v>
      </c>
      <c r="U112" s="380">
        <v>2013</v>
      </c>
      <c r="V112" s="380">
        <v>2014</v>
      </c>
      <c r="W112" s="382">
        <v>2015</v>
      </c>
      <c r="X112" s="383">
        <v>2016</v>
      </c>
      <c r="Y112" s="380">
        <v>2017</v>
      </c>
      <c r="Z112" s="380">
        <v>2018</v>
      </c>
      <c r="AA112" s="380">
        <v>2019</v>
      </c>
      <c r="AB112" s="380">
        <v>2020</v>
      </c>
      <c r="AC112" s="380">
        <v>2021</v>
      </c>
      <c r="AD112" s="380">
        <v>2022</v>
      </c>
      <c r="AE112" s="382">
        <v>2023</v>
      </c>
      <c r="AF112" s="384" t="s">
        <v>0</v>
      </c>
      <c r="AG112" s="15"/>
      <c r="AH112" s="15"/>
      <c r="AI112" s="15"/>
      <c r="AJ112" s="15"/>
      <c r="AL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</row>
    <row r="113" spans="1:65" s="2" customFormat="1" x14ac:dyDescent="0.2">
      <c r="A113" s="5">
        <v>1</v>
      </c>
      <c r="B113" s="280" t="s">
        <v>164</v>
      </c>
      <c r="C113" s="16"/>
      <c r="D113" s="16"/>
      <c r="E113" s="16"/>
      <c r="F113" s="16"/>
      <c r="G113" s="16"/>
      <c r="H113" s="16"/>
      <c r="I113" s="7">
        <v>10000</v>
      </c>
      <c r="J113" s="7"/>
      <c r="K113" s="7"/>
      <c r="L113" s="7"/>
      <c r="M113" s="7"/>
      <c r="N113" s="7"/>
      <c r="O113" s="7"/>
      <c r="P113" s="7"/>
      <c r="Q113" s="7">
        <v>175572</v>
      </c>
      <c r="R113" s="7">
        <v>107319</v>
      </c>
      <c r="S113" s="8">
        <v>31802</v>
      </c>
      <c r="T113" s="8">
        <v>290270</v>
      </c>
      <c r="U113" s="8">
        <v>72287.399999999994</v>
      </c>
      <c r="V113" s="8"/>
      <c r="W113" s="8"/>
      <c r="X113" s="281"/>
      <c r="Y113" s="281"/>
      <c r="Z113" s="281"/>
      <c r="AA113" s="281"/>
      <c r="AB113" s="281"/>
      <c r="AC113" s="340"/>
      <c r="AD113" s="362"/>
      <c r="AE113" s="344"/>
      <c r="AF113" s="282">
        <f>SUM(C113:AE113)</f>
        <v>687250.4</v>
      </c>
      <c r="AG113" s="24"/>
      <c r="AH113" s="24"/>
      <c r="AI113" s="24"/>
      <c r="AJ113" s="24"/>
      <c r="AL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</row>
    <row r="114" spans="1:65" s="2" customFormat="1" x14ac:dyDescent="0.2">
      <c r="A114" s="109">
        <f t="shared" ref="A114:A136" si="11">A113+1</f>
        <v>2</v>
      </c>
      <c r="B114" s="283" t="s">
        <v>342</v>
      </c>
      <c r="C114" s="110"/>
      <c r="D114" s="110"/>
      <c r="E114" s="110"/>
      <c r="F114" s="110"/>
      <c r="G114" s="110"/>
      <c r="H114" s="110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2"/>
      <c r="T114" s="112"/>
      <c r="U114" s="112"/>
      <c r="V114" s="112"/>
      <c r="W114" s="112"/>
      <c r="X114" s="281">
        <v>0</v>
      </c>
      <c r="Y114" s="281"/>
      <c r="Z114" s="281">
        <v>1715.6669999999997</v>
      </c>
      <c r="AA114" s="281"/>
      <c r="AB114" s="281"/>
      <c r="AC114" s="341"/>
      <c r="AD114" s="341"/>
      <c r="AE114" s="345">
        <v>5656</v>
      </c>
      <c r="AF114" s="282">
        <f t="shared" ref="AF114:AF137" si="12">SUM(C114:AE114)</f>
        <v>7371.6669999999995</v>
      </c>
      <c r="AG114" s="24"/>
      <c r="AH114" s="24"/>
      <c r="AI114" s="24"/>
      <c r="AJ114" s="24"/>
      <c r="AL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</row>
    <row r="115" spans="1:65" s="2" customFormat="1" x14ac:dyDescent="0.2">
      <c r="A115" s="109">
        <f t="shared" si="11"/>
        <v>3</v>
      </c>
      <c r="B115" s="283" t="s">
        <v>339</v>
      </c>
      <c r="C115" s="110"/>
      <c r="D115" s="110"/>
      <c r="E115" s="110"/>
      <c r="F115" s="110"/>
      <c r="G115" s="110"/>
      <c r="H115" s="110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2"/>
      <c r="T115" s="112"/>
      <c r="U115" s="112"/>
      <c r="V115" s="112"/>
      <c r="W115" s="112"/>
      <c r="X115" s="281">
        <v>0</v>
      </c>
      <c r="Y115" s="281"/>
      <c r="Z115" s="281">
        <v>1715.6669999999997</v>
      </c>
      <c r="AA115" s="281"/>
      <c r="AB115" s="281"/>
      <c r="AC115" s="341"/>
      <c r="AD115" s="341"/>
      <c r="AE115" s="345">
        <v>1349</v>
      </c>
      <c r="AF115" s="282">
        <f t="shared" si="12"/>
        <v>3064.6669999999995</v>
      </c>
      <c r="AG115" s="24"/>
      <c r="AH115" s="24"/>
      <c r="AI115" s="24"/>
      <c r="AJ115" s="24"/>
      <c r="AL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</row>
    <row r="116" spans="1:65" s="2" customFormat="1" x14ac:dyDescent="0.2">
      <c r="A116" s="109">
        <f t="shared" si="11"/>
        <v>4</v>
      </c>
      <c r="B116" s="283" t="s">
        <v>216</v>
      </c>
      <c r="C116" s="110"/>
      <c r="D116" s="110"/>
      <c r="E116" s="110"/>
      <c r="F116" s="110"/>
      <c r="G116" s="110"/>
      <c r="H116" s="110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2"/>
      <c r="T116" s="112"/>
      <c r="U116" s="112"/>
      <c r="V116" s="112"/>
      <c r="W116" s="112"/>
      <c r="X116" s="281">
        <v>1143</v>
      </c>
      <c r="Y116" s="281"/>
      <c r="Z116" s="281"/>
      <c r="AA116" s="281"/>
      <c r="AB116" s="281"/>
      <c r="AC116" s="341"/>
      <c r="AD116" s="341"/>
      <c r="AE116" s="345"/>
      <c r="AF116" s="282">
        <f t="shared" si="12"/>
        <v>1143</v>
      </c>
      <c r="AG116" s="24"/>
      <c r="AH116" s="24"/>
      <c r="AI116" s="24"/>
      <c r="AJ116" s="24"/>
      <c r="AL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</row>
    <row r="117" spans="1:65" s="2" customFormat="1" x14ac:dyDescent="0.2">
      <c r="A117" s="109">
        <f t="shared" si="11"/>
        <v>5</v>
      </c>
      <c r="B117" s="10" t="s">
        <v>267</v>
      </c>
      <c r="C117" s="11"/>
      <c r="D117" s="11"/>
      <c r="E117" s="11"/>
      <c r="F117" s="11"/>
      <c r="G117" s="11"/>
      <c r="H117" s="11"/>
      <c r="I117" s="12"/>
      <c r="J117" s="12"/>
      <c r="K117" s="12"/>
      <c r="L117" s="12"/>
      <c r="M117" s="12">
        <v>1394</v>
      </c>
      <c r="N117" s="12"/>
      <c r="O117" s="12"/>
      <c r="P117" s="12"/>
      <c r="Q117" s="12">
        <v>3113</v>
      </c>
      <c r="R117" s="12">
        <v>0</v>
      </c>
      <c r="S117" s="13">
        <v>0</v>
      </c>
      <c r="T117" s="13"/>
      <c r="U117" s="13"/>
      <c r="V117" s="13"/>
      <c r="W117" s="13"/>
      <c r="X117" s="281">
        <v>0</v>
      </c>
      <c r="Y117" s="281"/>
      <c r="Z117" s="281"/>
      <c r="AA117" s="281"/>
      <c r="AB117" s="281"/>
      <c r="AC117" s="341"/>
      <c r="AD117" s="341"/>
      <c r="AE117" s="345"/>
      <c r="AF117" s="282">
        <f t="shared" si="12"/>
        <v>4507</v>
      </c>
      <c r="AG117" s="24"/>
      <c r="AH117" s="24"/>
      <c r="AI117" s="24"/>
      <c r="AJ117" s="24"/>
      <c r="AL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</row>
    <row r="118" spans="1:65" s="2" customFormat="1" x14ac:dyDescent="0.2">
      <c r="A118" s="109">
        <f t="shared" si="11"/>
        <v>6</v>
      </c>
      <c r="B118" s="10" t="s">
        <v>268</v>
      </c>
      <c r="C118" s="11"/>
      <c r="D118" s="11"/>
      <c r="E118" s="11"/>
      <c r="F118" s="11"/>
      <c r="G118" s="11"/>
      <c r="H118" s="11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3"/>
      <c r="T118" s="13"/>
      <c r="U118" s="13"/>
      <c r="V118" s="13"/>
      <c r="W118" s="13">
        <v>58430</v>
      </c>
      <c r="X118" s="281">
        <v>30865.200000000001</v>
      </c>
      <c r="Y118" s="281">
        <v>4699.2000000000035</v>
      </c>
      <c r="Z118" s="281"/>
      <c r="AA118" s="281"/>
      <c r="AB118" s="281"/>
      <c r="AC118" s="341"/>
      <c r="AD118" s="341"/>
      <c r="AE118" s="345">
        <v>356.66039000000001</v>
      </c>
      <c r="AF118" s="282">
        <f t="shared" si="12"/>
        <v>94351.060389999999</v>
      </c>
      <c r="AG118" s="24"/>
      <c r="AH118" s="24"/>
      <c r="AI118" s="24"/>
      <c r="AJ118" s="24"/>
      <c r="AL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</row>
    <row r="119" spans="1:65" s="2" customFormat="1" x14ac:dyDescent="0.2">
      <c r="A119" s="109">
        <f t="shared" si="11"/>
        <v>7</v>
      </c>
      <c r="B119" s="10" t="s">
        <v>269</v>
      </c>
      <c r="C119" s="11"/>
      <c r="D119" s="11"/>
      <c r="E119" s="11"/>
      <c r="F119" s="11"/>
      <c r="G119" s="11"/>
      <c r="H119" s="11"/>
      <c r="I119" s="12">
        <v>13513</v>
      </c>
      <c r="J119" s="12"/>
      <c r="K119" s="12">
        <v>341</v>
      </c>
      <c r="L119" s="12">
        <v>9017</v>
      </c>
      <c r="M119" s="12">
        <v>92</v>
      </c>
      <c r="N119" s="12">
        <v>1179</v>
      </c>
      <c r="O119" s="12">
        <v>3612</v>
      </c>
      <c r="P119" s="12">
        <v>3248</v>
      </c>
      <c r="Q119" s="12">
        <v>271</v>
      </c>
      <c r="R119" s="12">
        <v>0</v>
      </c>
      <c r="S119" s="13">
        <v>0</v>
      </c>
      <c r="T119" s="13"/>
      <c r="U119" s="13"/>
      <c r="V119" s="13"/>
      <c r="W119" s="13"/>
      <c r="X119" s="281">
        <v>0</v>
      </c>
      <c r="Y119" s="281"/>
      <c r="Z119" s="281"/>
      <c r="AA119" s="281"/>
      <c r="AB119" s="281"/>
      <c r="AC119" s="341"/>
      <c r="AD119" s="341"/>
      <c r="AE119" s="345"/>
      <c r="AF119" s="282">
        <f t="shared" si="12"/>
        <v>31273</v>
      </c>
      <c r="AG119" s="24"/>
      <c r="AH119" s="24"/>
      <c r="AI119" s="24"/>
      <c r="AJ119" s="24"/>
      <c r="AL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</row>
    <row r="120" spans="1:65" s="2" customFormat="1" x14ac:dyDescent="0.2">
      <c r="A120" s="109">
        <f t="shared" si="11"/>
        <v>8</v>
      </c>
      <c r="B120" s="10" t="s">
        <v>94</v>
      </c>
      <c r="C120" s="11"/>
      <c r="D120" s="11"/>
      <c r="E120" s="11"/>
      <c r="F120" s="11"/>
      <c r="G120" s="11"/>
      <c r="H120" s="11"/>
      <c r="I120" s="12"/>
      <c r="J120" s="12"/>
      <c r="K120" s="12"/>
      <c r="L120" s="12"/>
      <c r="M120" s="12">
        <v>5549.29</v>
      </c>
      <c r="N120" s="12">
        <v>217.14</v>
      </c>
      <c r="O120" s="12">
        <v>40</v>
      </c>
      <c r="P120" s="12">
        <v>495</v>
      </c>
      <c r="Q120" s="12">
        <v>850</v>
      </c>
      <c r="R120" s="12">
        <v>0</v>
      </c>
      <c r="S120" s="13">
        <v>0</v>
      </c>
      <c r="T120" s="13"/>
      <c r="U120" s="13"/>
      <c r="V120" s="13"/>
      <c r="W120" s="13"/>
      <c r="X120" s="281">
        <v>0</v>
      </c>
      <c r="Y120" s="281"/>
      <c r="Z120" s="281"/>
      <c r="AA120" s="281"/>
      <c r="AB120" s="281"/>
      <c r="AC120" s="341"/>
      <c r="AD120" s="341"/>
      <c r="AE120" s="345"/>
      <c r="AF120" s="282">
        <f t="shared" si="12"/>
        <v>7151.43</v>
      </c>
      <c r="AG120" s="24"/>
      <c r="AH120" s="24"/>
      <c r="AI120" s="24"/>
      <c r="AJ120" s="24"/>
      <c r="AL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</row>
    <row r="121" spans="1:65" s="2" customFormat="1" x14ac:dyDescent="0.2">
      <c r="A121" s="109">
        <f t="shared" si="11"/>
        <v>9</v>
      </c>
      <c r="B121" s="10" t="s">
        <v>217</v>
      </c>
      <c r="C121" s="11"/>
      <c r="D121" s="11"/>
      <c r="E121" s="11"/>
      <c r="F121" s="11"/>
      <c r="G121" s="11"/>
      <c r="H121" s="11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3"/>
      <c r="T121" s="13"/>
      <c r="U121" s="13"/>
      <c r="V121" s="13"/>
      <c r="W121" s="13">
        <v>1456</v>
      </c>
      <c r="X121" s="281"/>
      <c r="Y121" s="281"/>
      <c r="Z121" s="281"/>
      <c r="AA121" s="281"/>
      <c r="AB121" s="281"/>
      <c r="AC121" s="341"/>
      <c r="AD121" s="341"/>
      <c r="AE121" s="345"/>
      <c r="AF121" s="282">
        <f t="shared" si="12"/>
        <v>1456</v>
      </c>
      <c r="AG121" s="24"/>
      <c r="AH121" s="24"/>
      <c r="AI121" s="24"/>
      <c r="AJ121" s="24"/>
      <c r="AL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</row>
    <row r="122" spans="1:65" s="2" customFormat="1" x14ac:dyDescent="0.2">
      <c r="A122" s="109">
        <f t="shared" si="11"/>
        <v>10</v>
      </c>
      <c r="B122" s="10" t="s">
        <v>271</v>
      </c>
      <c r="C122" s="12"/>
      <c r="D122" s="12"/>
      <c r="E122" s="10"/>
      <c r="F122" s="12">
        <v>13488</v>
      </c>
      <c r="G122" s="12">
        <v>115580</v>
      </c>
      <c r="H122" s="12">
        <v>50111</v>
      </c>
      <c r="I122" s="12">
        <v>22851</v>
      </c>
      <c r="J122" s="12">
        <v>2376</v>
      </c>
      <c r="K122" s="12">
        <v>1170</v>
      </c>
      <c r="L122" s="12">
        <v>75</v>
      </c>
      <c r="M122" s="12">
        <v>184</v>
      </c>
      <c r="N122" s="12">
        <v>131.97</v>
      </c>
      <c r="O122" s="12">
        <v>17</v>
      </c>
      <c r="P122" s="12">
        <v>10254</v>
      </c>
      <c r="Q122" s="12">
        <v>56789</v>
      </c>
      <c r="R122" s="12">
        <v>166210</v>
      </c>
      <c r="S122" s="13">
        <v>196365</v>
      </c>
      <c r="T122" s="13">
        <v>133506</v>
      </c>
      <c r="U122" s="13">
        <v>80297</v>
      </c>
      <c r="V122" s="13">
        <v>194709.96</v>
      </c>
      <c r="W122" s="13">
        <v>111669.89</v>
      </c>
      <c r="X122" s="281">
        <v>278684.12</v>
      </c>
      <c r="Y122" s="281">
        <v>209008.61999999997</v>
      </c>
      <c r="Z122" s="281">
        <v>50758.060000000005</v>
      </c>
      <c r="AA122" s="281">
        <v>90987.65</v>
      </c>
      <c r="AB122" s="281">
        <v>2565.81</v>
      </c>
      <c r="AC122" s="341">
        <v>342563.37</v>
      </c>
      <c r="AD122" s="341">
        <v>157164.87637000001</v>
      </c>
      <c r="AE122" s="345">
        <v>78291.822599999985</v>
      </c>
      <c r="AF122" s="282">
        <f t="shared" si="12"/>
        <v>2365809.14897</v>
      </c>
      <c r="AG122" s="24"/>
    </row>
    <row r="123" spans="1:65" s="2" customFormat="1" x14ac:dyDescent="0.2">
      <c r="A123" s="109">
        <f t="shared" si="11"/>
        <v>11</v>
      </c>
      <c r="B123" s="10" t="s">
        <v>317</v>
      </c>
      <c r="C123" s="12"/>
      <c r="D123" s="12"/>
      <c r="E123" s="10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3"/>
      <c r="T123" s="13"/>
      <c r="U123" s="13"/>
      <c r="V123" s="13"/>
      <c r="W123" s="13"/>
      <c r="X123" s="281"/>
      <c r="Y123" s="281"/>
      <c r="Z123" s="281"/>
      <c r="AA123" s="281"/>
      <c r="AB123" s="281"/>
      <c r="AC123" s="341"/>
      <c r="AD123" s="341">
        <v>218.10025000000002</v>
      </c>
      <c r="AE123" s="345">
        <v>66.21074999999999</v>
      </c>
      <c r="AF123" s="282">
        <f t="shared" si="12"/>
        <v>284.31100000000004</v>
      </c>
      <c r="AG123" s="24"/>
    </row>
    <row r="124" spans="1:65" s="2" customFormat="1" x14ac:dyDescent="0.2">
      <c r="A124" s="109">
        <f t="shared" si="11"/>
        <v>12</v>
      </c>
      <c r="B124" s="10" t="s">
        <v>95</v>
      </c>
      <c r="C124" s="12"/>
      <c r="D124" s="12"/>
      <c r="E124" s="10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>
        <v>53</v>
      </c>
      <c r="R124" s="12">
        <v>14</v>
      </c>
      <c r="S124" s="13">
        <v>27</v>
      </c>
      <c r="T124" s="13"/>
      <c r="U124" s="13"/>
      <c r="V124" s="13"/>
      <c r="W124" s="13"/>
      <c r="X124" s="281">
        <v>0</v>
      </c>
      <c r="Y124" s="281"/>
      <c r="Z124" s="281">
        <v>445.31</v>
      </c>
      <c r="AA124" s="281">
        <v>248</v>
      </c>
      <c r="AB124" s="281"/>
      <c r="AC124" s="341"/>
      <c r="AD124" s="341"/>
      <c r="AE124" s="345"/>
      <c r="AF124" s="282">
        <f t="shared" si="12"/>
        <v>787.31</v>
      </c>
    </row>
    <row r="125" spans="1:65" s="2" customFormat="1" x14ac:dyDescent="0.2">
      <c r="A125" s="109">
        <f t="shared" si="11"/>
        <v>13</v>
      </c>
      <c r="B125" s="10" t="s">
        <v>96</v>
      </c>
      <c r="C125" s="12"/>
      <c r="D125" s="12"/>
      <c r="E125" s="10"/>
      <c r="F125" s="12"/>
      <c r="G125" s="12"/>
      <c r="H125" s="12"/>
      <c r="I125" s="12"/>
      <c r="J125" s="12">
        <v>693</v>
      </c>
      <c r="K125" s="12">
        <v>15.7</v>
      </c>
      <c r="L125" s="12"/>
      <c r="M125" s="12"/>
      <c r="N125" s="12"/>
      <c r="O125" s="12"/>
      <c r="P125" s="12"/>
      <c r="Q125" s="12">
        <v>509</v>
      </c>
      <c r="R125" s="12">
        <v>162</v>
      </c>
      <c r="S125" s="13">
        <v>126</v>
      </c>
      <c r="T125" s="13">
        <v>5</v>
      </c>
      <c r="U125" s="13">
        <v>7</v>
      </c>
      <c r="V125" s="13">
        <v>281.5</v>
      </c>
      <c r="W125" s="13">
        <v>465.39141000000001</v>
      </c>
      <c r="X125" s="281">
        <v>391.87776000000002</v>
      </c>
      <c r="Y125" s="281">
        <v>24.329000000000001</v>
      </c>
      <c r="Z125" s="281">
        <v>160.07644999999999</v>
      </c>
      <c r="AA125" s="281">
        <v>150.36000000000001</v>
      </c>
      <c r="AB125" s="281"/>
      <c r="AC125" s="341"/>
      <c r="AD125" s="341"/>
      <c r="AE125" s="345"/>
      <c r="AF125" s="282">
        <f t="shared" si="12"/>
        <v>2991.2346200000002</v>
      </c>
    </row>
    <row r="126" spans="1:65" s="2" customFormat="1" x14ac:dyDescent="0.2">
      <c r="A126" s="109">
        <f t="shared" si="11"/>
        <v>14</v>
      </c>
      <c r="B126" s="10" t="s">
        <v>272</v>
      </c>
      <c r="C126" s="12"/>
      <c r="D126" s="12"/>
      <c r="E126" s="10"/>
      <c r="F126" s="12"/>
      <c r="G126" s="12"/>
      <c r="H126" s="12"/>
      <c r="I126" s="12"/>
      <c r="J126" s="12">
        <v>30275</v>
      </c>
      <c r="K126" s="12">
        <v>102</v>
      </c>
      <c r="L126" s="12">
        <v>18</v>
      </c>
      <c r="M126" s="12">
        <v>47</v>
      </c>
      <c r="N126" s="12">
        <v>247</v>
      </c>
      <c r="O126" s="12">
        <v>25.8</v>
      </c>
      <c r="P126" s="12">
        <v>33</v>
      </c>
      <c r="Q126" s="12">
        <v>20</v>
      </c>
      <c r="R126" s="12">
        <v>3521</v>
      </c>
      <c r="S126" s="13">
        <v>56</v>
      </c>
      <c r="T126" s="13">
        <v>141</v>
      </c>
      <c r="U126" s="13">
        <v>1715</v>
      </c>
      <c r="V126" s="13">
        <v>1580.57</v>
      </c>
      <c r="W126" s="13">
        <v>4789.93</v>
      </c>
      <c r="X126" s="281">
        <v>20548.960000000003</v>
      </c>
      <c r="Y126" s="281">
        <v>21544.85</v>
      </c>
      <c r="Z126" s="281">
        <v>627.84000000000015</v>
      </c>
      <c r="AA126" s="281">
        <v>502.32</v>
      </c>
      <c r="AB126" s="281">
        <v>559.91999999999996</v>
      </c>
      <c r="AC126" s="341">
        <v>1762.79</v>
      </c>
      <c r="AD126" s="341"/>
      <c r="AE126" s="345"/>
      <c r="AF126" s="282">
        <f t="shared" si="12"/>
        <v>88117.98000000001</v>
      </c>
    </row>
    <row r="127" spans="1:65" s="2" customFormat="1" x14ac:dyDescent="0.2">
      <c r="A127" s="109">
        <f t="shared" si="11"/>
        <v>15</v>
      </c>
      <c r="B127" s="10" t="s">
        <v>312</v>
      </c>
      <c r="C127" s="12"/>
      <c r="D127" s="12"/>
      <c r="E127" s="10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3"/>
      <c r="T127" s="13"/>
      <c r="U127" s="13"/>
      <c r="V127" s="13"/>
      <c r="W127" s="13"/>
      <c r="X127" s="281"/>
      <c r="Y127" s="281"/>
      <c r="Z127" s="281"/>
      <c r="AA127" s="281"/>
      <c r="AB127" s="281">
        <v>1629.2134831460673</v>
      </c>
      <c r="AC127" s="341"/>
      <c r="AD127" s="341"/>
      <c r="AE127" s="345">
        <v>153055.80776608249</v>
      </c>
      <c r="AF127" s="282">
        <f t="shared" si="12"/>
        <v>154685.02124922856</v>
      </c>
    </row>
    <row r="128" spans="1:65" s="2" customFormat="1" x14ac:dyDescent="0.2">
      <c r="A128" s="109">
        <f t="shared" si="11"/>
        <v>16</v>
      </c>
      <c r="B128" s="10" t="s">
        <v>273</v>
      </c>
      <c r="C128" s="12"/>
      <c r="D128" s="12"/>
      <c r="E128" s="10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3"/>
      <c r="T128" s="13"/>
      <c r="U128" s="13"/>
      <c r="V128" s="13"/>
      <c r="W128" s="13">
        <v>100000</v>
      </c>
      <c r="X128" s="281">
        <v>1782.91733</v>
      </c>
      <c r="Y128" s="281"/>
      <c r="Z128" s="281"/>
      <c r="AA128" s="281"/>
      <c r="AB128" s="281"/>
      <c r="AC128" s="341"/>
      <c r="AD128" s="341"/>
      <c r="AE128" s="345"/>
      <c r="AF128" s="282">
        <f t="shared" si="12"/>
        <v>101782.91733</v>
      </c>
    </row>
    <row r="129" spans="1:37" s="2" customFormat="1" x14ac:dyDescent="0.2">
      <c r="A129" s="109">
        <f t="shared" si="11"/>
        <v>17</v>
      </c>
      <c r="B129" s="10" t="s">
        <v>274</v>
      </c>
      <c r="C129" s="12"/>
      <c r="D129" s="12"/>
      <c r="E129" s="10"/>
      <c r="F129" s="12"/>
      <c r="G129" s="12"/>
      <c r="H129" s="12"/>
      <c r="I129" s="12"/>
      <c r="J129" s="12"/>
      <c r="K129" s="12"/>
      <c r="L129" s="12"/>
      <c r="M129" s="12">
        <v>3642.94</v>
      </c>
      <c r="N129" s="12">
        <v>1125.3399999999999</v>
      </c>
      <c r="O129" s="12">
        <v>21.1</v>
      </c>
      <c r="P129" s="12">
        <v>259</v>
      </c>
      <c r="Q129" s="12">
        <v>275</v>
      </c>
      <c r="R129" s="12">
        <v>0</v>
      </c>
      <c r="S129" s="13">
        <v>0</v>
      </c>
      <c r="T129" s="13"/>
      <c r="U129" s="13"/>
      <c r="V129" s="13"/>
      <c r="W129" s="13"/>
      <c r="X129" s="281">
        <v>0</v>
      </c>
      <c r="Y129" s="281"/>
      <c r="Z129" s="281"/>
      <c r="AA129" s="281"/>
      <c r="AB129" s="281"/>
      <c r="AC129" s="341"/>
      <c r="AD129" s="341"/>
      <c r="AE129" s="345"/>
      <c r="AF129" s="282">
        <f t="shared" si="12"/>
        <v>5323.38</v>
      </c>
    </row>
    <row r="130" spans="1:37" s="2" customFormat="1" x14ac:dyDescent="0.2">
      <c r="A130" s="109">
        <f t="shared" si="11"/>
        <v>18</v>
      </c>
      <c r="B130" s="10" t="s">
        <v>275</v>
      </c>
      <c r="C130" s="12"/>
      <c r="D130" s="12"/>
      <c r="E130" s="10"/>
      <c r="F130" s="12"/>
      <c r="G130" s="12"/>
      <c r="H130" s="12"/>
      <c r="I130" s="12"/>
      <c r="J130" s="12">
        <v>1380</v>
      </c>
      <c r="K130" s="12">
        <v>8535</v>
      </c>
      <c r="L130" s="12">
        <v>12130</v>
      </c>
      <c r="M130" s="12">
        <v>8259</v>
      </c>
      <c r="N130" s="12">
        <v>13643</v>
      </c>
      <c r="O130" s="12">
        <v>65920</v>
      </c>
      <c r="P130" s="12">
        <v>28817</v>
      </c>
      <c r="Q130" s="12">
        <v>16731</v>
      </c>
      <c r="R130" s="12">
        <v>54628</v>
      </c>
      <c r="S130" s="13">
        <v>50170</v>
      </c>
      <c r="T130" s="13">
        <v>46299</v>
      </c>
      <c r="U130" s="13">
        <v>33575</v>
      </c>
      <c r="V130" s="13">
        <v>47169.200000000004</v>
      </c>
      <c r="W130" s="13">
        <v>51018.38</v>
      </c>
      <c r="X130" s="281">
        <v>42249</v>
      </c>
      <c r="Y130" s="281">
        <v>28466.97</v>
      </c>
      <c r="Z130" s="281">
        <v>23978.43</v>
      </c>
      <c r="AA130" s="281">
        <v>21785.650000000005</v>
      </c>
      <c r="AB130" s="281">
        <v>2315.42</v>
      </c>
      <c r="AC130" s="341">
        <v>162658.71000000002</v>
      </c>
      <c r="AD130" s="341"/>
      <c r="AE130" s="345">
        <v>3685.85482</v>
      </c>
      <c r="AF130" s="282">
        <f t="shared" si="12"/>
        <v>723414.61482000025</v>
      </c>
    </row>
    <row r="131" spans="1:37" s="2" customFormat="1" x14ac:dyDescent="0.2">
      <c r="A131" s="109">
        <f t="shared" si="11"/>
        <v>19</v>
      </c>
      <c r="B131" s="17" t="s">
        <v>276</v>
      </c>
      <c r="C131" s="18"/>
      <c r="D131" s="18"/>
      <c r="E131" s="17"/>
      <c r="F131" s="17"/>
      <c r="G131" s="18">
        <v>23908.720000000001</v>
      </c>
      <c r="H131" s="18">
        <v>52138</v>
      </c>
      <c r="I131" s="18">
        <v>12263</v>
      </c>
      <c r="J131" s="18">
        <v>2556</v>
      </c>
      <c r="K131" s="18">
        <v>2661.91</v>
      </c>
      <c r="L131" s="18">
        <v>3125.86</v>
      </c>
      <c r="M131" s="18">
        <v>1465.67</v>
      </c>
      <c r="N131" s="18"/>
      <c r="O131" s="18"/>
      <c r="P131" s="18"/>
      <c r="Q131" s="18">
        <v>180</v>
      </c>
      <c r="R131" s="18">
        <v>703</v>
      </c>
      <c r="S131" s="14">
        <v>0</v>
      </c>
      <c r="T131" s="14">
        <v>49</v>
      </c>
      <c r="U131" s="14">
        <v>532</v>
      </c>
      <c r="V131" s="14">
        <v>271.21187999999995</v>
      </c>
      <c r="W131" s="14">
        <v>27140</v>
      </c>
      <c r="X131" s="281">
        <v>121.946</v>
      </c>
      <c r="Y131" s="281">
        <v>46.6</v>
      </c>
      <c r="Z131" s="281"/>
      <c r="AA131" s="281">
        <v>4356</v>
      </c>
      <c r="AB131" s="281"/>
      <c r="AC131" s="341"/>
      <c r="AD131" s="341">
        <v>3.9</v>
      </c>
      <c r="AE131" s="345">
        <v>63.242959999999997</v>
      </c>
      <c r="AF131" s="282">
        <f t="shared" si="12"/>
        <v>131586.06084000002</v>
      </c>
    </row>
    <row r="132" spans="1:37" s="2" customFormat="1" x14ac:dyDescent="0.2">
      <c r="A132" s="109">
        <f t="shared" si="11"/>
        <v>20</v>
      </c>
      <c r="B132" s="17" t="s">
        <v>270</v>
      </c>
      <c r="C132" s="18"/>
      <c r="D132" s="18"/>
      <c r="E132" s="17"/>
      <c r="F132" s="17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4"/>
      <c r="T132" s="14"/>
      <c r="U132" s="14"/>
      <c r="V132" s="14"/>
      <c r="W132" s="14"/>
      <c r="X132" s="281">
        <v>22319.200000000001</v>
      </c>
      <c r="Y132" s="281">
        <v>2985.7330316742077</v>
      </c>
      <c r="Z132" s="281"/>
      <c r="AA132" s="281"/>
      <c r="AB132" s="281"/>
      <c r="AC132" s="341"/>
      <c r="AD132" s="341"/>
      <c r="AE132" s="345">
        <v>50.466589999999997</v>
      </c>
      <c r="AF132" s="282">
        <f t="shared" si="12"/>
        <v>25355.399621674209</v>
      </c>
    </row>
    <row r="133" spans="1:37" s="2" customFormat="1" x14ac:dyDescent="0.2">
      <c r="A133" s="109">
        <f t="shared" si="11"/>
        <v>21</v>
      </c>
      <c r="B133" s="17" t="s">
        <v>290</v>
      </c>
      <c r="C133" s="18"/>
      <c r="D133" s="18"/>
      <c r="E133" s="17"/>
      <c r="F133" s="17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4"/>
      <c r="T133" s="14"/>
      <c r="U133" s="14"/>
      <c r="V133" s="14"/>
      <c r="W133" s="14"/>
      <c r="X133" s="281"/>
      <c r="Y133" s="281">
        <v>2140.4582366589325</v>
      </c>
      <c r="Z133" s="281"/>
      <c r="AA133" s="281"/>
      <c r="AB133" s="281"/>
      <c r="AC133" s="341"/>
      <c r="AD133" s="341">
        <v>7.1185999999999998</v>
      </c>
      <c r="AE133" s="345"/>
      <c r="AF133" s="282">
        <f t="shared" si="12"/>
        <v>2147.5768366589323</v>
      </c>
    </row>
    <row r="134" spans="1:37" s="2" customFormat="1" x14ac:dyDescent="0.2">
      <c r="A134" s="109">
        <f t="shared" si="11"/>
        <v>22</v>
      </c>
      <c r="B134" s="17" t="s">
        <v>324</v>
      </c>
      <c r="C134" s="18"/>
      <c r="D134" s="18"/>
      <c r="E134" s="17"/>
      <c r="F134" s="17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4"/>
      <c r="T134" s="14"/>
      <c r="U134" s="14"/>
      <c r="V134" s="14"/>
      <c r="W134" s="14"/>
      <c r="X134" s="281"/>
      <c r="Y134" s="284"/>
      <c r="Z134" s="284"/>
      <c r="AA134" s="284"/>
      <c r="AB134" s="284"/>
      <c r="AC134" s="342"/>
      <c r="AD134" s="342">
        <v>3.4243000000000001</v>
      </c>
      <c r="AE134" s="346">
        <v>442.40460999999999</v>
      </c>
      <c r="AF134" s="282">
        <f t="shared" si="12"/>
        <v>445.82891000000001</v>
      </c>
    </row>
    <row r="135" spans="1:37" s="2" customFormat="1" x14ac:dyDescent="0.2">
      <c r="A135" s="109">
        <f t="shared" si="11"/>
        <v>23</v>
      </c>
      <c r="B135" s="17" t="s">
        <v>277</v>
      </c>
      <c r="C135" s="18"/>
      <c r="D135" s="18"/>
      <c r="E135" s="17"/>
      <c r="F135" s="17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4"/>
      <c r="T135" s="14"/>
      <c r="U135" s="14"/>
      <c r="V135" s="14"/>
      <c r="W135" s="14">
        <v>2.1</v>
      </c>
      <c r="X135" s="281">
        <v>179.89500000000001</v>
      </c>
      <c r="Y135" s="284">
        <v>107</v>
      </c>
      <c r="Z135" s="284">
        <v>2153.0873150000002</v>
      </c>
      <c r="AA135" s="284">
        <v>23308.993896</v>
      </c>
      <c r="AB135" s="284">
        <v>2.1994382022471908</v>
      </c>
      <c r="AC135" s="342"/>
      <c r="AD135" s="342"/>
      <c r="AE135" s="346">
        <v>27.072379999999999</v>
      </c>
      <c r="AF135" s="282">
        <f t="shared" si="12"/>
        <v>25780.348029202247</v>
      </c>
    </row>
    <row r="136" spans="1:37" s="2" customFormat="1" x14ac:dyDescent="0.2">
      <c r="A136" s="109">
        <f t="shared" si="11"/>
        <v>24</v>
      </c>
      <c r="B136" s="17" t="s">
        <v>298</v>
      </c>
      <c r="C136" s="18"/>
      <c r="D136" s="18"/>
      <c r="E136" s="17"/>
      <c r="F136" s="17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4"/>
      <c r="T136" s="14"/>
      <c r="U136" s="14"/>
      <c r="V136" s="14"/>
      <c r="W136" s="14"/>
      <c r="X136" s="281"/>
      <c r="Y136" s="284"/>
      <c r="Z136" s="284"/>
      <c r="AA136" s="284">
        <v>107.29237520808874</v>
      </c>
      <c r="AB136" s="284"/>
      <c r="AC136" s="341"/>
      <c r="AD136" s="342"/>
      <c r="AE136" s="346"/>
      <c r="AF136" s="282">
        <f t="shared" si="12"/>
        <v>107.29237520808874</v>
      </c>
    </row>
    <row r="137" spans="1:37" s="2" customFormat="1" ht="13.5" thickBot="1" x14ac:dyDescent="0.25">
      <c r="A137" s="109">
        <f>+A136+1</f>
        <v>25</v>
      </c>
      <c r="B137" s="17" t="s">
        <v>299</v>
      </c>
      <c r="C137" s="18"/>
      <c r="D137" s="18"/>
      <c r="E137" s="17"/>
      <c r="F137" s="17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4"/>
      <c r="T137" s="14"/>
      <c r="U137" s="14"/>
      <c r="V137" s="14"/>
      <c r="W137" s="13"/>
      <c r="X137" s="281"/>
      <c r="Y137" s="285"/>
      <c r="Z137" s="285"/>
      <c r="AA137" s="285">
        <v>10787.987233046631</v>
      </c>
      <c r="AB137" s="285">
        <v>0.47074129888981464</v>
      </c>
      <c r="AC137" s="343"/>
      <c r="AD137" s="343"/>
      <c r="AE137" s="346"/>
      <c r="AF137" s="282">
        <f t="shared" si="12"/>
        <v>10788.457974345522</v>
      </c>
    </row>
    <row r="138" spans="1:37" s="2" customFormat="1" ht="15" thickBot="1" x14ac:dyDescent="0.25">
      <c r="A138" s="422" t="s">
        <v>0</v>
      </c>
      <c r="B138" s="423"/>
      <c r="C138" s="19"/>
      <c r="D138" s="19"/>
      <c r="E138" s="20"/>
      <c r="F138" s="19">
        <v>13488</v>
      </c>
      <c r="G138" s="19">
        <v>139488.72</v>
      </c>
      <c r="H138" s="19">
        <v>102249</v>
      </c>
      <c r="I138" s="19">
        <v>58627</v>
      </c>
      <c r="J138" s="19">
        <v>37280</v>
      </c>
      <c r="K138" s="21">
        <v>12825.61</v>
      </c>
      <c r="L138" s="19">
        <v>24365.86</v>
      </c>
      <c r="M138" s="21">
        <v>20633.900000000001</v>
      </c>
      <c r="N138" s="21">
        <v>16543.45</v>
      </c>
      <c r="O138" s="21">
        <v>69635.899999999994</v>
      </c>
      <c r="P138" s="21">
        <v>43106</v>
      </c>
      <c r="Q138" s="21">
        <v>254363</v>
      </c>
      <c r="R138" s="22">
        <v>332557</v>
      </c>
      <c r="S138" s="22">
        <v>278546</v>
      </c>
      <c r="T138" s="22">
        <v>470270</v>
      </c>
      <c r="U138" s="22">
        <v>188413.4</v>
      </c>
      <c r="V138" s="22">
        <v>244012.44188</v>
      </c>
      <c r="W138" s="113">
        <v>354971.69140999997</v>
      </c>
      <c r="X138" s="113">
        <v>398286.11609000008</v>
      </c>
      <c r="Y138" s="113">
        <f t="shared" ref="Y138:AF138" si="13">SUM(Y113:Y137)</f>
        <v>269023.76026833314</v>
      </c>
      <c r="Z138" s="113">
        <f t="shared" si="13"/>
        <v>81554.137765000007</v>
      </c>
      <c r="AA138" s="113">
        <f t="shared" si="13"/>
        <v>152234.25350425474</v>
      </c>
      <c r="AB138" s="322">
        <f t="shared" si="13"/>
        <v>7073.0336626472053</v>
      </c>
      <c r="AC138" s="21">
        <f t="shared" si="13"/>
        <v>506984.87</v>
      </c>
      <c r="AD138" s="19">
        <f t="shared" si="13"/>
        <v>157397.41952</v>
      </c>
      <c r="AE138" s="113">
        <f t="shared" si="13"/>
        <v>243044.54286608248</v>
      </c>
      <c r="AF138" s="347">
        <f t="shared" si="13"/>
        <v>4476975.1069663167</v>
      </c>
      <c r="AG138" s="286"/>
    </row>
    <row r="139" spans="1:37" s="2" customFormat="1" ht="15" thickBot="1" x14ac:dyDescent="0.25">
      <c r="A139" s="287"/>
      <c r="B139" s="287"/>
      <c r="C139" s="288"/>
      <c r="D139" s="288"/>
      <c r="E139" s="289"/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  <c r="X139" s="288"/>
      <c r="Y139" s="288"/>
      <c r="Z139" s="288"/>
      <c r="AA139" s="288"/>
      <c r="AB139" s="288"/>
      <c r="AC139" s="288"/>
      <c r="AD139" s="288"/>
      <c r="AE139" s="288"/>
      <c r="AF139" s="290"/>
      <c r="AG139" s="286"/>
    </row>
    <row r="140" spans="1:37" s="2" customFormat="1" ht="16.5" thickBot="1" x14ac:dyDescent="0.3">
      <c r="A140" s="386" t="s">
        <v>75</v>
      </c>
      <c r="B140" s="385" t="s">
        <v>97</v>
      </c>
      <c r="C140" s="380">
        <v>1995</v>
      </c>
      <c r="D140" s="380">
        <v>1996</v>
      </c>
      <c r="E140" s="380">
        <v>1997</v>
      </c>
      <c r="F140" s="380">
        <v>1998</v>
      </c>
      <c r="G140" s="380">
        <v>1999</v>
      </c>
      <c r="H140" s="381">
        <v>2000</v>
      </c>
      <c r="I140" s="381">
        <v>2001</v>
      </c>
      <c r="J140" s="381">
        <v>2002</v>
      </c>
      <c r="K140" s="381">
        <v>2003</v>
      </c>
      <c r="L140" s="381">
        <v>2004</v>
      </c>
      <c r="M140" s="381">
        <v>2005</v>
      </c>
      <c r="N140" s="381">
        <v>2006</v>
      </c>
      <c r="O140" s="381">
        <v>2007</v>
      </c>
      <c r="P140" s="381">
        <v>2008</v>
      </c>
      <c r="Q140" s="382">
        <v>2009</v>
      </c>
      <c r="R140" s="380">
        <v>2010</v>
      </c>
      <c r="S140" s="380">
        <v>2011</v>
      </c>
      <c r="T140" s="380">
        <v>2012</v>
      </c>
      <c r="U140" s="380">
        <v>2013</v>
      </c>
      <c r="V140" s="380">
        <v>2014</v>
      </c>
      <c r="W140" s="382">
        <v>2015</v>
      </c>
      <c r="X140" s="380">
        <v>2016</v>
      </c>
      <c r="Y140" s="380">
        <v>2017</v>
      </c>
      <c r="Z140" s="380">
        <v>2018</v>
      </c>
      <c r="AA140" s="380">
        <v>2019</v>
      </c>
      <c r="AB140" s="380">
        <v>2020</v>
      </c>
      <c r="AC140" s="380">
        <v>2021</v>
      </c>
      <c r="AD140" s="380">
        <v>2022</v>
      </c>
      <c r="AE140" s="382">
        <v>2023</v>
      </c>
      <c r="AF140" s="384" t="s">
        <v>0</v>
      </c>
    </row>
    <row r="141" spans="1:37" s="2" customFormat="1" ht="14.25" x14ac:dyDescent="0.2">
      <c r="A141" s="5">
        <v>1</v>
      </c>
      <c r="B141" s="352" t="s">
        <v>318</v>
      </c>
      <c r="C141" s="7"/>
      <c r="D141" s="6"/>
      <c r="E141" s="6"/>
      <c r="F141" s="6"/>
      <c r="G141" s="7"/>
      <c r="H141" s="353"/>
      <c r="I141" s="353"/>
      <c r="J141" s="353"/>
      <c r="K141" s="353"/>
      <c r="L141" s="353"/>
      <c r="M141" s="353"/>
      <c r="N141" s="353"/>
      <c r="O141" s="353"/>
      <c r="P141" s="353"/>
      <c r="Q141" s="354"/>
      <c r="R141" s="7"/>
      <c r="S141" s="8"/>
      <c r="T141" s="8"/>
      <c r="U141" s="8"/>
      <c r="V141" s="8"/>
      <c r="W141" s="353"/>
      <c r="X141" s="349"/>
      <c r="Y141" s="349"/>
      <c r="Z141" s="349"/>
      <c r="AA141" s="349"/>
      <c r="AB141" s="349"/>
      <c r="AC141" s="340"/>
      <c r="AD141" s="363">
        <v>865.82599949093174</v>
      </c>
      <c r="AE141" s="350">
        <v>911.49333759036142</v>
      </c>
      <c r="AF141" s="348">
        <f>SUM(C141:AE141)</f>
        <v>1777.3193370812933</v>
      </c>
      <c r="AK141" s="24"/>
    </row>
    <row r="142" spans="1:37" s="2" customFormat="1" ht="14.25" x14ac:dyDescent="0.2">
      <c r="A142" s="9">
        <f t="shared" ref="A142:A158" si="14">A141+1</f>
        <v>2</v>
      </c>
      <c r="B142" s="351" t="s">
        <v>98</v>
      </c>
      <c r="C142" s="111"/>
      <c r="D142" s="351"/>
      <c r="E142" s="351"/>
      <c r="F142" s="351"/>
      <c r="G142" s="111">
        <v>281.10000000000002</v>
      </c>
      <c r="H142" s="111">
        <v>856</v>
      </c>
      <c r="I142" s="111">
        <v>36591.300000000003</v>
      </c>
      <c r="J142" s="111">
        <v>491</v>
      </c>
      <c r="K142" s="111">
        <v>179.5</v>
      </c>
      <c r="L142" s="111">
        <v>567.9</v>
      </c>
      <c r="M142" s="111">
        <v>632</v>
      </c>
      <c r="N142" s="111">
        <v>924</v>
      </c>
      <c r="O142" s="111">
        <v>1318.67</v>
      </c>
      <c r="P142" s="111">
        <v>1268</v>
      </c>
      <c r="Q142" s="111">
        <v>2798</v>
      </c>
      <c r="R142" s="111">
        <v>3663</v>
      </c>
      <c r="S142" s="112">
        <v>1624</v>
      </c>
      <c r="T142" s="112">
        <v>2051</v>
      </c>
      <c r="U142" s="112">
        <v>1588.4</v>
      </c>
      <c r="V142" s="112">
        <v>3540.58</v>
      </c>
      <c r="W142" s="112"/>
      <c r="X142" s="281">
        <v>812.4</v>
      </c>
      <c r="Y142" s="281"/>
      <c r="Z142" s="281"/>
      <c r="AA142" s="281"/>
      <c r="AB142" s="281"/>
      <c r="AC142" s="281"/>
      <c r="AD142" s="341"/>
      <c r="AE142" s="345">
        <v>2013.4888994748069</v>
      </c>
      <c r="AF142" s="348">
        <f>SUM(C142:AE142)</f>
        <v>61200.338899474809</v>
      </c>
      <c r="AK142" s="24"/>
    </row>
    <row r="143" spans="1:37" s="2" customFormat="1" ht="14.25" x14ac:dyDescent="0.2">
      <c r="A143" s="9">
        <f t="shared" si="14"/>
        <v>3</v>
      </c>
      <c r="B143" s="10" t="s">
        <v>99</v>
      </c>
      <c r="C143" s="12"/>
      <c r="D143" s="12"/>
      <c r="E143" s="12"/>
      <c r="F143" s="12"/>
      <c r="G143" s="12"/>
      <c r="H143" s="12">
        <v>24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>
        <v>35</v>
      </c>
      <c r="S143" s="13">
        <v>26.6</v>
      </c>
      <c r="T143" s="13">
        <v>70</v>
      </c>
      <c r="U143" s="13"/>
      <c r="V143" s="13"/>
      <c r="W143" s="13"/>
      <c r="X143" s="281"/>
      <c r="Y143" s="281"/>
      <c r="Z143" s="281"/>
      <c r="AA143" s="281"/>
      <c r="AB143" s="281"/>
      <c r="AC143" s="281"/>
      <c r="AD143" s="341">
        <v>139324.38481675394</v>
      </c>
      <c r="AE143" s="345"/>
      <c r="AF143" s="348">
        <f t="shared" ref="AF143:AF158" si="15">SUM(C143:AE143)</f>
        <v>139479.98481675395</v>
      </c>
      <c r="AG143" s="24"/>
      <c r="AH143" s="24"/>
      <c r="AI143" s="24"/>
      <c r="AK143" s="24"/>
    </row>
    <row r="144" spans="1:37" s="2" customFormat="1" ht="14.25" x14ac:dyDescent="0.2">
      <c r="A144" s="9">
        <f t="shared" si="14"/>
        <v>4</v>
      </c>
      <c r="B144" s="10" t="s">
        <v>100</v>
      </c>
      <c r="C144" s="12"/>
      <c r="D144" s="10"/>
      <c r="E144" s="10"/>
      <c r="F144" s="12">
        <v>1285</v>
      </c>
      <c r="G144" s="12">
        <v>1190</v>
      </c>
      <c r="H144" s="12">
        <v>20337</v>
      </c>
      <c r="I144" s="12">
        <v>2232</v>
      </c>
      <c r="J144" s="12"/>
      <c r="K144" s="12"/>
      <c r="L144" s="12"/>
      <c r="M144" s="12"/>
      <c r="N144" s="12"/>
      <c r="O144" s="12"/>
      <c r="P144" s="12"/>
      <c r="Q144" s="12"/>
      <c r="R144" s="12"/>
      <c r="S144" s="13"/>
      <c r="T144" s="13"/>
      <c r="U144" s="13"/>
      <c r="V144" s="13"/>
      <c r="W144" s="13"/>
      <c r="X144" s="281"/>
      <c r="Y144" s="281"/>
      <c r="Z144" s="281"/>
      <c r="AA144" s="281"/>
      <c r="AB144" s="281"/>
      <c r="AC144" s="281"/>
      <c r="AD144" s="341"/>
      <c r="AE144" s="345"/>
      <c r="AF144" s="348">
        <f t="shared" si="15"/>
        <v>25044</v>
      </c>
      <c r="AG144" s="24"/>
      <c r="AH144" s="24"/>
      <c r="AI144" s="24"/>
      <c r="AK144" s="24"/>
    </row>
    <row r="145" spans="1:64" s="2" customFormat="1" ht="14.45" customHeight="1" x14ac:dyDescent="0.2">
      <c r="A145" s="9">
        <f t="shared" si="14"/>
        <v>5</v>
      </c>
      <c r="B145" s="10" t="s">
        <v>278</v>
      </c>
      <c r="C145" s="12"/>
      <c r="D145" s="10"/>
      <c r="E145" s="12">
        <v>3330</v>
      </c>
      <c r="F145" s="12">
        <v>4169</v>
      </c>
      <c r="G145" s="12">
        <v>2487</v>
      </c>
      <c r="H145" s="12">
        <v>3356</v>
      </c>
      <c r="I145" s="12">
        <v>1847</v>
      </c>
      <c r="J145" s="12">
        <v>935</v>
      </c>
      <c r="K145" s="12">
        <v>586</v>
      </c>
      <c r="L145" s="12">
        <v>236</v>
      </c>
      <c r="M145" s="12">
        <v>1495.08</v>
      </c>
      <c r="N145" s="12">
        <v>2109</v>
      </c>
      <c r="O145" s="12">
        <v>2243</v>
      </c>
      <c r="P145" s="12">
        <v>14750</v>
      </c>
      <c r="Q145" s="12">
        <v>15656</v>
      </c>
      <c r="R145" s="12">
        <v>11111</v>
      </c>
      <c r="S145" s="13">
        <v>6826</v>
      </c>
      <c r="T145" s="13">
        <v>7109</v>
      </c>
      <c r="U145" s="13">
        <v>14212</v>
      </c>
      <c r="V145" s="13">
        <v>7035.3</v>
      </c>
      <c r="W145" s="13">
        <v>9004.1241761770361</v>
      </c>
      <c r="X145" s="281">
        <v>11677.156096797433</v>
      </c>
      <c r="Y145" s="281">
        <v>8234.0189599999903</v>
      </c>
      <c r="Z145" s="281">
        <v>9559.3397999999997</v>
      </c>
      <c r="AA145" s="281">
        <v>4725.3164199731709</v>
      </c>
      <c r="AB145" s="281">
        <v>5459.8915099999958</v>
      </c>
      <c r="AC145" s="281">
        <v>3401.7308570224718</v>
      </c>
      <c r="AD145" s="341">
        <v>14644.150000000001</v>
      </c>
      <c r="AE145" s="345">
        <v>21592.760512941291</v>
      </c>
      <c r="AF145" s="348">
        <f t="shared" si="15"/>
        <v>187790.8683329114</v>
      </c>
    </row>
    <row r="146" spans="1:64" s="2" customFormat="1" ht="14.25" x14ac:dyDescent="0.2">
      <c r="A146" s="9">
        <f t="shared" si="14"/>
        <v>6</v>
      </c>
      <c r="B146" s="10" t="s">
        <v>101</v>
      </c>
      <c r="C146" s="12"/>
      <c r="D146" s="12"/>
      <c r="E146" s="12"/>
      <c r="F146" s="12">
        <v>11467</v>
      </c>
      <c r="G146" s="12">
        <v>11192</v>
      </c>
      <c r="H146" s="12">
        <v>4478</v>
      </c>
      <c r="I146" s="12">
        <v>1605</v>
      </c>
      <c r="J146" s="12"/>
      <c r="K146" s="12"/>
      <c r="L146" s="12"/>
      <c r="M146" s="12"/>
      <c r="N146" s="12"/>
      <c r="O146" s="12"/>
      <c r="P146" s="12"/>
      <c r="Q146" s="12"/>
      <c r="R146" s="12"/>
      <c r="S146" s="13"/>
      <c r="T146" s="13"/>
      <c r="U146" s="13"/>
      <c r="V146" s="13"/>
      <c r="W146" s="13"/>
      <c r="X146" s="281"/>
      <c r="Y146" s="281"/>
      <c r="Z146" s="281"/>
      <c r="AA146" s="281"/>
      <c r="AB146" s="281"/>
      <c r="AC146" s="281"/>
      <c r="AD146" s="341"/>
      <c r="AE146" s="345"/>
      <c r="AF146" s="348">
        <f t="shared" si="15"/>
        <v>28742</v>
      </c>
      <c r="AG146" s="24"/>
      <c r="AH146" s="24"/>
      <c r="AI146" s="24"/>
      <c r="AJ146" s="24"/>
      <c r="AK146" s="24"/>
    </row>
    <row r="147" spans="1:64" s="2" customFormat="1" ht="14.25" x14ac:dyDescent="0.2">
      <c r="A147" s="9">
        <f t="shared" si="14"/>
        <v>7</v>
      </c>
      <c r="B147" s="10" t="s">
        <v>102</v>
      </c>
      <c r="C147" s="12"/>
      <c r="D147" s="10"/>
      <c r="E147" s="10"/>
      <c r="F147" s="12">
        <v>4179</v>
      </c>
      <c r="G147" s="12">
        <v>2379</v>
      </c>
      <c r="H147" s="12">
        <v>1878</v>
      </c>
      <c r="I147" s="12">
        <v>1970.4</v>
      </c>
      <c r="J147" s="12"/>
      <c r="K147" s="12"/>
      <c r="L147" s="12"/>
      <c r="M147" s="12"/>
      <c r="N147" s="12"/>
      <c r="O147" s="12"/>
      <c r="P147" s="12"/>
      <c r="Q147" s="12"/>
      <c r="R147" s="12"/>
      <c r="S147" s="13"/>
      <c r="T147" s="13"/>
      <c r="U147" s="13"/>
      <c r="V147" s="13"/>
      <c r="W147" s="13"/>
      <c r="X147" s="281"/>
      <c r="Y147" s="281"/>
      <c r="Z147" s="281"/>
      <c r="AA147" s="281"/>
      <c r="AB147" s="281"/>
      <c r="AC147" s="281"/>
      <c r="AD147" s="341"/>
      <c r="AE147" s="345"/>
      <c r="AF147" s="348">
        <f t="shared" si="15"/>
        <v>10406.4</v>
      </c>
    </row>
    <row r="148" spans="1:64" s="2" customFormat="1" ht="14.25" x14ac:dyDescent="0.2">
      <c r="A148" s="9">
        <f t="shared" si="14"/>
        <v>8</v>
      </c>
      <c r="B148" s="10" t="s">
        <v>146</v>
      </c>
      <c r="C148" s="12"/>
      <c r="D148" s="12"/>
      <c r="E148" s="12"/>
      <c r="F148" s="12"/>
      <c r="G148" s="12"/>
      <c r="H148" s="12">
        <v>222</v>
      </c>
      <c r="I148" s="12">
        <v>239</v>
      </c>
      <c r="J148" s="12">
        <v>509</v>
      </c>
      <c r="K148" s="12">
        <v>458</v>
      </c>
      <c r="L148" s="12">
        <v>1588</v>
      </c>
      <c r="M148" s="12">
        <v>4575</v>
      </c>
      <c r="N148" s="12">
        <v>1826</v>
      </c>
      <c r="O148" s="12">
        <v>1004</v>
      </c>
      <c r="P148" s="12">
        <v>900</v>
      </c>
      <c r="Q148" s="12">
        <v>1196</v>
      </c>
      <c r="R148" s="12">
        <v>1345</v>
      </c>
      <c r="S148" s="13">
        <v>1664</v>
      </c>
      <c r="T148" s="13">
        <v>3282</v>
      </c>
      <c r="U148" s="13">
        <v>1135</v>
      </c>
      <c r="V148" s="13">
        <v>3322.3</v>
      </c>
      <c r="W148" s="13">
        <v>1100</v>
      </c>
      <c r="X148" s="281"/>
      <c r="Y148" s="281"/>
      <c r="Z148" s="281"/>
      <c r="AA148" s="281"/>
      <c r="AB148" s="281"/>
      <c r="AC148" s="281"/>
      <c r="AD148" s="341"/>
      <c r="AE148" s="345"/>
      <c r="AF148" s="348">
        <f t="shared" si="15"/>
        <v>24365.3</v>
      </c>
    </row>
    <row r="149" spans="1:64" s="2" customFormat="1" ht="14.25" x14ac:dyDescent="0.2">
      <c r="A149" s="9">
        <f t="shared" si="14"/>
        <v>9</v>
      </c>
      <c r="B149" s="23" t="s">
        <v>103</v>
      </c>
      <c r="C149" s="12"/>
      <c r="D149" s="12"/>
      <c r="E149" s="12"/>
      <c r="F149" s="12"/>
      <c r="G149" s="12">
        <v>17</v>
      </c>
      <c r="H149" s="12">
        <v>13</v>
      </c>
      <c r="I149" s="12">
        <v>2.4900000000000002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3"/>
      <c r="T149" s="13"/>
      <c r="U149" s="13"/>
      <c r="V149" s="13"/>
      <c r="W149" s="13"/>
      <c r="X149" s="281"/>
      <c r="Y149" s="281"/>
      <c r="Z149" s="281"/>
      <c r="AA149" s="281"/>
      <c r="AB149" s="281"/>
      <c r="AC149" s="281"/>
      <c r="AD149" s="341"/>
      <c r="AE149" s="345"/>
      <c r="AF149" s="348">
        <f t="shared" si="15"/>
        <v>32.49</v>
      </c>
      <c r="AG149" s="24"/>
      <c r="AH149" s="24"/>
      <c r="AI149" s="24"/>
    </row>
    <row r="150" spans="1:64" s="2" customFormat="1" ht="14.25" x14ac:dyDescent="0.2">
      <c r="A150" s="25">
        <f t="shared" si="14"/>
        <v>10</v>
      </c>
      <c r="B150" s="23" t="s">
        <v>104</v>
      </c>
      <c r="C150" s="12"/>
      <c r="D150" s="12"/>
      <c r="E150" s="12"/>
      <c r="F150" s="12"/>
      <c r="G150" s="12"/>
      <c r="H150" s="12">
        <v>160</v>
      </c>
      <c r="I150" s="12"/>
      <c r="J150" s="12">
        <v>85</v>
      </c>
      <c r="K150" s="12"/>
      <c r="L150" s="12"/>
      <c r="M150" s="12"/>
      <c r="N150" s="12"/>
      <c r="O150" s="12"/>
      <c r="P150" s="12"/>
      <c r="Q150" s="12"/>
      <c r="R150" s="12"/>
      <c r="S150" s="13"/>
      <c r="T150" s="13"/>
      <c r="U150" s="13"/>
      <c r="V150" s="13"/>
      <c r="W150" s="13"/>
      <c r="X150" s="281"/>
      <c r="Y150" s="281"/>
      <c r="Z150" s="281"/>
      <c r="AA150" s="281"/>
      <c r="AB150" s="281"/>
      <c r="AC150" s="281"/>
      <c r="AD150" s="341"/>
      <c r="AE150" s="345"/>
      <c r="AF150" s="348">
        <f t="shared" si="15"/>
        <v>245</v>
      </c>
      <c r="AG150" s="24"/>
      <c r="AH150" s="24"/>
      <c r="AI150" s="24"/>
      <c r="AJ150" s="24"/>
      <c r="AK150" s="24"/>
      <c r="AL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</row>
    <row r="151" spans="1:64" s="2" customFormat="1" ht="14.25" x14ac:dyDescent="0.2">
      <c r="A151" s="25">
        <f t="shared" si="14"/>
        <v>11</v>
      </c>
      <c r="B151" s="23" t="s">
        <v>105</v>
      </c>
      <c r="C151" s="12"/>
      <c r="D151" s="12">
        <v>11.71</v>
      </c>
      <c r="E151" s="12">
        <v>8.9600000000000009</v>
      </c>
      <c r="F151" s="12">
        <v>8.9600000000000009</v>
      </c>
      <c r="G151" s="12">
        <v>37.43</v>
      </c>
      <c r="H151" s="12">
        <v>133</v>
      </c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3"/>
      <c r="T151" s="13"/>
      <c r="U151" s="13"/>
      <c r="V151" s="13"/>
      <c r="W151" s="13"/>
      <c r="X151" s="281"/>
      <c r="Y151" s="281"/>
      <c r="Z151" s="281"/>
      <c r="AA151" s="281"/>
      <c r="AB151" s="281"/>
      <c r="AC151" s="281"/>
      <c r="AD151" s="341"/>
      <c r="AE151" s="345">
        <v>16.528260270195755</v>
      </c>
      <c r="AF151" s="348">
        <f t="shared" si="15"/>
        <v>216.58826027019575</v>
      </c>
      <c r="AG151" s="24"/>
      <c r="AH151" s="24"/>
      <c r="AI151" s="24"/>
      <c r="AJ151" s="24"/>
      <c r="AK151" s="24"/>
      <c r="AL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</row>
    <row r="152" spans="1:64" s="2" customFormat="1" ht="14.25" x14ac:dyDescent="0.2">
      <c r="A152" s="9">
        <f t="shared" si="14"/>
        <v>12</v>
      </c>
      <c r="B152" s="10" t="s">
        <v>325</v>
      </c>
      <c r="C152" s="12">
        <v>23889</v>
      </c>
      <c r="D152" s="12">
        <v>53642</v>
      </c>
      <c r="E152" s="12">
        <v>56848</v>
      </c>
      <c r="F152" s="12">
        <v>30900</v>
      </c>
      <c r="G152" s="12">
        <v>41037</v>
      </c>
      <c r="H152" s="12">
        <v>36000</v>
      </c>
      <c r="I152" s="12">
        <v>40011</v>
      </c>
      <c r="J152" s="12">
        <v>30160</v>
      </c>
      <c r="K152" s="12">
        <v>22213</v>
      </c>
      <c r="L152" s="12">
        <v>18722</v>
      </c>
      <c r="M152" s="12">
        <v>27752</v>
      </c>
      <c r="N152" s="12">
        <v>38969</v>
      </c>
      <c r="O152" s="12">
        <v>43501</v>
      </c>
      <c r="P152" s="12">
        <v>69483</v>
      </c>
      <c r="Q152" s="12">
        <v>61766</v>
      </c>
      <c r="R152" s="12">
        <v>48070</v>
      </c>
      <c r="S152" s="13">
        <v>80274</v>
      </c>
      <c r="T152" s="13">
        <v>112415</v>
      </c>
      <c r="U152" s="13">
        <v>118281</v>
      </c>
      <c r="V152" s="13">
        <v>148862.29999999999</v>
      </c>
      <c r="W152" s="13">
        <v>150080.29522613072</v>
      </c>
      <c r="X152" s="281">
        <v>123319.37982195846</v>
      </c>
      <c r="Y152" s="281">
        <v>124331.25734621966</v>
      </c>
      <c r="Z152" s="281">
        <v>124879.12017052152</v>
      </c>
      <c r="AA152" s="281"/>
      <c r="AB152" s="281">
        <v>112045.76548812522</v>
      </c>
      <c r="AC152" s="281">
        <v>166853.93258426967</v>
      </c>
      <c r="AD152" s="341"/>
      <c r="AE152" s="345">
        <v>118637.10974473687</v>
      </c>
      <c r="AF152" s="348">
        <f t="shared" si="15"/>
        <v>2022942.1603819621</v>
      </c>
      <c r="AG152" s="24"/>
      <c r="AH152" s="24"/>
      <c r="AI152" s="24"/>
      <c r="AJ152" s="24"/>
      <c r="AK152" s="24"/>
      <c r="AL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</row>
    <row r="153" spans="1:64" s="2" customFormat="1" ht="14.25" x14ac:dyDescent="0.2">
      <c r="A153" s="9">
        <f t="shared" si="14"/>
        <v>13</v>
      </c>
      <c r="B153" s="10" t="s">
        <v>344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3"/>
      <c r="T153" s="13"/>
      <c r="U153" s="13"/>
      <c r="V153" s="13"/>
      <c r="W153" s="13"/>
      <c r="X153" s="281"/>
      <c r="Y153" s="281"/>
      <c r="Z153" s="281"/>
      <c r="AA153" s="281"/>
      <c r="AB153" s="281"/>
      <c r="AC153" s="281"/>
      <c r="AD153" s="341"/>
      <c r="AE153" s="345">
        <v>25937.034297368402</v>
      </c>
      <c r="AF153" s="348">
        <f t="shared" si="15"/>
        <v>25937.034297368402</v>
      </c>
      <c r="AG153" s="24"/>
      <c r="AH153" s="24"/>
      <c r="AI153" s="24"/>
      <c r="AJ153" s="24"/>
      <c r="AK153" s="24"/>
      <c r="AL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</row>
    <row r="154" spans="1:64" s="2" customFormat="1" ht="13.9" customHeight="1" x14ac:dyDescent="0.2">
      <c r="A154" s="9">
        <f t="shared" si="14"/>
        <v>14</v>
      </c>
      <c r="B154" s="10" t="s">
        <v>106</v>
      </c>
      <c r="C154" s="12"/>
      <c r="D154" s="12"/>
      <c r="E154" s="12"/>
      <c r="F154" s="12">
        <v>1196</v>
      </c>
      <c r="G154" s="12"/>
      <c r="H154" s="12">
        <v>28761</v>
      </c>
      <c r="I154" s="12">
        <v>4799</v>
      </c>
      <c r="J154" s="12"/>
      <c r="K154" s="12"/>
      <c r="L154" s="12"/>
      <c r="M154" s="12"/>
      <c r="N154" s="12"/>
      <c r="O154" s="12"/>
      <c r="P154" s="12"/>
      <c r="Q154" s="12"/>
      <c r="R154" s="12"/>
      <c r="S154" s="13"/>
      <c r="T154" s="13"/>
      <c r="U154" s="13"/>
      <c r="V154" s="13"/>
      <c r="W154" s="13"/>
      <c r="X154" s="281"/>
      <c r="Y154" s="281"/>
      <c r="Z154" s="281"/>
      <c r="AA154" s="281"/>
      <c r="AB154" s="281"/>
      <c r="AC154" s="281"/>
      <c r="AD154" s="341"/>
      <c r="AE154" s="345"/>
      <c r="AF154" s="348">
        <f t="shared" si="15"/>
        <v>34756</v>
      </c>
      <c r="AG154" s="24"/>
      <c r="AH154" s="24"/>
      <c r="AI154" s="24"/>
      <c r="AJ154" s="24"/>
      <c r="AK154" s="24"/>
      <c r="AL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</row>
    <row r="155" spans="1:64" s="2" customFormat="1" ht="12.75" customHeight="1" x14ac:dyDescent="0.2">
      <c r="A155" s="9">
        <f t="shared" si="14"/>
        <v>15</v>
      </c>
      <c r="B155" s="10" t="s">
        <v>107</v>
      </c>
      <c r="C155" s="12">
        <v>34628</v>
      </c>
      <c r="D155" s="12">
        <v>44516</v>
      </c>
      <c r="E155" s="10">
        <v>39342</v>
      </c>
      <c r="F155" s="12">
        <v>41203</v>
      </c>
      <c r="G155" s="12">
        <v>28805</v>
      </c>
      <c r="H155" s="12">
        <v>26900</v>
      </c>
      <c r="I155" s="12">
        <v>29419</v>
      </c>
      <c r="J155" s="12">
        <v>32841</v>
      </c>
      <c r="K155" s="12">
        <v>24802</v>
      </c>
      <c r="L155" s="12">
        <v>30507</v>
      </c>
      <c r="M155" s="12">
        <v>36249</v>
      </c>
      <c r="N155" s="12">
        <v>29711</v>
      </c>
      <c r="O155" s="12">
        <v>37114</v>
      </c>
      <c r="P155" s="12">
        <v>47135</v>
      </c>
      <c r="Q155" s="12">
        <v>46481</v>
      </c>
      <c r="R155" s="12">
        <v>43994</v>
      </c>
      <c r="S155" s="13">
        <v>60580</v>
      </c>
      <c r="T155" s="13">
        <v>126057</v>
      </c>
      <c r="U155" s="13">
        <v>141946</v>
      </c>
      <c r="V155" s="13">
        <v>122235.4</v>
      </c>
      <c r="W155" s="13">
        <v>118124.3501455496</v>
      </c>
      <c r="X155" s="281">
        <v>128769</v>
      </c>
      <c r="Y155" s="281">
        <v>128030.39999999999</v>
      </c>
      <c r="Z155" s="281">
        <v>111892.9</v>
      </c>
      <c r="AA155" s="281">
        <v>113504.8</v>
      </c>
      <c r="AB155" s="281">
        <v>1013.4</v>
      </c>
      <c r="AC155" s="281">
        <v>107676.40000000001</v>
      </c>
      <c r="AD155" s="341">
        <v>75571.8</v>
      </c>
      <c r="AE155" s="345">
        <v>99155.1</v>
      </c>
      <c r="AF155" s="348">
        <f t="shared" si="15"/>
        <v>1908203.5501455495</v>
      </c>
      <c r="AG155" s="24"/>
      <c r="AH155" s="24"/>
      <c r="AI155" s="24"/>
      <c r="AJ155" s="24"/>
      <c r="AK155" s="24"/>
      <c r="AL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</row>
    <row r="156" spans="1:64" s="2" customFormat="1" ht="12.75" customHeight="1" x14ac:dyDescent="0.2">
      <c r="A156" s="9">
        <f t="shared" si="14"/>
        <v>16</v>
      </c>
      <c r="B156" s="17" t="s">
        <v>108</v>
      </c>
      <c r="C156" s="18"/>
      <c r="D156" s="18"/>
      <c r="E156" s="17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>
        <v>36</v>
      </c>
      <c r="R156" s="18">
        <v>4457</v>
      </c>
      <c r="S156" s="14">
        <v>18</v>
      </c>
      <c r="T156" s="14">
        <v>37.200000000000003</v>
      </c>
      <c r="U156" s="14">
        <v>98</v>
      </c>
      <c r="V156" s="14">
        <v>58.400000000000006</v>
      </c>
      <c r="W156" s="14">
        <v>94</v>
      </c>
      <c r="X156" s="281">
        <v>95</v>
      </c>
      <c r="Y156" s="281">
        <v>146.80000000000001</v>
      </c>
      <c r="Z156" s="281">
        <v>73.805000000000007</v>
      </c>
      <c r="AA156" s="281">
        <v>302.06799999999998</v>
      </c>
      <c r="AB156" s="281">
        <v>62.58</v>
      </c>
      <c r="AC156" s="281">
        <v>157.5</v>
      </c>
      <c r="AD156" s="341">
        <v>245.76000000000005</v>
      </c>
      <c r="AE156" s="345">
        <v>215.95027387939439</v>
      </c>
      <c r="AF156" s="348">
        <f t="shared" si="15"/>
        <v>6098.0632738793947</v>
      </c>
      <c r="AG156" s="24"/>
      <c r="AH156" s="24"/>
      <c r="AI156" s="24"/>
      <c r="AJ156" s="24"/>
      <c r="AK156" s="24"/>
      <c r="AL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</row>
    <row r="157" spans="1:64" s="197" customFormat="1" ht="15" thickBot="1" x14ac:dyDescent="0.25">
      <c r="A157" s="9">
        <f t="shared" si="14"/>
        <v>17</v>
      </c>
      <c r="B157" s="10" t="s">
        <v>300</v>
      </c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2"/>
      <c r="T157" s="292"/>
      <c r="U157" s="292"/>
      <c r="V157" s="292"/>
      <c r="W157" s="292"/>
      <c r="X157" s="293"/>
      <c r="Y157" s="293"/>
      <c r="Z157" s="293"/>
      <c r="AA157" s="293">
        <v>30.523630952380952</v>
      </c>
      <c r="AB157" s="293"/>
      <c r="AC157" s="293"/>
      <c r="AD157" s="341"/>
      <c r="AE157" s="360">
        <v>39.799999999999997</v>
      </c>
      <c r="AF157" s="348">
        <f t="shared" si="15"/>
        <v>70.323630952380952</v>
      </c>
      <c r="AG157" s="294"/>
      <c r="AH157" s="294"/>
      <c r="AI157" s="294"/>
      <c r="AJ157" s="294"/>
      <c r="AK157" s="294"/>
      <c r="AL157" s="294"/>
      <c r="AN157" s="294"/>
      <c r="AO157" s="294"/>
      <c r="AP157" s="294"/>
      <c r="AQ157" s="294"/>
      <c r="AR157" s="294"/>
      <c r="AS157" s="294"/>
      <c r="AT157" s="294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4"/>
      <c r="BH157" s="294"/>
      <c r="BI157" s="294"/>
      <c r="BJ157" s="294"/>
      <c r="BK157" s="294"/>
      <c r="BL157" s="294"/>
    </row>
    <row r="158" spans="1:64" s="197" customFormat="1" ht="26.25" thickBot="1" x14ac:dyDescent="0.25">
      <c r="A158" s="9">
        <f t="shared" si="14"/>
        <v>18</v>
      </c>
      <c r="B158" s="364" t="s">
        <v>343</v>
      </c>
      <c r="C158" s="365"/>
      <c r="D158" s="365"/>
      <c r="E158" s="365"/>
      <c r="F158" s="365"/>
      <c r="G158" s="365"/>
      <c r="H158" s="365"/>
      <c r="I158" s="365"/>
      <c r="J158" s="365"/>
      <c r="K158" s="366"/>
      <c r="L158" s="365"/>
      <c r="M158" s="366"/>
      <c r="N158" s="366"/>
      <c r="O158" s="366"/>
      <c r="P158" s="366"/>
      <c r="Q158" s="366"/>
      <c r="R158" s="366"/>
      <c r="S158" s="367"/>
      <c r="T158" s="367"/>
      <c r="U158" s="367"/>
      <c r="V158" s="367"/>
      <c r="W158" s="367"/>
      <c r="X158" s="368"/>
      <c r="Y158" s="368"/>
      <c r="Z158" s="368"/>
      <c r="AA158" s="368"/>
      <c r="AB158" s="368"/>
      <c r="AC158" s="368"/>
      <c r="AD158" s="369"/>
      <c r="AE158" s="370">
        <v>211.4332354209335</v>
      </c>
      <c r="AF158" s="348">
        <f t="shared" si="15"/>
        <v>211.4332354209335</v>
      </c>
      <c r="AG158" s="294"/>
      <c r="AH158" s="294"/>
      <c r="AI158" s="294"/>
      <c r="AJ158" s="294"/>
      <c r="AK158" s="294"/>
      <c r="AL158" s="294"/>
      <c r="AN158" s="294"/>
      <c r="AO158" s="294"/>
      <c r="AP158" s="294"/>
      <c r="AQ158" s="294"/>
      <c r="AR158" s="294"/>
      <c r="AS158" s="294"/>
      <c r="AT158" s="294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4"/>
      <c r="BH158" s="294"/>
      <c r="BI158" s="294"/>
      <c r="BJ158" s="294"/>
      <c r="BK158" s="294"/>
      <c r="BL158" s="294"/>
    </row>
    <row r="159" spans="1:64" ht="15" thickBot="1" x14ac:dyDescent="0.25">
      <c r="A159" s="424" t="s">
        <v>12</v>
      </c>
      <c r="B159" s="425"/>
      <c r="C159" s="295">
        <v>58517</v>
      </c>
      <c r="D159" s="295">
        <v>98169.709999999992</v>
      </c>
      <c r="E159" s="295">
        <v>99528.959999999992</v>
      </c>
      <c r="F159" s="295">
        <v>94407.959999999992</v>
      </c>
      <c r="G159" s="295">
        <v>87425.53</v>
      </c>
      <c r="H159" s="295">
        <v>123118</v>
      </c>
      <c r="I159" s="295">
        <v>118716.19</v>
      </c>
      <c r="J159" s="295">
        <v>65021</v>
      </c>
      <c r="K159" s="296">
        <v>48238.5</v>
      </c>
      <c r="L159" s="295">
        <v>51620.9</v>
      </c>
      <c r="M159" s="296">
        <v>70703.08</v>
      </c>
      <c r="N159" s="296">
        <v>73539</v>
      </c>
      <c r="O159" s="296">
        <v>85180.67</v>
      </c>
      <c r="P159" s="296">
        <v>133536</v>
      </c>
      <c r="Q159" s="296">
        <v>127933</v>
      </c>
      <c r="R159" s="296">
        <v>112675</v>
      </c>
      <c r="S159" s="296">
        <v>151012.6</v>
      </c>
      <c r="T159" s="296">
        <v>251021.2</v>
      </c>
      <c r="U159" s="295">
        <v>277260.40000000002</v>
      </c>
      <c r="V159" s="295">
        <v>285054.28000000003</v>
      </c>
      <c r="W159" s="295">
        <v>278402.76954785734</v>
      </c>
      <c r="X159" s="295">
        <v>264672.93591875589</v>
      </c>
      <c r="Y159" s="295">
        <f>SUM(Y142:Y157)</f>
        <v>260742.47630621964</v>
      </c>
      <c r="Z159" s="295">
        <f>SUM(Z142:Z157)</f>
        <v>246405.16497052149</v>
      </c>
      <c r="AA159" s="295">
        <f>SUM(AA142:AA157)</f>
        <v>118562.70805092555</v>
      </c>
      <c r="AB159" s="295">
        <f>SUM(AB142:AB157)</f>
        <v>118581.63699812522</v>
      </c>
      <c r="AC159" s="295">
        <f>SUM(AC142:AC157)</f>
        <v>278089.56344129215</v>
      </c>
      <c r="AD159" s="295">
        <f>SUM(AD141:AD157)</f>
        <v>230651.92081624491</v>
      </c>
      <c r="AE159" s="295">
        <f>SUM(AE141:AE157)</f>
        <v>268519.26532626129</v>
      </c>
      <c r="AF159" s="297">
        <f>SUM(AF142:AF158)</f>
        <v>4475741.5352745429</v>
      </c>
      <c r="AG159" s="252"/>
      <c r="AH159" s="252"/>
      <c r="AI159" s="252"/>
      <c r="AJ159" s="252"/>
      <c r="AK159" s="252"/>
      <c r="AL159" s="252"/>
    </row>
    <row r="160" spans="1:64" ht="15" thickBot="1" x14ac:dyDescent="0.25">
      <c r="A160" s="298"/>
      <c r="B160" s="299"/>
      <c r="C160" s="27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279"/>
      <c r="AG160" s="252"/>
      <c r="AH160" s="252"/>
      <c r="AI160" s="252"/>
      <c r="AJ160" s="252"/>
      <c r="AK160" s="252"/>
      <c r="AL160" s="252"/>
    </row>
    <row r="161" spans="1:36" ht="15" thickBot="1" x14ac:dyDescent="0.25">
      <c r="A161" s="424" t="s">
        <v>33</v>
      </c>
      <c r="B161" s="425"/>
      <c r="C161" s="300">
        <v>66165.63</v>
      </c>
      <c r="D161" s="300">
        <v>195921.16999999998</v>
      </c>
      <c r="E161" s="300">
        <v>339735.91500000004</v>
      </c>
      <c r="F161" s="300">
        <v>358705.08799999999</v>
      </c>
      <c r="G161" s="300">
        <v>507744.66899999999</v>
      </c>
      <c r="H161" s="300">
        <v>437769</v>
      </c>
      <c r="I161" s="300">
        <v>210829.29</v>
      </c>
      <c r="J161" s="300">
        <v>132343</v>
      </c>
      <c r="K161" s="301">
        <v>81123.709999999992</v>
      </c>
      <c r="L161" s="301">
        <v>168551.96</v>
      </c>
      <c r="M161" s="301">
        <v>231061.62</v>
      </c>
      <c r="N161" s="301">
        <v>350459.05</v>
      </c>
      <c r="O161" s="301">
        <v>399347.57</v>
      </c>
      <c r="P161" s="301">
        <v>633659</v>
      </c>
      <c r="Q161" s="301">
        <v>741830</v>
      </c>
      <c r="R161" s="301">
        <v>978752</v>
      </c>
      <c r="S161" s="301">
        <v>1641750.9652000002</v>
      </c>
      <c r="T161" s="301">
        <v>2467429.8604500005</v>
      </c>
      <c r="U161" s="301">
        <v>2230292.5</v>
      </c>
      <c r="V161" s="301">
        <v>2296237.0017137029</v>
      </c>
      <c r="W161" s="301">
        <v>2364237.365469818</v>
      </c>
      <c r="X161" s="301">
        <v>1601816.6706127089</v>
      </c>
      <c r="Y161" s="302">
        <f t="shared" ref="Y161:AF161" si="16">Y109+Y138+Y159</f>
        <v>1365273.3862215043</v>
      </c>
      <c r="Z161" s="302">
        <f t="shared" si="16"/>
        <v>580742.00391718093</v>
      </c>
      <c r="AA161" s="302">
        <f t="shared" si="16"/>
        <v>448379.0141137155</v>
      </c>
      <c r="AB161" s="302">
        <f t="shared" si="16"/>
        <v>243052.74221103737</v>
      </c>
      <c r="AC161" s="302">
        <f t="shared" si="16"/>
        <v>969873.32959129219</v>
      </c>
      <c r="AD161" s="302">
        <f>AD109+AD138+AD159</f>
        <v>975221.83798624505</v>
      </c>
      <c r="AE161" s="302">
        <f>AE109+AE138+AE159</f>
        <v>880880.48017324996</v>
      </c>
      <c r="AF161" s="302">
        <f t="shared" si="16"/>
        <v>23897619.943558797</v>
      </c>
      <c r="AG161" s="252"/>
      <c r="AH161" s="15"/>
      <c r="AI161" s="15"/>
      <c r="AJ161" s="15"/>
    </row>
    <row r="162" spans="1:36" x14ac:dyDescent="0.2">
      <c r="A162" s="303" t="s">
        <v>332</v>
      </c>
    </row>
    <row r="163" spans="1:36" x14ac:dyDescent="0.2">
      <c r="A163" s="303" t="s">
        <v>266</v>
      </c>
    </row>
    <row r="164" spans="1:36" x14ac:dyDescent="0.2">
      <c r="A164" s="303" t="s">
        <v>340</v>
      </c>
    </row>
    <row r="165" spans="1:36" x14ac:dyDescent="0.2">
      <c r="A165" s="303" t="s">
        <v>341</v>
      </c>
    </row>
    <row r="166" spans="1:36" x14ac:dyDescent="0.2">
      <c r="A166" s="304"/>
    </row>
    <row r="167" spans="1:36" x14ac:dyDescent="0.2">
      <c r="A167" s="304"/>
    </row>
    <row r="205" spans="21:21" x14ac:dyDescent="0.2">
      <c r="U205" s="3" t="s">
        <v>178</v>
      </c>
    </row>
  </sheetData>
  <mergeCells count="5">
    <mergeCell ref="A1:AF1"/>
    <mergeCell ref="A109:B109"/>
    <mergeCell ref="A138:B138"/>
    <mergeCell ref="A159:B159"/>
    <mergeCell ref="A161:B161"/>
  </mergeCells>
  <pageMargins left="0.78740157480314965" right="0.59055118110236227" top="0.59055118110236227" bottom="0.59055118110236227" header="0.31496062992125984" footer="0.31496062992125984"/>
  <pageSetup paperSize="8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O57"/>
  <sheetViews>
    <sheetView showGridLines="0" view="pageBreakPreview" zoomScale="80" zoomScaleNormal="70" zoomScaleSheetLayoutView="80" workbookViewId="0">
      <pane xSplit="2" ySplit="3" topLeftCell="C4" activePane="bottomRight" state="frozen"/>
      <selection activeCell="P4" sqref="P4"/>
      <selection pane="topRight" activeCell="P4" sqref="P4"/>
      <selection pane="bottomLeft" activeCell="P4" sqref="P4"/>
      <selection pane="bottomRight" activeCell="C55" sqref="C55"/>
    </sheetView>
  </sheetViews>
  <sheetFormatPr baseColWidth="10" defaultColWidth="11.42578125" defaultRowHeight="12.75" x14ac:dyDescent="0.2"/>
  <cols>
    <col min="1" max="1" width="5.28515625" style="3" customWidth="1"/>
    <col min="2" max="2" width="63" style="3" customWidth="1"/>
    <col min="3" max="20" width="10.5703125" style="3" bestFit="1" customWidth="1"/>
    <col min="21" max="21" width="11.42578125" style="3" bestFit="1" customWidth="1"/>
    <col min="22" max="26" width="10.5703125" style="3" bestFit="1" customWidth="1"/>
    <col min="27" max="29" width="10.42578125" style="3" customWidth="1"/>
    <col min="30" max="31" width="12.85546875" style="3" customWidth="1"/>
    <col min="32" max="32" width="14" style="3" customWidth="1"/>
    <col min="33" max="33" width="11.42578125" style="3"/>
    <col min="34" max="34" width="34.28515625" style="3" bestFit="1" customWidth="1"/>
    <col min="35" max="36" width="11.42578125" style="3"/>
    <col min="37" max="37" width="14" style="3" customWidth="1"/>
    <col min="38" max="38" width="37.7109375" style="3" customWidth="1"/>
    <col min="39" max="16384" width="11.42578125" style="3"/>
  </cols>
  <sheetData>
    <row r="1" spans="1:67" ht="21" x14ac:dyDescent="0.25">
      <c r="A1" s="419" t="s">
        <v>347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</row>
    <row r="2" spans="1:67" ht="18.75" thickBot="1" x14ac:dyDescent="0.3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</row>
    <row r="3" spans="1:67" s="4" customFormat="1" ht="16.5" thickBot="1" x14ac:dyDescent="0.3">
      <c r="A3" s="378" t="s">
        <v>75</v>
      </c>
      <c r="B3" s="379" t="s">
        <v>76</v>
      </c>
      <c r="C3" s="387">
        <v>1995</v>
      </c>
      <c r="D3" s="387">
        <v>1996</v>
      </c>
      <c r="E3" s="387">
        <v>1997</v>
      </c>
      <c r="F3" s="387">
        <v>1998</v>
      </c>
      <c r="G3" s="387">
        <v>1999</v>
      </c>
      <c r="H3" s="388">
        <v>2000</v>
      </c>
      <c r="I3" s="388">
        <v>2001</v>
      </c>
      <c r="J3" s="388">
        <v>2002</v>
      </c>
      <c r="K3" s="388">
        <v>2003</v>
      </c>
      <c r="L3" s="388">
        <v>2004</v>
      </c>
      <c r="M3" s="388">
        <v>2005</v>
      </c>
      <c r="N3" s="388">
        <v>2006</v>
      </c>
      <c r="O3" s="388">
        <v>2007</v>
      </c>
      <c r="P3" s="388">
        <v>2008</v>
      </c>
      <c r="Q3" s="389">
        <v>2009</v>
      </c>
      <c r="R3" s="388">
        <v>2010</v>
      </c>
      <c r="S3" s="388">
        <v>2011</v>
      </c>
      <c r="T3" s="388">
        <v>2012</v>
      </c>
      <c r="U3" s="388">
        <v>2013</v>
      </c>
      <c r="V3" s="389">
        <v>2014</v>
      </c>
      <c r="W3" s="389">
        <v>2015</v>
      </c>
      <c r="X3" s="389">
        <v>2016</v>
      </c>
      <c r="Y3" s="389">
        <v>2017</v>
      </c>
      <c r="Z3" s="389">
        <v>2018</v>
      </c>
      <c r="AA3" s="389">
        <v>2019</v>
      </c>
      <c r="AB3" s="389">
        <v>2020</v>
      </c>
      <c r="AC3" s="389">
        <v>2021</v>
      </c>
      <c r="AD3" s="390">
        <v>2022</v>
      </c>
      <c r="AE3" s="390">
        <v>2023</v>
      </c>
      <c r="AF3" s="391" t="s">
        <v>0</v>
      </c>
      <c r="AG3" s="242"/>
      <c r="AH3" s="242"/>
      <c r="AI3" s="242"/>
      <c r="AJ3" s="242"/>
      <c r="AK3" s="242"/>
      <c r="AL3" s="242"/>
      <c r="AM3" s="242"/>
      <c r="AN3" s="242"/>
    </row>
    <row r="4" spans="1:67" s="2" customFormat="1" x14ac:dyDescent="0.2">
      <c r="A4" s="28">
        <v>1</v>
      </c>
      <c r="B4" s="29" t="s">
        <v>109</v>
      </c>
      <c r="C4" s="30">
        <v>198</v>
      </c>
      <c r="D4" s="30">
        <v>1167</v>
      </c>
      <c r="E4" s="31">
        <v>1015</v>
      </c>
      <c r="F4" s="31">
        <v>467</v>
      </c>
      <c r="G4" s="30">
        <v>3786.1970000000001</v>
      </c>
      <c r="H4" s="32">
        <v>2922</v>
      </c>
      <c r="I4" s="30">
        <v>949.16</v>
      </c>
      <c r="J4" s="31"/>
      <c r="K4" s="31"/>
      <c r="L4" s="30"/>
      <c r="M4" s="31"/>
      <c r="N4" s="31"/>
      <c r="O4" s="31"/>
      <c r="P4" s="31"/>
      <c r="Q4" s="31"/>
      <c r="R4" s="30"/>
      <c r="S4" s="30"/>
      <c r="T4" s="30">
        <v>8636</v>
      </c>
      <c r="U4" s="30"/>
      <c r="V4" s="30"/>
      <c r="W4" s="30"/>
      <c r="X4" s="30"/>
      <c r="Y4" s="30"/>
      <c r="Z4" s="30"/>
      <c r="AA4" s="30"/>
      <c r="AB4" s="30"/>
      <c r="AC4" s="30">
        <v>7091</v>
      </c>
      <c r="AD4" s="30"/>
      <c r="AE4" s="30"/>
      <c r="AF4" s="327">
        <f>SUM(C4:AE4)</f>
        <v>26231.357</v>
      </c>
      <c r="AG4" s="24"/>
      <c r="AH4" s="24"/>
      <c r="AI4" s="24"/>
      <c r="AJ4" s="24"/>
      <c r="AK4" s="24"/>
      <c r="AM4" s="305"/>
    </row>
    <row r="5" spans="1:67" s="2" customFormat="1" x14ac:dyDescent="0.2">
      <c r="A5" s="33">
        <f t="shared" ref="A5:A11" si="0">A4+1</f>
        <v>2</v>
      </c>
      <c r="B5" s="34" t="s">
        <v>110</v>
      </c>
      <c r="C5" s="35"/>
      <c r="D5" s="35"/>
      <c r="E5" s="34"/>
      <c r="F5" s="34"/>
      <c r="G5" s="34"/>
      <c r="H5" s="36"/>
      <c r="I5" s="34"/>
      <c r="J5" s="37"/>
      <c r="K5" s="37"/>
      <c r="L5" s="34"/>
      <c r="M5" s="37"/>
      <c r="N5" s="37"/>
      <c r="O5" s="37"/>
      <c r="P5" s="37"/>
      <c r="Q5" s="37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29">
        <f>SUM(C5:AE5)</f>
        <v>0</v>
      </c>
      <c r="AG5" s="24"/>
      <c r="AK5" s="24"/>
      <c r="AM5" s="305"/>
    </row>
    <row r="6" spans="1:67" s="2" customFormat="1" x14ac:dyDescent="0.2">
      <c r="A6" s="33">
        <f t="shared" si="0"/>
        <v>3</v>
      </c>
      <c r="B6" s="34" t="s">
        <v>111</v>
      </c>
      <c r="C6" s="35">
        <v>23670</v>
      </c>
      <c r="D6" s="35">
        <v>26810</v>
      </c>
      <c r="E6" s="35">
        <v>39439</v>
      </c>
      <c r="F6" s="35">
        <v>14521.72</v>
      </c>
      <c r="G6" s="35">
        <v>19313.91</v>
      </c>
      <c r="H6" s="38">
        <v>20688</v>
      </c>
      <c r="I6" s="35">
        <v>3172</v>
      </c>
      <c r="J6" s="39">
        <v>4468</v>
      </c>
      <c r="K6" s="39">
        <v>4113</v>
      </c>
      <c r="L6" s="35">
        <v>2654</v>
      </c>
      <c r="M6" s="39">
        <v>4050</v>
      </c>
      <c r="N6" s="39">
        <v>3700</v>
      </c>
      <c r="O6" s="39">
        <v>5020</v>
      </c>
      <c r="P6" s="39">
        <v>5389</v>
      </c>
      <c r="Q6" s="39">
        <v>4644</v>
      </c>
      <c r="R6" s="35">
        <v>6840</v>
      </c>
      <c r="S6" s="35">
        <v>8665</v>
      </c>
      <c r="T6" s="35"/>
      <c r="U6" s="35">
        <v>14257</v>
      </c>
      <c r="V6" s="35">
        <v>31853</v>
      </c>
      <c r="W6" s="35">
        <v>17248.080000000002</v>
      </c>
      <c r="X6" s="35">
        <v>21035</v>
      </c>
      <c r="Y6" s="35">
        <v>16467</v>
      </c>
      <c r="Z6" s="35">
        <v>5520</v>
      </c>
      <c r="AA6" s="35">
        <v>9110.0582939493925</v>
      </c>
      <c r="AB6" s="35">
        <v>5197</v>
      </c>
      <c r="AC6" s="35"/>
      <c r="AD6" s="35">
        <v>13032</v>
      </c>
      <c r="AE6" s="35">
        <v>8259</v>
      </c>
      <c r="AF6" s="329">
        <f t="shared" ref="AF6:AF11" si="1">SUM(C6:AE6)</f>
        <v>339135.76829394943</v>
      </c>
      <c r="AG6" s="24"/>
      <c r="AK6" s="24"/>
    </row>
    <row r="7" spans="1:67" s="2" customFormat="1" x14ac:dyDescent="0.2">
      <c r="A7" s="33">
        <f t="shared" si="0"/>
        <v>4</v>
      </c>
      <c r="B7" s="34" t="s">
        <v>112</v>
      </c>
      <c r="C7" s="35"/>
      <c r="D7" s="35"/>
      <c r="E7" s="34"/>
      <c r="F7" s="35">
        <v>10360</v>
      </c>
      <c r="G7" s="35">
        <v>25640</v>
      </c>
      <c r="H7" s="38">
        <v>21600</v>
      </c>
      <c r="I7" s="35">
        <v>47602</v>
      </c>
      <c r="J7" s="39">
        <v>67261</v>
      </c>
      <c r="K7" s="39">
        <v>58696</v>
      </c>
      <c r="L7" s="35">
        <v>56334</v>
      </c>
      <c r="M7" s="39">
        <v>41292</v>
      </c>
      <c r="N7" s="39">
        <v>20787</v>
      </c>
      <c r="O7" s="39">
        <v>57192</v>
      </c>
      <c r="P7" s="39">
        <v>2055</v>
      </c>
      <c r="Q7" s="39">
        <v>0</v>
      </c>
      <c r="R7" s="35">
        <v>0</v>
      </c>
      <c r="S7" s="35">
        <v>0</v>
      </c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29">
        <f t="shared" si="1"/>
        <v>408819</v>
      </c>
      <c r="AG7" s="24"/>
      <c r="AH7" s="24"/>
      <c r="AI7" s="24"/>
      <c r="AJ7" s="24"/>
      <c r="AK7" s="24"/>
      <c r="AL7" s="24"/>
      <c r="AM7" s="305"/>
      <c r="AN7" s="24"/>
      <c r="AP7" s="24"/>
      <c r="AQ7" s="24"/>
      <c r="AR7" s="24"/>
      <c r="AS7" s="24"/>
    </row>
    <row r="8" spans="1:67" s="2" customFormat="1" x14ac:dyDescent="0.2">
      <c r="A8" s="33">
        <f t="shared" si="0"/>
        <v>5</v>
      </c>
      <c r="B8" s="34" t="s">
        <v>113</v>
      </c>
      <c r="C8" s="35">
        <v>1495.71</v>
      </c>
      <c r="D8" s="35">
        <v>4194.2</v>
      </c>
      <c r="E8" s="35">
        <v>6890.29</v>
      </c>
      <c r="F8" s="35">
        <v>29741.5</v>
      </c>
      <c r="G8" s="35">
        <v>31716.54</v>
      </c>
      <c r="H8" s="38">
        <v>17715</v>
      </c>
      <c r="I8" s="35">
        <v>2532</v>
      </c>
      <c r="J8" s="39">
        <v>344</v>
      </c>
      <c r="K8" s="39">
        <v>1470.05</v>
      </c>
      <c r="L8" s="35">
        <v>6350.94</v>
      </c>
      <c r="M8" s="39">
        <v>6560.7</v>
      </c>
      <c r="N8" s="39">
        <v>3250.88</v>
      </c>
      <c r="O8" s="39">
        <v>9585</v>
      </c>
      <c r="P8" s="39">
        <v>10729</v>
      </c>
      <c r="Q8" s="39">
        <v>25289</v>
      </c>
      <c r="R8" s="35">
        <v>5465</v>
      </c>
      <c r="S8" s="35">
        <v>1454</v>
      </c>
      <c r="T8" s="35">
        <v>25</v>
      </c>
      <c r="U8" s="35">
        <v>255</v>
      </c>
      <c r="V8" s="35">
        <v>143.62</v>
      </c>
      <c r="W8" s="35">
        <v>1052.19</v>
      </c>
      <c r="X8" s="35">
        <v>829.83772619047625</v>
      </c>
      <c r="Y8" s="35">
        <v>276.92357885344109</v>
      </c>
      <c r="Z8" s="35">
        <v>5543.34</v>
      </c>
      <c r="AA8" s="35">
        <v>569.37864337183703</v>
      </c>
      <c r="AB8" s="35">
        <v>84521.5</v>
      </c>
      <c r="AC8" s="35">
        <v>191.2</v>
      </c>
      <c r="AD8" s="35">
        <v>126.1</v>
      </c>
      <c r="AE8" s="35">
        <v>124.60000000000001</v>
      </c>
      <c r="AF8" s="329">
        <f t="shared" si="1"/>
        <v>258442.49994841576</v>
      </c>
      <c r="AG8" s="24"/>
      <c r="AH8" s="24"/>
      <c r="AI8" s="24"/>
      <c r="AJ8" s="24"/>
      <c r="AK8" s="24"/>
      <c r="AL8" s="24"/>
      <c r="AM8" s="24"/>
      <c r="AN8" s="24"/>
    </row>
    <row r="9" spans="1:67" s="2" customFormat="1" x14ac:dyDescent="0.2">
      <c r="A9" s="33">
        <f t="shared" si="0"/>
        <v>6</v>
      </c>
      <c r="B9" s="34" t="s">
        <v>114</v>
      </c>
      <c r="C9" s="35">
        <v>72</v>
      </c>
      <c r="D9" s="35">
        <v>227</v>
      </c>
      <c r="E9" s="35">
        <v>1362</v>
      </c>
      <c r="F9" s="35">
        <v>5878</v>
      </c>
      <c r="G9" s="35">
        <v>3425</v>
      </c>
      <c r="H9" s="38">
        <v>985</v>
      </c>
      <c r="I9" s="35">
        <v>1415.92</v>
      </c>
      <c r="J9" s="39">
        <v>636</v>
      </c>
      <c r="K9" s="39">
        <v>219.38</v>
      </c>
      <c r="L9" s="35">
        <v>188.28</v>
      </c>
      <c r="M9" s="39">
        <v>227.23</v>
      </c>
      <c r="N9" s="39">
        <v>254.26</v>
      </c>
      <c r="O9" s="39">
        <v>224.84</v>
      </c>
      <c r="P9" s="39">
        <v>4992</v>
      </c>
      <c r="Q9" s="39">
        <v>4537</v>
      </c>
      <c r="R9" s="35">
        <v>1212</v>
      </c>
      <c r="S9" s="35">
        <v>158.39999999999998</v>
      </c>
      <c r="T9" s="35">
        <v>342</v>
      </c>
      <c r="U9" s="35">
        <v>544</v>
      </c>
      <c r="V9" s="35">
        <v>161.19999999999999</v>
      </c>
      <c r="W9" s="35">
        <v>1382.9</v>
      </c>
      <c r="X9" s="35">
        <v>691.41923999999995</v>
      </c>
      <c r="Y9" s="35">
        <v>540.6</v>
      </c>
      <c r="Z9" s="35">
        <v>2057.768226985012</v>
      </c>
      <c r="AA9" s="35">
        <v>1977.8416032916446</v>
      </c>
      <c r="AB9" s="35">
        <v>524.28256070640202</v>
      </c>
      <c r="AC9" s="35">
        <v>617.97752808988764</v>
      </c>
      <c r="AD9" s="35">
        <v>19.8</v>
      </c>
      <c r="AE9" s="35">
        <v>23.4</v>
      </c>
      <c r="AF9" s="329">
        <f t="shared" si="1"/>
        <v>34897.499159072955</v>
      </c>
      <c r="AG9" s="24"/>
      <c r="AI9" s="24"/>
    </row>
    <row r="10" spans="1:67" s="2" customFormat="1" x14ac:dyDescent="0.2">
      <c r="A10" s="33">
        <f t="shared" si="0"/>
        <v>7</v>
      </c>
      <c r="B10" s="34" t="s">
        <v>115</v>
      </c>
      <c r="C10" s="35">
        <v>4517.0919999999996</v>
      </c>
      <c r="D10" s="35">
        <v>2891.973</v>
      </c>
      <c r="E10" s="35">
        <v>4895.3270000000002</v>
      </c>
      <c r="F10" s="35">
        <v>5062.0159999999996</v>
      </c>
      <c r="G10" s="35">
        <v>13311.813</v>
      </c>
      <c r="H10" s="38">
        <v>34590</v>
      </c>
      <c r="I10" s="35">
        <v>12855</v>
      </c>
      <c r="J10" s="39">
        <v>4446</v>
      </c>
      <c r="K10" s="39">
        <v>1893.07</v>
      </c>
      <c r="L10" s="35">
        <v>567</v>
      </c>
      <c r="M10" s="39">
        <v>1179.57</v>
      </c>
      <c r="N10" s="39">
        <v>126.01</v>
      </c>
      <c r="O10" s="39">
        <v>710.51</v>
      </c>
      <c r="P10" s="39">
        <v>2239</v>
      </c>
      <c r="Q10" s="39">
        <v>53923</v>
      </c>
      <c r="R10" s="35">
        <v>8801</v>
      </c>
      <c r="S10" s="35">
        <v>16560</v>
      </c>
      <c r="T10" s="35">
        <v>23215</v>
      </c>
      <c r="U10" s="35">
        <v>45806.8</v>
      </c>
      <c r="V10" s="35">
        <v>25096.2</v>
      </c>
      <c r="W10" s="35">
        <v>18106.920689655177</v>
      </c>
      <c r="X10" s="35">
        <v>3650</v>
      </c>
      <c r="Y10" s="35">
        <v>1407.31539751227</v>
      </c>
      <c r="Z10" s="35">
        <v>866.61753277751905</v>
      </c>
      <c r="AA10" s="35">
        <v>1078.8226927045334</v>
      </c>
      <c r="AB10" s="35">
        <v>1011.2359550561797</v>
      </c>
      <c r="AC10" s="35">
        <v>1011.2359550561797</v>
      </c>
      <c r="AD10" s="35">
        <v>991.0398377569021</v>
      </c>
      <c r="AE10" s="35">
        <v>2287.9389878220618</v>
      </c>
      <c r="AF10" s="329">
        <f t="shared" si="1"/>
        <v>293097.50804834079</v>
      </c>
      <c r="AG10" s="24"/>
    </row>
    <row r="11" spans="1:67" s="2" customFormat="1" ht="13.5" thickBot="1" x14ac:dyDescent="0.25">
      <c r="A11" s="40">
        <f t="shared" si="0"/>
        <v>8</v>
      </c>
      <c r="B11" s="41" t="s">
        <v>116</v>
      </c>
      <c r="C11" s="42">
        <v>8465.3070000000007</v>
      </c>
      <c r="D11" s="42">
        <v>29977.263999999999</v>
      </c>
      <c r="E11" s="42">
        <v>49635.559000000001</v>
      </c>
      <c r="F11" s="42">
        <v>48508.877</v>
      </c>
      <c r="G11" s="42">
        <v>39138.449000000001</v>
      </c>
      <c r="H11" s="43">
        <v>24716</v>
      </c>
      <c r="I11" s="42">
        <v>7751</v>
      </c>
      <c r="J11" s="44">
        <v>643</v>
      </c>
      <c r="K11" s="44">
        <v>714</v>
      </c>
      <c r="L11" s="42">
        <v>907</v>
      </c>
      <c r="M11" s="44">
        <v>457.21</v>
      </c>
      <c r="N11" s="44">
        <v>1079.77</v>
      </c>
      <c r="O11" s="44">
        <v>766.95</v>
      </c>
      <c r="P11" s="44">
        <v>1109</v>
      </c>
      <c r="Q11" s="44">
        <v>456</v>
      </c>
      <c r="R11" s="42">
        <v>2796</v>
      </c>
      <c r="S11" s="42">
        <v>1758.3</v>
      </c>
      <c r="T11" s="42">
        <v>3062</v>
      </c>
      <c r="U11" s="42">
        <v>4352</v>
      </c>
      <c r="V11" s="42">
        <v>4836.5</v>
      </c>
      <c r="W11" s="42">
        <v>5236.5</v>
      </c>
      <c r="X11" s="42">
        <v>776.34346060606072</v>
      </c>
      <c r="Y11" s="42">
        <v>1671.2654848484847</v>
      </c>
      <c r="Z11" s="42">
        <v>3932.5627386662818</v>
      </c>
      <c r="AA11" s="42">
        <v>7012.3475025794669</v>
      </c>
      <c r="AB11" s="42">
        <v>2893.2584269662921</v>
      </c>
      <c r="AC11" s="42">
        <v>3764.0449438202245</v>
      </c>
      <c r="AD11" s="42">
        <v>909.90000000000009</v>
      </c>
      <c r="AE11" s="215">
        <v>816.3</v>
      </c>
      <c r="AF11" s="329">
        <f t="shared" si="1"/>
        <v>258142.7085574868</v>
      </c>
      <c r="AG11" s="24"/>
      <c r="AH11" s="24"/>
      <c r="AI11" s="24"/>
      <c r="AK11" s="24"/>
    </row>
    <row r="12" spans="1:67" s="2" customFormat="1" ht="15" thickBot="1" x14ac:dyDescent="0.25">
      <c r="A12" s="428" t="s">
        <v>0</v>
      </c>
      <c r="B12" s="429"/>
      <c r="C12" s="392">
        <f t="shared" ref="C12:AA12" si="2">SUM(C4:C11)</f>
        <v>38418.108999999997</v>
      </c>
      <c r="D12" s="392">
        <f t="shared" si="2"/>
        <v>65267.437000000005</v>
      </c>
      <c r="E12" s="392">
        <f t="shared" si="2"/>
        <v>103237.17600000001</v>
      </c>
      <c r="F12" s="392">
        <f t="shared" si="2"/>
        <v>114539.11300000001</v>
      </c>
      <c r="G12" s="392">
        <f t="shared" si="2"/>
        <v>136331.90899999999</v>
      </c>
      <c r="H12" s="392">
        <f t="shared" si="2"/>
        <v>123216</v>
      </c>
      <c r="I12" s="392">
        <f t="shared" si="2"/>
        <v>76277.08</v>
      </c>
      <c r="J12" s="393">
        <f t="shared" si="2"/>
        <v>77798</v>
      </c>
      <c r="K12" s="393">
        <f t="shared" si="2"/>
        <v>67105.5</v>
      </c>
      <c r="L12" s="392">
        <f t="shared" si="2"/>
        <v>67001.22</v>
      </c>
      <c r="M12" s="393">
        <f t="shared" si="2"/>
        <v>53766.71</v>
      </c>
      <c r="N12" s="393">
        <f t="shared" si="2"/>
        <v>29197.919999999998</v>
      </c>
      <c r="O12" s="393">
        <f t="shared" si="2"/>
        <v>73499.299999999988</v>
      </c>
      <c r="P12" s="393">
        <f t="shared" si="2"/>
        <v>26513</v>
      </c>
      <c r="Q12" s="393">
        <f t="shared" si="2"/>
        <v>88849</v>
      </c>
      <c r="R12" s="392">
        <f t="shared" si="2"/>
        <v>25114</v>
      </c>
      <c r="S12" s="392">
        <f t="shared" si="2"/>
        <v>28595.7</v>
      </c>
      <c r="T12" s="392">
        <f t="shared" si="2"/>
        <v>35280</v>
      </c>
      <c r="U12" s="392">
        <f t="shared" si="2"/>
        <v>65214.8</v>
      </c>
      <c r="V12" s="392">
        <f t="shared" si="2"/>
        <v>62090.520000000004</v>
      </c>
      <c r="W12" s="392">
        <f t="shared" si="2"/>
        <v>43026.590689655175</v>
      </c>
      <c r="X12" s="392">
        <f t="shared" si="2"/>
        <v>26982.600426796536</v>
      </c>
      <c r="Y12" s="392">
        <f t="shared" si="2"/>
        <v>20363.104461214196</v>
      </c>
      <c r="Z12" s="392">
        <f t="shared" si="2"/>
        <v>17920.288498428814</v>
      </c>
      <c r="AA12" s="392">
        <f t="shared" si="2"/>
        <v>19748.448735896876</v>
      </c>
      <c r="AB12" s="392">
        <f>SUM(AB4:AB11)</f>
        <v>94147.276942728873</v>
      </c>
      <c r="AC12" s="392">
        <f>SUM(AC4:AC11)</f>
        <v>12675.458426966292</v>
      </c>
      <c r="AD12" s="392">
        <f>SUM(AD4:AD11)</f>
        <v>15078.839837756901</v>
      </c>
      <c r="AE12" s="392">
        <f>SUM(AE4:AE11)</f>
        <v>11511.23898782206</v>
      </c>
      <c r="AF12" s="394">
        <f>SUM(AF4:AF11)</f>
        <v>1618766.3410072655</v>
      </c>
      <c r="AG12" s="286"/>
      <c r="AH12" s="24"/>
      <c r="AI12" s="24"/>
      <c r="AK12" s="24"/>
    </row>
    <row r="13" spans="1:67" s="2" customFormat="1" ht="14.25" x14ac:dyDescent="0.2">
      <c r="A13" s="306"/>
      <c r="B13" s="274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9"/>
      <c r="AG13" s="286"/>
      <c r="AH13" s="24"/>
      <c r="AI13" s="24"/>
      <c r="AK13" s="24"/>
    </row>
    <row r="14" spans="1:67" s="2" customFormat="1" ht="15" thickBot="1" x14ac:dyDescent="0.25">
      <c r="A14" s="306"/>
      <c r="B14" s="274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9"/>
      <c r="AG14" s="286"/>
      <c r="AH14" s="24"/>
      <c r="AI14" s="24"/>
      <c r="AK14" s="24"/>
    </row>
    <row r="15" spans="1:67" s="2" customFormat="1" ht="15.75" thickBot="1" x14ac:dyDescent="0.25">
      <c r="A15" s="378" t="s">
        <v>75</v>
      </c>
      <c r="B15" s="379" t="s">
        <v>93</v>
      </c>
      <c r="C15" s="387">
        <v>1995</v>
      </c>
      <c r="D15" s="387">
        <v>1996</v>
      </c>
      <c r="E15" s="387">
        <v>1997</v>
      </c>
      <c r="F15" s="387">
        <v>1998</v>
      </c>
      <c r="G15" s="387">
        <v>1999</v>
      </c>
      <c r="H15" s="388">
        <v>2000</v>
      </c>
      <c r="I15" s="388">
        <v>2001</v>
      </c>
      <c r="J15" s="388">
        <v>2002</v>
      </c>
      <c r="K15" s="388">
        <v>2003</v>
      </c>
      <c r="L15" s="388">
        <v>2004</v>
      </c>
      <c r="M15" s="388">
        <v>2005</v>
      </c>
      <c r="N15" s="388">
        <v>2006</v>
      </c>
      <c r="O15" s="388">
        <v>2007</v>
      </c>
      <c r="P15" s="388">
        <v>2008</v>
      </c>
      <c r="Q15" s="389">
        <v>2009</v>
      </c>
      <c r="R15" s="388">
        <v>2010</v>
      </c>
      <c r="S15" s="388">
        <v>2011</v>
      </c>
      <c r="T15" s="387">
        <v>2012</v>
      </c>
      <c r="U15" s="387">
        <v>2013</v>
      </c>
      <c r="V15" s="387">
        <v>2014</v>
      </c>
      <c r="W15" s="387">
        <v>2015</v>
      </c>
      <c r="X15" s="387">
        <v>2016</v>
      </c>
      <c r="Y15" s="389">
        <v>2017</v>
      </c>
      <c r="Z15" s="389">
        <v>2018</v>
      </c>
      <c r="AA15" s="389">
        <v>2019</v>
      </c>
      <c r="AB15" s="389">
        <v>2020</v>
      </c>
      <c r="AC15" s="389">
        <v>2021</v>
      </c>
      <c r="AD15" s="389">
        <v>2022</v>
      </c>
      <c r="AE15" s="389">
        <v>2023</v>
      </c>
      <c r="AF15" s="391" t="s">
        <v>0</v>
      </c>
      <c r="AG15" s="24"/>
      <c r="AH15" s="24"/>
      <c r="AI15" s="24"/>
      <c r="AJ15" s="24"/>
      <c r="AL15" s="24"/>
      <c r="AM15" s="24"/>
      <c r="AN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</row>
    <row r="16" spans="1:67" s="2" customFormat="1" x14ac:dyDescent="0.2">
      <c r="A16" s="28">
        <v>1</v>
      </c>
      <c r="B16" s="29" t="s">
        <v>110</v>
      </c>
      <c r="C16" s="45"/>
      <c r="D16" s="45"/>
      <c r="E16" s="45"/>
      <c r="F16" s="45"/>
      <c r="G16" s="45"/>
      <c r="H16" s="46"/>
      <c r="I16" s="45"/>
      <c r="J16" s="47"/>
      <c r="K16" s="47"/>
      <c r="L16" s="45"/>
      <c r="M16" s="47"/>
      <c r="N16" s="47"/>
      <c r="O16" s="47"/>
      <c r="P16" s="47"/>
      <c r="Q16" s="47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27">
        <f>SUM(C16:AD16)</f>
        <v>0</v>
      </c>
      <c r="AG16" s="24"/>
      <c r="AH16" s="24"/>
      <c r="AI16" s="24"/>
      <c r="AK16" s="24"/>
      <c r="AM16" s="305"/>
    </row>
    <row r="17" spans="1:62" s="2" customFormat="1" x14ac:dyDescent="0.2">
      <c r="A17" s="33">
        <f>A16+1</f>
        <v>2</v>
      </c>
      <c r="B17" s="34" t="s">
        <v>111</v>
      </c>
      <c r="C17" s="48"/>
      <c r="D17" s="48"/>
      <c r="E17" s="48"/>
      <c r="F17" s="48"/>
      <c r="G17" s="48"/>
      <c r="H17" s="49"/>
      <c r="I17" s="48"/>
      <c r="J17" s="50"/>
      <c r="K17" s="50"/>
      <c r="L17" s="48"/>
      <c r="M17" s="50"/>
      <c r="N17" s="50"/>
      <c r="O17" s="50"/>
      <c r="P17" s="50"/>
      <c r="Q17" s="50"/>
      <c r="R17" s="35"/>
      <c r="S17" s="35"/>
      <c r="T17" s="35"/>
      <c r="U17" s="35"/>
      <c r="V17" s="35"/>
      <c r="W17" s="35"/>
      <c r="X17" s="35"/>
      <c r="Y17" s="214"/>
      <c r="Z17" s="214"/>
      <c r="AA17" s="214"/>
      <c r="AB17" s="214"/>
      <c r="AC17" s="214"/>
      <c r="AD17" s="214"/>
      <c r="AE17" s="214"/>
      <c r="AF17" s="328">
        <f>SUM(C17:AD17)</f>
        <v>0</v>
      </c>
      <c r="AG17" s="24"/>
      <c r="AH17" s="24"/>
      <c r="AI17" s="24"/>
      <c r="AK17" s="24"/>
    </row>
    <row r="18" spans="1:62" s="2" customFormat="1" x14ac:dyDescent="0.2">
      <c r="A18" s="33">
        <f>A17+1</f>
        <v>3</v>
      </c>
      <c r="B18" s="34" t="s">
        <v>117</v>
      </c>
      <c r="C18" s="35">
        <v>3788</v>
      </c>
      <c r="D18" s="35">
        <v>16601</v>
      </c>
      <c r="E18" s="34">
        <v>15579</v>
      </c>
      <c r="F18" s="35">
        <v>33390</v>
      </c>
      <c r="G18" s="35">
        <v>27311</v>
      </c>
      <c r="H18" s="38">
        <v>23275</v>
      </c>
      <c r="I18" s="35">
        <v>2644</v>
      </c>
      <c r="J18" s="39">
        <v>86</v>
      </c>
      <c r="K18" s="39"/>
      <c r="L18" s="35"/>
      <c r="M18" s="39"/>
      <c r="N18" s="39"/>
      <c r="O18" s="39"/>
      <c r="P18" s="39"/>
      <c r="Q18" s="39"/>
      <c r="R18" s="35"/>
      <c r="S18" s="35"/>
      <c r="T18" s="35"/>
      <c r="U18" s="35"/>
      <c r="V18" s="35"/>
      <c r="W18" s="35"/>
      <c r="X18" s="35"/>
      <c r="Y18" s="214"/>
      <c r="Z18" s="214"/>
      <c r="AA18" s="214"/>
      <c r="AB18" s="214"/>
      <c r="AC18" s="214"/>
      <c r="AD18" s="214"/>
      <c r="AE18" s="214"/>
      <c r="AF18" s="328">
        <f t="shared" ref="AF18:AF20" si="3">SUM(C18:AD18)</f>
        <v>122674</v>
      </c>
      <c r="AG18" s="24"/>
      <c r="AH18" s="24"/>
      <c r="AI18" s="24"/>
      <c r="AJ18" s="24"/>
      <c r="AK18" s="24"/>
      <c r="AM18" s="305"/>
    </row>
    <row r="19" spans="1:62" s="2" customFormat="1" x14ac:dyDescent="0.2">
      <c r="A19" s="33">
        <f>A18+1</f>
        <v>4</v>
      </c>
      <c r="B19" s="34" t="s">
        <v>118</v>
      </c>
      <c r="C19" s="35">
        <v>7624.65</v>
      </c>
      <c r="D19" s="51">
        <v>0</v>
      </c>
      <c r="E19" s="35">
        <v>17141.78</v>
      </c>
      <c r="F19" s="35">
        <v>5738.37</v>
      </c>
      <c r="G19" s="35">
        <v>2322</v>
      </c>
      <c r="H19" s="38">
        <v>2992</v>
      </c>
      <c r="I19" s="35">
        <v>472</v>
      </c>
      <c r="J19" s="39">
        <v>281</v>
      </c>
      <c r="K19" s="39"/>
      <c r="L19" s="35"/>
      <c r="M19" s="39"/>
      <c r="N19" s="39"/>
      <c r="O19" s="39"/>
      <c r="P19" s="39"/>
      <c r="Q19" s="39"/>
      <c r="R19" s="35"/>
      <c r="S19" s="35"/>
      <c r="T19" s="35"/>
      <c r="U19" s="35"/>
      <c r="V19" s="35"/>
      <c r="W19" s="35"/>
      <c r="X19" s="35"/>
      <c r="Y19" s="214"/>
      <c r="Z19" s="214"/>
      <c r="AA19" s="214"/>
      <c r="AB19" s="214"/>
      <c r="AC19" s="214"/>
      <c r="AD19" s="214"/>
      <c r="AE19" s="214"/>
      <c r="AF19" s="328">
        <f t="shared" si="3"/>
        <v>36571.800000000003</v>
      </c>
      <c r="AG19" s="24"/>
      <c r="AM19" s="305"/>
    </row>
    <row r="20" spans="1:62" s="2" customFormat="1" ht="13.5" thickBot="1" x14ac:dyDescent="0.25">
      <c r="A20" s="40">
        <f>A19+1</f>
        <v>5</v>
      </c>
      <c r="B20" s="41" t="s">
        <v>119</v>
      </c>
      <c r="C20" s="42"/>
      <c r="D20" s="52"/>
      <c r="E20" s="44"/>
      <c r="F20" s="44">
        <v>7026.9</v>
      </c>
      <c r="G20" s="42">
        <v>1684.9</v>
      </c>
      <c r="H20" s="43">
        <v>423</v>
      </c>
      <c r="I20" s="42"/>
      <c r="J20" s="44">
        <v>10</v>
      </c>
      <c r="K20" s="44"/>
      <c r="L20" s="42"/>
      <c r="M20" s="44"/>
      <c r="N20" s="44"/>
      <c r="O20" s="44"/>
      <c r="P20" s="44"/>
      <c r="Q20" s="44"/>
      <c r="R20" s="42"/>
      <c r="S20" s="42"/>
      <c r="T20" s="42"/>
      <c r="U20" s="42"/>
      <c r="V20" s="42"/>
      <c r="W20" s="42"/>
      <c r="X20" s="42"/>
      <c r="Y20" s="215"/>
      <c r="Z20" s="215"/>
      <c r="AA20" s="215"/>
      <c r="AB20" s="215"/>
      <c r="AC20" s="215"/>
      <c r="AD20" s="215"/>
      <c r="AE20" s="215"/>
      <c r="AF20" s="328">
        <f t="shared" si="3"/>
        <v>9144.7999999999993</v>
      </c>
      <c r="AG20" s="24"/>
    </row>
    <row r="21" spans="1:62" s="2" customFormat="1" ht="15" thickBot="1" x14ac:dyDescent="0.25">
      <c r="A21" s="430" t="s">
        <v>0</v>
      </c>
      <c r="B21" s="431"/>
      <c r="C21" s="395">
        <f t="shared" ref="C21:AE21" si="4">SUM(C16:C20)</f>
        <v>11412.65</v>
      </c>
      <c r="D21" s="395">
        <f t="shared" si="4"/>
        <v>16601</v>
      </c>
      <c r="E21" s="395">
        <f t="shared" si="4"/>
        <v>32720.78</v>
      </c>
      <c r="F21" s="395">
        <f t="shared" si="4"/>
        <v>46155.270000000004</v>
      </c>
      <c r="G21" s="395">
        <f t="shared" si="4"/>
        <v>31317.9</v>
      </c>
      <c r="H21" s="395">
        <f t="shared" si="4"/>
        <v>26690</v>
      </c>
      <c r="I21" s="395">
        <f t="shared" si="4"/>
        <v>3116</v>
      </c>
      <c r="J21" s="395">
        <f t="shared" si="4"/>
        <v>377</v>
      </c>
      <c r="K21" s="395">
        <f t="shared" si="4"/>
        <v>0</v>
      </c>
      <c r="L21" s="395">
        <f t="shared" si="4"/>
        <v>0</v>
      </c>
      <c r="M21" s="395">
        <f t="shared" si="4"/>
        <v>0</v>
      </c>
      <c r="N21" s="395">
        <f t="shared" si="4"/>
        <v>0</v>
      </c>
      <c r="O21" s="395">
        <f t="shared" si="4"/>
        <v>0</v>
      </c>
      <c r="P21" s="395">
        <f t="shared" si="4"/>
        <v>0</v>
      </c>
      <c r="Q21" s="395">
        <f t="shared" si="4"/>
        <v>0</v>
      </c>
      <c r="R21" s="395">
        <f t="shared" si="4"/>
        <v>0</v>
      </c>
      <c r="S21" s="395">
        <f t="shared" si="4"/>
        <v>0</v>
      </c>
      <c r="T21" s="395">
        <f t="shared" si="4"/>
        <v>0</v>
      </c>
      <c r="U21" s="395">
        <f t="shared" si="4"/>
        <v>0</v>
      </c>
      <c r="V21" s="395">
        <f t="shared" si="4"/>
        <v>0</v>
      </c>
      <c r="W21" s="395">
        <f t="shared" si="4"/>
        <v>0</v>
      </c>
      <c r="X21" s="395">
        <f t="shared" si="4"/>
        <v>0</v>
      </c>
      <c r="Y21" s="395">
        <f t="shared" si="4"/>
        <v>0</v>
      </c>
      <c r="Z21" s="395">
        <f t="shared" si="4"/>
        <v>0</v>
      </c>
      <c r="AA21" s="395">
        <f t="shared" si="4"/>
        <v>0</v>
      </c>
      <c r="AB21" s="395">
        <f t="shared" si="4"/>
        <v>0</v>
      </c>
      <c r="AC21" s="395">
        <f t="shared" si="4"/>
        <v>0</v>
      </c>
      <c r="AD21" s="395">
        <f t="shared" si="4"/>
        <v>0</v>
      </c>
      <c r="AE21" s="395">
        <f t="shared" si="4"/>
        <v>0</v>
      </c>
      <c r="AF21" s="396">
        <f>SUM(AF16:AF20)</f>
        <v>168390.59999999998</v>
      </c>
      <c r="AG21" s="24"/>
      <c r="AM21" s="305"/>
    </row>
    <row r="22" spans="1:62" s="2" customFormat="1" ht="15" thickBot="1" x14ac:dyDescent="0.25">
      <c r="A22" s="274"/>
      <c r="B22" s="274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9"/>
      <c r="AG22" s="24"/>
      <c r="AM22" s="305"/>
    </row>
    <row r="23" spans="1:62" s="2" customFormat="1" ht="15.75" thickBot="1" x14ac:dyDescent="0.25">
      <c r="A23" s="378" t="s">
        <v>75</v>
      </c>
      <c r="B23" s="379" t="s">
        <v>97</v>
      </c>
      <c r="C23" s="387">
        <v>1995</v>
      </c>
      <c r="D23" s="387">
        <v>1996</v>
      </c>
      <c r="E23" s="387">
        <v>1997</v>
      </c>
      <c r="F23" s="387">
        <v>1998</v>
      </c>
      <c r="G23" s="387">
        <v>1999</v>
      </c>
      <c r="H23" s="388">
        <v>2000</v>
      </c>
      <c r="I23" s="388">
        <v>2001</v>
      </c>
      <c r="J23" s="388">
        <v>2002</v>
      </c>
      <c r="K23" s="388">
        <v>2003</v>
      </c>
      <c r="L23" s="388">
        <v>2004</v>
      </c>
      <c r="M23" s="388">
        <v>2005</v>
      </c>
      <c r="N23" s="388">
        <v>2006</v>
      </c>
      <c r="O23" s="388">
        <v>2007</v>
      </c>
      <c r="P23" s="388">
        <v>2008</v>
      </c>
      <c r="Q23" s="389">
        <v>2009</v>
      </c>
      <c r="R23" s="388">
        <v>2010</v>
      </c>
      <c r="S23" s="388">
        <v>2011</v>
      </c>
      <c r="T23" s="387">
        <v>2012</v>
      </c>
      <c r="U23" s="387">
        <v>2013</v>
      </c>
      <c r="V23" s="387">
        <v>2014</v>
      </c>
      <c r="W23" s="387">
        <v>2015</v>
      </c>
      <c r="X23" s="387">
        <v>2016</v>
      </c>
      <c r="Y23" s="387">
        <v>2017</v>
      </c>
      <c r="Z23" s="387">
        <v>2018</v>
      </c>
      <c r="AA23" s="389">
        <v>2019</v>
      </c>
      <c r="AB23" s="389">
        <v>2020</v>
      </c>
      <c r="AC23" s="389">
        <v>2021</v>
      </c>
      <c r="AD23" s="389">
        <v>2022</v>
      </c>
      <c r="AE23" s="389">
        <v>2023</v>
      </c>
      <c r="AF23" s="391" t="s">
        <v>0</v>
      </c>
      <c r="AM23" s="305"/>
    </row>
    <row r="24" spans="1:62" s="2" customFormat="1" x14ac:dyDescent="0.2">
      <c r="A24" s="28">
        <v>1</v>
      </c>
      <c r="B24" s="29" t="s">
        <v>120</v>
      </c>
      <c r="C24" s="30">
        <v>676.69</v>
      </c>
      <c r="D24" s="31">
        <v>9951.74</v>
      </c>
      <c r="E24" s="31">
        <v>5901.74</v>
      </c>
      <c r="F24" s="31">
        <v>9297.98</v>
      </c>
      <c r="G24" s="30">
        <v>8135.25</v>
      </c>
      <c r="H24" s="32">
        <v>2339</v>
      </c>
      <c r="I24" s="30">
        <v>7706.03</v>
      </c>
      <c r="J24" s="30">
        <v>2338</v>
      </c>
      <c r="K24" s="31"/>
      <c r="L24" s="30">
        <v>850.82</v>
      </c>
      <c r="M24" s="31">
        <v>2311.5</v>
      </c>
      <c r="N24" s="31">
        <v>4561.68</v>
      </c>
      <c r="O24" s="31">
        <v>6537.71</v>
      </c>
      <c r="P24" s="31">
        <v>16874</v>
      </c>
      <c r="Q24" s="31">
        <v>29915</v>
      </c>
      <c r="R24" s="30">
        <v>9637</v>
      </c>
      <c r="S24" s="30">
        <v>3499</v>
      </c>
      <c r="T24" s="30"/>
      <c r="U24" s="30">
        <v>19210</v>
      </c>
      <c r="V24" s="30"/>
      <c r="W24" s="30"/>
      <c r="X24" s="30"/>
      <c r="Y24" s="30"/>
      <c r="Z24" s="30">
        <v>12746.578352987646</v>
      </c>
      <c r="AA24" s="30">
        <v>27869.586228200445</v>
      </c>
      <c r="AB24" s="30">
        <v>3792.1348314606739</v>
      </c>
      <c r="AC24" s="30">
        <v>9691.0112359550567</v>
      </c>
      <c r="AD24" s="30">
        <v>18545.304142632405</v>
      </c>
      <c r="AE24" s="30">
        <v>15184.886952857518</v>
      </c>
      <c r="AF24" s="327">
        <f>SUM(C24:AE24)</f>
        <v>227572.64174409374</v>
      </c>
      <c r="AG24" s="24"/>
      <c r="AM24" s="305"/>
    </row>
    <row r="25" spans="1:62" s="2" customFormat="1" x14ac:dyDescent="0.2">
      <c r="A25" s="33">
        <v>2</v>
      </c>
      <c r="B25" s="34" t="s">
        <v>121</v>
      </c>
      <c r="C25" s="35"/>
      <c r="D25" s="39"/>
      <c r="E25" s="39"/>
      <c r="F25" s="39"/>
      <c r="G25" s="35"/>
      <c r="H25" s="38">
        <v>1161</v>
      </c>
      <c r="I25" s="35">
        <v>15.61</v>
      </c>
      <c r="J25" s="35">
        <v>482</v>
      </c>
      <c r="K25" s="39">
        <v>1207.8</v>
      </c>
      <c r="L25" s="35">
        <v>204.39</v>
      </c>
      <c r="M25" s="39">
        <v>1279.82</v>
      </c>
      <c r="N25" s="39">
        <v>1214.73</v>
      </c>
      <c r="O25" s="39"/>
      <c r="P25" s="39">
        <v>342</v>
      </c>
      <c r="Q25" s="39">
        <v>4681</v>
      </c>
      <c r="R25" s="35">
        <v>3427</v>
      </c>
      <c r="S25" s="35">
        <v>2040</v>
      </c>
      <c r="T25" s="35">
        <v>7329</v>
      </c>
      <c r="U25" s="35">
        <v>1480</v>
      </c>
      <c r="V25" s="35"/>
      <c r="W25" s="35"/>
      <c r="X25" s="35">
        <v>2500</v>
      </c>
      <c r="Y25" s="214"/>
      <c r="Z25" s="214">
        <v>1740.8935595992637</v>
      </c>
      <c r="AA25" s="214">
        <v>4195.4215827398521</v>
      </c>
      <c r="AB25" s="214">
        <v>2247.1910112359551</v>
      </c>
      <c r="AC25" s="214">
        <v>6179.7752808988762</v>
      </c>
      <c r="AD25" s="214">
        <v>4037.8015207131621</v>
      </c>
      <c r="AE25" s="214"/>
      <c r="AF25" s="328">
        <f>SUM(C25:AE25)</f>
        <v>45765.432955187105</v>
      </c>
    </row>
    <row r="26" spans="1:62" s="2" customFormat="1" x14ac:dyDescent="0.2">
      <c r="A26" s="33">
        <v>3</v>
      </c>
      <c r="B26" s="34" t="s">
        <v>122</v>
      </c>
      <c r="C26" s="35">
        <v>48943.199999999997</v>
      </c>
      <c r="D26" s="39">
        <v>17611.990000000002</v>
      </c>
      <c r="E26" s="39">
        <v>22375.17</v>
      </c>
      <c r="F26" s="35">
        <v>26387.08</v>
      </c>
      <c r="G26" s="35">
        <v>16793.349999999999</v>
      </c>
      <c r="H26" s="38">
        <v>2314</v>
      </c>
      <c r="I26" s="35">
        <v>2541.21</v>
      </c>
      <c r="J26" s="35">
        <v>2628</v>
      </c>
      <c r="K26" s="39">
        <v>2700.14</v>
      </c>
      <c r="L26" s="35">
        <v>2588</v>
      </c>
      <c r="M26" s="39">
        <v>5481</v>
      </c>
      <c r="N26" s="39">
        <v>3691</v>
      </c>
      <c r="O26" s="39">
        <v>15301</v>
      </c>
      <c r="P26" s="39">
        <v>13048</v>
      </c>
      <c r="Q26" s="39">
        <v>7654</v>
      </c>
      <c r="R26" s="35">
        <v>23471</v>
      </c>
      <c r="S26" s="35">
        <v>10435</v>
      </c>
      <c r="T26" s="35">
        <v>15172</v>
      </c>
      <c r="U26" s="35">
        <v>20135.100000000002</v>
      </c>
      <c r="V26" s="35">
        <v>30592.7</v>
      </c>
      <c r="W26" s="35">
        <v>29594.800000000003</v>
      </c>
      <c r="X26" s="35">
        <v>30665.200000000001</v>
      </c>
      <c r="Y26" s="214">
        <v>19913.099999999999</v>
      </c>
      <c r="Z26" s="214">
        <v>14440.523930075649</v>
      </c>
      <c r="AA26" s="214">
        <v>16661.817142881126</v>
      </c>
      <c r="AB26" s="214">
        <v>17269</v>
      </c>
      <c r="AC26" s="214">
        <v>15224.719101123595</v>
      </c>
      <c r="AD26" s="214">
        <v>15600.380000000001</v>
      </c>
      <c r="AE26" s="214">
        <v>13627.49</v>
      </c>
      <c r="AF26" s="328">
        <f t="shared" ref="AF26:AF38" si="5">SUM(C26:AE26)</f>
        <v>462859.97017408028</v>
      </c>
      <c r="AG26" s="24"/>
      <c r="AH26" s="24"/>
      <c r="AI26" s="24"/>
      <c r="AJ26" s="24"/>
      <c r="AK26" s="24"/>
      <c r="AL26" s="24"/>
      <c r="AM26" s="24"/>
    </row>
    <row r="27" spans="1:62" s="2" customFormat="1" x14ac:dyDescent="0.2">
      <c r="A27" s="33">
        <v>4</v>
      </c>
      <c r="B27" s="34" t="s">
        <v>123</v>
      </c>
      <c r="C27" s="35">
        <v>5788</v>
      </c>
      <c r="D27" s="39">
        <v>10318</v>
      </c>
      <c r="E27" s="37"/>
      <c r="F27" s="34"/>
      <c r="G27" s="35"/>
      <c r="H27" s="38"/>
      <c r="I27" s="35"/>
      <c r="J27" s="35"/>
      <c r="K27" s="39"/>
      <c r="L27" s="35"/>
      <c r="M27" s="39"/>
      <c r="N27" s="39"/>
      <c r="O27" s="39"/>
      <c r="P27" s="39"/>
      <c r="Q27" s="39"/>
      <c r="R27" s="35"/>
      <c r="S27" s="35"/>
      <c r="T27" s="35"/>
      <c r="U27" s="35"/>
      <c r="V27" s="35"/>
      <c r="W27" s="35"/>
      <c r="X27" s="35"/>
      <c r="Y27" s="214"/>
      <c r="Z27" s="214"/>
      <c r="AA27" s="214"/>
      <c r="AB27" s="214"/>
      <c r="AC27" s="214"/>
      <c r="AD27" s="214"/>
      <c r="AE27" s="214"/>
      <c r="AF27" s="328">
        <f t="shared" si="5"/>
        <v>16106</v>
      </c>
    </row>
    <row r="28" spans="1:62" s="2" customFormat="1" x14ac:dyDescent="0.2">
      <c r="A28" s="33">
        <v>5</v>
      </c>
      <c r="B28" s="34" t="s">
        <v>124</v>
      </c>
      <c r="C28" s="35"/>
      <c r="D28" s="39"/>
      <c r="E28" s="37"/>
      <c r="F28" s="34"/>
      <c r="G28" s="35"/>
      <c r="H28" s="38"/>
      <c r="I28" s="35"/>
      <c r="J28" s="35"/>
      <c r="K28" s="39"/>
      <c r="L28" s="35"/>
      <c r="M28" s="39"/>
      <c r="N28" s="39"/>
      <c r="O28" s="39"/>
      <c r="P28" s="39"/>
      <c r="Q28" s="39"/>
      <c r="R28" s="35"/>
      <c r="S28" s="35">
        <v>156</v>
      </c>
      <c r="T28" s="35"/>
      <c r="U28" s="35"/>
      <c r="V28" s="35"/>
      <c r="W28" s="35"/>
      <c r="X28" s="35"/>
      <c r="Y28" s="214"/>
      <c r="Z28" s="214"/>
      <c r="AA28" s="214"/>
      <c r="AB28" s="214"/>
      <c r="AC28" s="214"/>
      <c r="AD28" s="214"/>
      <c r="AE28" s="214"/>
      <c r="AF28" s="328">
        <f t="shared" si="5"/>
        <v>156</v>
      </c>
    </row>
    <row r="29" spans="1:62" s="2" customFormat="1" x14ac:dyDescent="0.2">
      <c r="A29" s="33">
        <v>6</v>
      </c>
      <c r="B29" s="34" t="s">
        <v>125</v>
      </c>
      <c r="C29" s="35"/>
      <c r="D29" s="37"/>
      <c r="E29" s="37"/>
      <c r="F29" s="34"/>
      <c r="G29" s="35">
        <f>3793.009/3.38</f>
        <v>1122.1920118343196</v>
      </c>
      <c r="H29" s="38">
        <v>1363</v>
      </c>
      <c r="I29" s="35">
        <v>558.87</v>
      </c>
      <c r="J29" s="35">
        <v>337</v>
      </c>
      <c r="K29" s="39">
        <v>92.6</v>
      </c>
      <c r="L29" s="35"/>
      <c r="M29" s="39">
        <v>338</v>
      </c>
      <c r="N29" s="39">
        <v>1272.76</v>
      </c>
      <c r="O29" s="39">
        <v>1531.09</v>
      </c>
      <c r="P29" s="39"/>
      <c r="Q29" s="39">
        <v>3804</v>
      </c>
      <c r="R29" s="53">
        <v>2632</v>
      </c>
      <c r="S29" s="53">
        <v>6393</v>
      </c>
      <c r="T29" s="53"/>
      <c r="U29" s="53">
        <v>12629</v>
      </c>
      <c r="V29" s="53"/>
      <c r="W29" s="53"/>
      <c r="X29" s="53">
        <v>2600</v>
      </c>
      <c r="Y29" s="216">
        <v>2755.2273554284257</v>
      </c>
      <c r="Z29" s="216">
        <v>4065.4594896831791</v>
      </c>
      <c r="AA29" s="216">
        <v>7102.2493936381779</v>
      </c>
      <c r="AB29" s="216">
        <v>8735.9550561797751</v>
      </c>
      <c r="AC29" s="216">
        <v>7752.8089887640444</v>
      </c>
      <c r="AD29" s="216">
        <v>4291.6659674882012</v>
      </c>
      <c r="AE29" s="216"/>
      <c r="AF29" s="328">
        <f t="shared" si="5"/>
        <v>69376.878263016115</v>
      </c>
    </row>
    <row r="30" spans="1:62" s="2" customFormat="1" x14ac:dyDescent="0.2">
      <c r="A30" s="33">
        <v>7</v>
      </c>
      <c r="B30" s="34" t="s">
        <v>100</v>
      </c>
      <c r="C30" s="35">
        <v>11849</v>
      </c>
      <c r="D30" s="35">
        <v>17145</v>
      </c>
      <c r="E30" s="35">
        <v>6522</v>
      </c>
      <c r="F30" s="34"/>
      <c r="G30" s="35"/>
      <c r="H30" s="38"/>
      <c r="I30" s="35"/>
      <c r="J30" s="35">
        <v>3312</v>
      </c>
      <c r="K30" s="39">
        <v>15741</v>
      </c>
      <c r="L30" s="35">
        <v>13218</v>
      </c>
      <c r="M30" s="39">
        <v>16103</v>
      </c>
      <c r="N30" s="39">
        <v>16699</v>
      </c>
      <c r="O30" s="39">
        <v>10091</v>
      </c>
      <c r="P30" s="39">
        <v>20851</v>
      </c>
      <c r="Q30" s="39">
        <v>41043</v>
      </c>
      <c r="R30" s="35">
        <v>33261</v>
      </c>
      <c r="S30" s="35">
        <v>13306</v>
      </c>
      <c r="T30" s="35">
        <v>13774</v>
      </c>
      <c r="U30" s="35">
        <v>24315</v>
      </c>
      <c r="V30" s="35">
        <v>24905.1</v>
      </c>
      <c r="W30" s="35">
        <v>30005.968164705933</v>
      </c>
      <c r="X30" s="35">
        <v>28079.3</v>
      </c>
      <c r="Y30" s="214"/>
      <c r="Z30" s="214">
        <v>10120.599243383051</v>
      </c>
      <c r="AA30" s="214">
        <v>7312.0204727751707</v>
      </c>
      <c r="AB30" s="214">
        <v>8398.8764044943819</v>
      </c>
      <c r="AC30" s="214">
        <v>12443.8202247191</v>
      </c>
      <c r="AD30" s="214">
        <v>22631.064237021499</v>
      </c>
      <c r="AE30" s="214">
        <v>35604.48082084726</v>
      </c>
      <c r="AF30" s="328">
        <f t="shared" si="5"/>
        <v>436731.22956794634</v>
      </c>
      <c r="AG30" s="24"/>
      <c r="AH30" s="24"/>
      <c r="AI30" s="24"/>
    </row>
    <row r="31" spans="1:62" s="2" customFormat="1" ht="15" x14ac:dyDescent="0.2">
      <c r="A31" s="33">
        <v>8</v>
      </c>
      <c r="B31" s="34" t="s">
        <v>110</v>
      </c>
      <c r="C31" s="54"/>
      <c r="D31" s="54"/>
      <c r="E31" s="54"/>
      <c r="F31" s="54"/>
      <c r="G31" s="54"/>
      <c r="H31" s="55"/>
      <c r="I31" s="54"/>
      <c r="J31" s="54"/>
      <c r="K31" s="56"/>
      <c r="L31" s="54"/>
      <c r="M31" s="39"/>
      <c r="N31" s="39"/>
      <c r="O31" s="39"/>
      <c r="P31" s="39"/>
      <c r="Q31" s="39"/>
      <c r="R31" s="35"/>
      <c r="S31" s="35"/>
      <c r="T31" s="35"/>
      <c r="U31" s="35"/>
      <c r="V31" s="35"/>
      <c r="W31" s="35"/>
      <c r="X31" s="35"/>
      <c r="Y31" s="214"/>
      <c r="Z31" s="214"/>
      <c r="AA31" s="214"/>
      <c r="AB31" s="214"/>
      <c r="AC31" s="214"/>
      <c r="AD31" s="214"/>
      <c r="AE31" s="214"/>
      <c r="AF31" s="328">
        <f t="shared" si="5"/>
        <v>0</v>
      </c>
      <c r="AG31" s="24"/>
      <c r="AH31" s="24"/>
      <c r="AI31" s="24"/>
      <c r="AJ31" s="24"/>
      <c r="AK31" s="24"/>
      <c r="AL31" s="24"/>
      <c r="AM31" s="24"/>
      <c r="AN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</row>
    <row r="32" spans="1:62" s="2" customFormat="1" x14ac:dyDescent="0.2">
      <c r="A32" s="33">
        <v>9</v>
      </c>
      <c r="B32" s="34" t="s">
        <v>101</v>
      </c>
      <c r="C32" s="39">
        <v>10705</v>
      </c>
      <c r="D32" s="39">
        <v>12108</v>
      </c>
      <c r="E32" s="39">
        <v>19868</v>
      </c>
      <c r="F32" s="39"/>
      <c r="G32" s="35"/>
      <c r="H32" s="38"/>
      <c r="I32" s="35"/>
      <c r="J32" s="35">
        <v>1744</v>
      </c>
      <c r="K32" s="39">
        <v>2006</v>
      </c>
      <c r="L32" s="35">
        <v>5355</v>
      </c>
      <c r="M32" s="39">
        <v>6465</v>
      </c>
      <c r="N32" s="39">
        <v>7907</v>
      </c>
      <c r="O32" s="39">
        <v>7547</v>
      </c>
      <c r="P32" s="39">
        <v>9518</v>
      </c>
      <c r="Q32" s="39">
        <v>12874</v>
      </c>
      <c r="R32" s="35">
        <v>9313</v>
      </c>
      <c r="S32" s="35">
        <v>6172</v>
      </c>
      <c r="T32" s="35">
        <v>8784</v>
      </c>
      <c r="U32" s="35">
        <v>20133</v>
      </c>
      <c r="V32" s="35">
        <v>3804.1845753962557</v>
      </c>
      <c r="W32" s="35">
        <v>19443.535526528634</v>
      </c>
      <c r="X32" s="35">
        <v>6747.255357142858</v>
      </c>
      <c r="Y32" s="214">
        <v>492.63209619807293</v>
      </c>
      <c r="Z32" s="214">
        <v>2235.9466130013434</v>
      </c>
      <c r="AA32" s="214">
        <v>25562.104357693526</v>
      </c>
      <c r="AB32" s="214">
        <v>10946.629213483146</v>
      </c>
      <c r="AC32" s="214">
        <v>17837.078651685391</v>
      </c>
      <c r="AD32" s="214">
        <v>17762.4229155742</v>
      </c>
      <c r="AE32" s="214">
        <v>24547.756545209173</v>
      </c>
      <c r="AF32" s="328">
        <f t="shared" si="5"/>
        <v>269878.54585191258</v>
      </c>
      <c r="AG32" s="24"/>
      <c r="AH32" s="24"/>
      <c r="AI32" s="24"/>
      <c r="AJ32" s="24"/>
      <c r="AK32" s="24"/>
      <c r="AL32" s="24"/>
      <c r="AM32" s="24"/>
    </row>
    <row r="33" spans="1:66" s="2" customFormat="1" x14ac:dyDescent="0.2">
      <c r="A33" s="33">
        <v>10</v>
      </c>
      <c r="B33" s="34" t="s">
        <v>102</v>
      </c>
      <c r="C33" s="35">
        <v>2493</v>
      </c>
      <c r="D33" s="39">
        <v>10362</v>
      </c>
      <c r="E33" s="39">
        <v>4692</v>
      </c>
      <c r="F33" s="37"/>
      <c r="G33" s="35"/>
      <c r="H33" s="38"/>
      <c r="I33" s="35"/>
      <c r="J33" s="35">
        <v>5385</v>
      </c>
      <c r="K33" s="39">
        <v>3282</v>
      </c>
      <c r="L33" s="35">
        <v>5467</v>
      </c>
      <c r="M33" s="39">
        <v>4687</v>
      </c>
      <c r="N33" s="39">
        <v>4789.3999999999996</v>
      </c>
      <c r="O33" s="39">
        <v>5808.1</v>
      </c>
      <c r="P33" s="39">
        <v>6336</v>
      </c>
      <c r="Q33" s="57">
        <v>19311</v>
      </c>
      <c r="R33" s="35">
        <v>16366</v>
      </c>
      <c r="S33" s="35">
        <v>10611</v>
      </c>
      <c r="T33" s="35">
        <v>14356</v>
      </c>
      <c r="U33" s="35">
        <v>5976</v>
      </c>
      <c r="V33" s="35">
        <v>7572</v>
      </c>
      <c r="W33" s="35"/>
      <c r="X33" s="35">
        <v>9600</v>
      </c>
      <c r="Y33" s="214">
        <v>1761.5941232583064</v>
      </c>
      <c r="Z33" s="214">
        <v>5127.3250750901425</v>
      </c>
      <c r="AA33" s="214">
        <v>10158.913689634355</v>
      </c>
      <c r="AB33" s="214">
        <v>4466.2921348314603</v>
      </c>
      <c r="AC33" s="214">
        <v>8089.8876404494376</v>
      </c>
      <c r="AD33" s="214">
        <v>16428.687991609859</v>
      </c>
      <c r="AE33" s="214">
        <v>16645.612183829093</v>
      </c>
      <c r="AF33" s="328">
        <f t="shared" si="5"/>
        <v>199771.81283870267</v>
      </c>
    </row>
    <row r="34" spans="1:66" s="2" customFormat="1" x14ac:dyDescent="0.2">
      <c r="A34" s="33">
        <v>11</v>
      </c>
      <c r="B34" s="34" t="s">
        <v>126</v>
      </c>
      <c r="C34" s="35">
        <v>997.86</v>
      </c>
      <c r="D34" s="39">
        <v>3855.56</v>
      </c>
      <c r="E34" s="39">
        <v>2857.4</v>
      </c>
      <c r="F34" s="39">
        <v>1957.31</v>
      </c>
      <c r="G34" s="35">
        <v>1092.5</v>
      </c>
      <c r="H34" s="38">
        <v>1293</v>
      </c>
      <c r="I34" s="35">
        <v>999</v>
      </c>
      <c r="J34" s="35">
        <v>1537</v>
      </c>
      <c r="K34" s="39">
        <v>1279</v>
      </c>
      <c r="L34" s="35">
        <v>1150</v>
      </c>
      <c r="M34" s="39">
        <v>1360</v>
      </c>
      <c r="N34" s="39">
        <v>2183</v>
      </c>
      <c r="O34" s="39">
        <v>1313</v>
      </c>
      <c r="P34" s="39">
        <v>2135</v>
      </c>
      <c r="Q34" s="39">
        <v>3468</v>
      </c>
      <c r="R34" s="35">
        <v>6487</v>
      </c>
      <c r="S34" s="35">
        <v>2448</v>
      </c>
      <c r="T34" s="35">
        <v>5586</v>
      </c>
      <c r="U34" s="35">
        <v>1346</v>
      </c>
      <c r="V34" s="35">
        <v>2045.7</v>
      </c>
      <c r="W34" s="35"/>
      <c r="X34" s="35"/>
      <c r="Y34" s="214"/>
      <c r="Z34" s="214">
        <v>5313.3455613671285</v>
      </c>
      <c r="AA34" s="214">
        <v>9499.6331552038082</v>
      </c>
      <c r="AB34" s="214">
        <v>6488.7640449438204</v>
      </c>
      <c r="AC34" s="214">
        <v>14026.5</v>
      </c>
      <c r="AD34" s="214">
        <v>4000.0731515469324</v>
      </c>
      <c r="AE34" s="214">
        <v>111.78036000000002</v>
      </c>
      <c r="AF34" s="328">
        <f t="shared" si="5"/>
        <v>84830.426273061705</v>
      </c>
      <c r="AG34" s="24"/>
      <c r="AH34" s="24"/>
      <c r="AI34" s="24"/>
      <c r="AJ34" s="24"/>
      <c r="AK34" s="24"/>
      <c r="AL34" s="24"/>
      <c r="AM34" s="24"/>
      <c r="AN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</row>
    <row r="35" spans="1:66" s="2" customFormat="1" x14ac:dyDescent="0.2">
      <c r="A35" s="33">
        <v>12</v>
      </c>
      <c r="B35" s="34" t="s">
        <v>127</v>
      </c>
      <c r="C35" s="35">
        <v>16692</v>
      </c>
      <c r="D35" s="35">
        <v>4796</v>
      </c>
      <c r="E35" s="35">
        <v>1239</v>
      </c>
      <c r="F35" s="34"/>
      <c r="G35" s="35"/>
      <c r="H35" s="38"/>
      <c r="I35" s="35"/>
      <c r="J35" s="35">
        <v>8368</v>
      </c>
      <c r="K35" s="39">
        <v>13385</v>
      </c>
      <c r="L35" s="35">
        <v>16150</v>
      </c>
      <c r="M35" s="39">
        <v>19008</v>
      </c>
      <c r="N35" s="39">
        <v>15852.33</v>
      </c>
      <c r="O35" s="39">
        <v>13470</v>
      </c>
      <c r="P35" s="39">
        <v>27740</v>
      </c>
      <c r="Q35" s="39">
        <v>31438</v>
      </c>
      <c r="R35" s="35">
        <v>25874</v>
      </c>
      <c r="S35" s="35">
        <v>14451</v>
      </c>
      <c r="T35" s="35">
        <v>11074</v>
      </c>
      <c r="U35" s="35">
        <v>24005</v>
      </c>
      <c r="V35" s="35">
        <v>30019.288928571426</v>
      </c>
      <c r="W35" s="35"/>
      <c r="X35" s="35">
        <v>19800</v>
      </c>
      <c r="Y35" s="214">
        <v>4876.1229868021455</v>
      </c>
      <c r="Z35" s="214">
        <v>3814.615950104926</v>
      </c>
      <c r="AA35" s="214">
        <v>15073.550400843897</v>
      </c>
      <c r="AB35" s="214">
        <v>10449.438202247191</v>
      </c>
      <c r="AC35" s="214">
        <v>22050.561797752809</v>
      </c>
      <c r="AD35" s="214">
        <v>23699.4</v>
      </c>
      <c r="AE35" s="214">
        <v>36601.853737837839</v>
      </c>
      <c r="AF35" s="328">
        <f t="shared" si="5"/>
        <v>409927.16200416023</v>
      </c>
      <c r="AG35" s="24"/>
      <c r="AH35" s="24"/>
      <c r="AI35" s="24"/>
      <c r="AJ35" s="24"/>
      <c r="AK35" s="24"/>
      <c r="AL35" s="24"/>
      <c r="AM35" s="24"/>
      <c r="AN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</row>
    <row r="36" spans="1:66" s="2" customFormat="1" x14ac:dyDescent="0.2">
      <c r="A36" s="33">
        <v>13</v>
      </c>
      <c r="B36" s="34" t="s">
        <v>128</v>
      </c>
      <c r="C36" s="35"/>
      <c r="D36" s="35"/>
      <c r="E36" s="35"/>
      <c r="F36" s="35"/>
      <c r="G36" s="35"/>
      <c r="H36" s="38">
        <v>351</v>
      </c>
      <c r="I36" s="35">
        <v>0</v>
      </c>
      <c r="J36" s="35"/>
      <c r="K36" s="39"/>
      <c r="L36" s="35"/>
      <c r="M36" s="39"/>
      <c r="N36" s="39">
        <v>135.65</v>
      </c>
      <c r="O36" s="39"/>
      <c r="P36" s="39"/>
      <c r="Q36" s="39"/>
      <c r="R36" s="35"/>
      <c r="S36" s="35"/>
      <c r="T36" s="35"/>
      <c r="U36" s="35"/>
      <c r="V36" s="35"/>
      <c r="W36" s="35"/>
      <c r="X36" s="35"/>
      <c r="Y36" s="214"/>
      <c r="Z36" s="214"/>
      <c r="AA36" s="214"/>
      <c r="AB36" s="214"/>
      <c r="AC36" s="214"/>
      <c r="AD36" s="214"/>
      <c r="AE36" s="214">
        <v>456.36957541434492</v>
      </c>
      <c r="AF36" s="328">
        <f t="shared" si="5"/>
        <v>943.0195754143449</v>
      </c>
      <c r="AG36" s="24"/>
      <c r="AH36" s="24"/>
      <c r="AI36" s="24"/>
      <c r="AJ36" s="24"/>
      <c r="AK36" s="24"/>
      <c r="AL36" s="24"/>
      <c r="AM36" s="24"/>
      <c r="AN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</row>
    <row r="37" spans="1:66" x14ac:dyDescent="0.2">
      <c r="A37" s="33">
        <v>14</v>
      </c>
      <c r="B37" s="34" t="s">
        <v>129</v>
      </c>
      <c r="C37" s="35">
        <v>6737.49</v>
      </c>
      <c r="D37" s="35">
        <v>8959.48</v>
      </c>
      <c r="E37" s="35">
        <v>8476.7000000000007</v>
      </c>
      <c r="F37" s="35">
        <v>4454.59</v>
      </c>
      <c r="G37" s="35">
        <v>6931.4579999999996</v>
      </c>
      <c r="H37" s="38">
        <v>7262</v>
      </c>
      <c r="I37" s="35">
        <v>3844.88</v>
      </c>
      <c r="J37" s="35">
        <v>5549</v>
      </c>
      <c r="K37" s="39">
        <v>4033</v>
      </c>
      <c r="L37" s="35">
        <v>4131</v>
      </c>
      <c r="M37" s="39">
        <v>6606</v>
      </c>
      <c r="N37" s="39">
        <v>8237.0300000000007</v>
      </c>
      <c r="O37" s="39">
        <v>4617</v>
      </c>
      <c r="P37" s="39">
        <v>5525</v>
      </c>
      <c r="Q37" s="39">
        <v>6944</v>
      </c>
      <c r="R37" s="35">
        <v>10029</v>
      </c>
      <c r="S37" s="35">
        <v>8867</v>
      </c>
      <c r="T37" s="35">
        <v>10268</v>
      </c>
      <c r="U37" s="35">
        <v>14879</v>
      </c>
      <c r="V37" s="35">
        <v>17302</v>
      </c>
      <c r="W37" s="35"/>
      <c r="X37" s="35"/>
      <c r="Y37" s="214">
        <v>1846.1807331628306</v>
      </c>
      <c r="Z37" s="214">
        <v>928.76618950238617</v>
      </c>
      <c r="AA37" s="214">
        <v>22775.14573487348</v>
      </c>
      <c r="AB37" s="214">
        <v>5308.9887640449433</v>
      </c>
      <c r="AC37" s="214">
        <v>7668.5393258426966</v>
      </c>
      <c r="AD37" s="214">
        <v>14238.821185107499</v>
      </c>
      <c r="AE37" s="214">
        <v>17369.002545840001</v>
      </c>
      <c r="AF37" s="328">
        <f t="shared" si="5"/>
        <v>223789.0724783738</v>
      </c>
      <c r="AG37" s="15"/>
      <c r="AH37" s="15"/>
      <c r="AI37" s="15"/>
      <c r="AJ37" s="15"/>
      <c r="AK37" s="15"/>
      <c r="AL37" s="15"/>
      <c r="AM37" s="15"/>
      <c r="AN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</row>
    <row r="38" spans="1:66" ht="13.5" thickBot="1" x14ac:dyDescent="0.25">
      <c r="A38" s="33">
        <v>15</v>
      </c>
      <c r="B38" s="307" t="s">
        <v>301</v>
      </c>
      <c r="C38" s="215"/>
      <c r="D38" s="215"/>
      <c r="E38" s="215"/>
      <c r="F38" s="215"/>
      <c r="G38" s="215"/>
      <c r="H38" s="308"/>
      <c r="I38" s="215"/>
      <c r="J38" s="215"/>
      <c r="K38" s="309"/>
      <c r="L38" s="215"/>
      <c r="M38" s="309"/>
      <c r="N38" s="309"/>
      <c r="O38" s="309"/>
      <c r="P38" s="309"/>
      <c r="Q38" s="309"/>
      <c r="R38" s="215"/>
      <c r="S38" s="215"/>
      <c r="T38" s="215"/>
      <c r="U38" s="215"/>
      <c r="V38" s="215"/>
      <c r="W38" s="215"/>
      <c r="X38" s="215"/>
      <c r="Y38" s="215"/>
      <c r="Z38" s="215"/>
      <c r="AA38" s="215">
        <v>4045.5850976420002</v>
      </c>
      <c r="AB38" s="215">
        <v>2022.4719101123594</v>
      </c>
      <c r="AC38" s="215">
        <v>2022.4719101123594</v>
      </c>
      <c r="AD38" s="215">
        <v>4966.4328788673311</v>
      </c>
      <c r="AE38" s="215">
        <v>6664.85</v>
      </c>
      <c r="AF38" s="328">
        <f t="shared" si="5"/>
        <v>19721.811796734051</v>
      </c>
      <c r="AG38" s="15"/>
      <c r="AH38" s="15"/>
      <c r="AI38" s="15"/>
      <c r="AJ38" s="15"/>
      <c r="AK38" s="15"/>
      <c r="AL38" s="15"/>
      <c r="AM38" s="15"/>
      <c r="AN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</row>
    <row r="39" spans="1:66" ht="13.5" thickBot="1" x14ac:dyDescent="0.25">
      <c r="A39" s="430" t="s">
        <v>0</v>
      </c>
      <c r="B39" s="431"/>
      <c r="C39" s="395">
        <f t="shared" ref="C39:X39" si="6">SUM(C24:C38)</f>
        <v>104882.24000000001</v>
      </c>
      <c r="D39" s="395">
        <f t="shared" si="6"/>
        <v>95107.77</v>
      </c>
      <c r="E39" s="395">
        <f t="shared" si="6"/>
        <v>71932.009999999995</v>
      </c>
      <c r="F39" s="395">
        <f t="shared" si="6"/>
        <v>42096.959999999992</v>
      </c>
      <c r="G39" s="395">
        <f t="shared" si="6"/>
        <v>34074.750011834316</v>
      </c>
      <c r="H39" s="395">
        <f t="shared" si="6"/>
        <v>16083</v>
      </c>
      <c r="I39" s="395">
        <f t="shared" si="6"/>
        <v>15665.599999999999</v>
      </c>
      <c r="J39" s="395">
        <f t="shared" si="6"/>
        <v>31680</v>
      </c>
      <c r="K39" s="395">
        <f t="shared" si="6"/>
        <v>43726.54</v>
      </c>
      <c r="L39" s="395">
        <f t="shared" si="6"/>
        <v>49114.21</v>
      </c>
      <c r="M39" s="395">
        <f t="shared" si="6"/>
        <v>63639.32</v>
      </c>
      <c r="N39" s="395">
        <f t="shared" si="6"/>
        <v>66543.58</v>
      </c>
      <c r="O39" s="395">
        <f t="shared" si="6"/>
        <v>66215.899999999994</v>
      </c>
      <c r="P39" s="395">
        <f t="shared" si="6"/>
        <v>102369</v>
      </c>
      <c r="Q39" s="395">
        <f t="shared" si="6"/>
        <v>161132</v>
      </c>
      <c r="R39" s="395">
        <f t="shared" si="6"/>
        <v>140497</v>
      </c>
      <c r="S39" s="395">
        <f t="shared" si="6"/>
        <v>78378</v>
      </c>
      <c r="T39" s="395">
        <f t="shared" si="6"/>
        <v>86343</v>
      </c>
      <c r="U39" s="395">
        <f t="shared" si="6"/>
        <v>144108.1</v>
      </c>
      <c r="V39" s="395">
        <f t="shared" si="6"/>
        <v>116240.97350396769</v>
      </c>
      <c r="W39" s="395">
        <f t="shared" si="6"/>
        <v>79044.303691234571</v>
      </c>
      <c r="X39" s="395">
        <f t="shared" si="6"/>
        <v>99991.755357142858</v>
      </c>
      <c r="Y39" s="395">
        <f>SUM(Y24:Y38)</f>
        <v>31644.857294849782</v>
      </c>
      <c r="Z39" s="395">
        <f t="shared" ref="Z39:AB39" si="7">SUM(Z24:Z38)</f>
        <v>60534.053964794723</v>
      </c>
      <c r="AA39" s="395">
        <f t="shared" si="7"/>
        <v>150256.02725612585</v>
      </c>
      <c r="AB39" s="395">
        <f t="shared" si="7"/>
        <v>80125.741573033709</v>
      </c>
      <c r="AC39" s="395">
        <f>SUM(AC24:AC38)</f>
        <v>122987.17415730338</v>
      </c>
      <c r="AD39" s="395">
        <f>SUM(AD24:AD38)</f>
        <v>146202.05399056108</v>
      </c>
      <c r="AE39" s="395">
        <f>SUM(AE24:AE38)</f>
        <v>166814.08272183524</v>
      </c>
      <c r="AF39" s="395">
        <f>SUM(AF24:AF38)</f>
        <v>2467430.0035226834</v>
      </c>
      <c r="AG39" s="15"/>
      <c r="AH39" s="15"/>
      <c r="AI39" s="15"/>
      <c r="AJ39" s="15"/>
      <c r="AK39" s="15"/>
      <c r="AL39" s="15"/>
      <c r="AM39" s="15"/>
      <c r="AN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</row>
    <row r="40" spans="1:66" ht="14.25" x14ac:dyDescent="0.2">
      <c r="A40" s="306"/>
      <c r="B40" s="274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9"/>
      <c r="AG40" s="15"/>
      <c r="AH40" s="15"/>
      <c r="AI40" s="15"/>
      <c r="AJ40" s="15"/>
      <c r="AK40" s="15"/>
      <c r="AL40" s="15"/>
      <c r="AM40" s="15"/>
      <c r="AN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</row>
    <row r="41" spans="1:66" ht="14.25" x14ac:dyDescent="0.2">
      <c r="A41" s="306"/>
      <c r="B41" s="274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9"/>
      <c r="AG41" s="15"/>
      <c r="AH41" s="15"/>
      <c r="AI41" s="15"/>
      <c r="AJ41" s="15"/>
      <c r="AK41" s="15"/>
      <c r="AL41" s="15"/>
      <c r="AM41" s="15"/>
      <c r="AN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</row>
    <row r="42" spans="1:66" ht="14.25" x14ac:dyDescent="0.2">
      <c r="A42" s="274"/>
      <c r="B42" s="274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9"/>
      <c r="AG42" s="15"/>
      <c r="AH42" s="15"/>
      <c r="AI42" s="15"/>
      <c r="AJ42" s="15"/>
      <c r="AK42" s="15"/>
      <c r="AL42" s="15"/>
      <c r="AM42" s="15"/>
      <c r="AN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</row>
    <row r="43" spans="1:66" ht="21" x14ac:dyDescent="0.25">
      <c r="A43" s="432" t="s">
        <v>319</v>
      </c>
      <c r="B43" s="432"/>
      <c r="C43" s="432"/>
      <c r="D43" s="432"/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432"/>
      <c r="P43" s="432"/>
      <c r="Q43" s="432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9"/>
      <c r="AG43" s="15"/>
      <c r="AH43" s="15"/>
      <c r="AI43" s="15"/>
      <c r="AJ43" s="15"/>
      <c r="AK43" s="15"/>
      <c r="AL43" s="15"/>
      <c r="AM43" s="15"/>
      <c r="AN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</row>
    <row r="44" spans="1:66" ht="15" thickBot="1" x14ac:dyDescent="0.25">
      <c r="A44" s="274"/>
      <c r="B44" s="274"/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9"/>
      <c r="AG44" s="15"/>
      <c r="AH44" s="15"/>
      <c r="AI44" s="15"/>
      <c r="AJ44" s="15"/>
      <c r="AK44" s="15"/>
      <c r="AL44" s="15"/>
      <c r="AM44" s="15"/>
      <c r="AN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</row>
    <row r="45" spans="1:66" ht="13.5" thickBot="1" x14ac:dyDescent="0.25">
      <c r="A45" s="397">
        <v>1</v>
      </c>
      <c r="B45" s="398" t="s">
        <v>203</v>
      </c>
      <c r="C45" s="269">
        <v>74288</v>
      </c>
      <c r="D45" s="269">
        <v>135950</v>
      </c>
      <c r="E45" s="269">
        <v>46558</v>
      </c>
      <c r="F45" s="269">
        <v>51488</v>
      </c>
      <c r="G45" s="269">
        <v>54640</v>
      </c>
      <c r="H45" s="269">
        <v>53411</v>
      </c>
      <c r="I45" s="269">
        <v>45167</v>
      </c>
      <c r="J45" s="269">
        <v>17330</v>
      </c>
      <c r="K45" s="310">
        <v>43427.714</v>
      </c>
      <c r="L45" s="269">
        <v>39078</v>
      </c>
      <c r="M45" s="310">
        <v>45244</v>
      </c>
      <c r="N45" s="310">
        <v>33953</v>
      </c>
      <c r="O45" s="310">
        <f>85031+4896</f>
        <v>89927</v>
      </c>
      <c r="P45" s="310">
        <v>99487</v>
      </c>
      <c r="Q45" s="310">
        <v>184722</v>
      </c>
      <c r="R45" s="310">
        <v>223376</v>
      </c>
      <c r="S45" s="310">
        <v>131275</v>
      </c>
      <c r="T45" s="269">
        <f>149.881209301822*1000</f>
        <v>149881.209301822</v>
      </c>
      <c r="U45" s="269">
        <v>149413.53189887735</v>
      </c>
      <c r="V45" s="269">
        <v>111023.98648648649</v>
      </c>
      <c r="W45" s="269">
        <v>107149.69696969698</v>
      </c>
      <c r="X45" s="269">
        <v>69370.544918998523</v>
      </c>
      <c r="Y45" s="269">
        <v>101764.751705972</v>
      </c>
      <c r="Z45" s="269">
        <v>106963.15349612164</v>
      </c>
      <c r="AA45" s="269">
        <v>91252.862507112222</v>
      </c>
      <c r="AB45" s="269">
        <v>45161.673595505614</v>
      </c>
      <c r="AC45" s="269">
        <v>85825.031179775266</v>
      </c>
      <c r="AD45" s="311">
        <v>103074.35081279498</v>
      </c>
      <c r="AE45" s="371">
        <v>97232.983184219032</v>
      </c>
      <c r="AF45" s="312">
        <f>SUM(C45:AC45)</f>
        <v>2387128.1560603688</v>
      </c>
      <c r="AG45" s="15"/>
      <c r="AH45" s="15"/>
      <c r="AI45" s="15"/>
      <c r="AJ45" s="15"/>
      <c r="AK45" s="15"/>
      <c r="AL45" s="15"/>
      <c r="AM45" s="15"/>
      <c r="AN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</row>
    <row r="46" spans="1:66" ht="15" x14ac:dyDescent="0.2">
      <c r="A46" s="313"/>
      <c r="B46" s="314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15"/>
      <c r="AH46" s="15"/>
      <c r="AI46" s="15"/>
      <c r="AJ46" s="15"/>
      <c r="AK46" s="15"/>
      <c r="AL46" s="15"/>
      <c r="AM46" s="15"/>
      <c r="AN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</row>
    <row r="47" spans="1:66" ht="21.75" customHeight="1" thickBot="1" x14ac:dyDescent="0.25">
      <c r="A47" s="274"/>
      <c r="B47" s="274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9"/>
      <c r="AG47" s="15"/>
      <c r="AH47" s="15"/>
      <c r="AI47" s="15"/>
      <c r="AJ47" s="15"/>
      <c r="AK47" s="15"/>
      <c r="AL47" s="15"/>
      <c r="AM47" s="15"/>
      <c r="AN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</row>
    <row r="48" spans="1:66" s="178" customFormat="1" ht="25.5" customHeight="1" thickBot="1" x14ac:dyDescent="0.25">
      <c r="A48" s="426" t="s">
        <v>33</v>
      </c>
      <c r="B48" s="427"/>
      <c r="C48" s="399">
        <f t="shared" ref="C48:AF48" si="8">C12+C21+C39+C45</f>
        <v>229000.99900000001</v>
      </c>
      <c r="D48" s="399">
        <f t="shared" si="8"/>
        <v>312926.20699999999</v>
      </c>
      <c r="E48" s="399">
        <f t="shared" si="8"/>
        <v>254447.96600000001</v>
      </c>
      <c r="F48" s="399">
        <f t="shared" si="8"/>
        <v>254279.34300000002</v>
      </c>
      <c r="G48" s="399">
        <f t="shared" si="8"/>
        <v>256364.5590118343</v>
      </c>
      <c r="H48" s="399">
        <f t="shared" si="8"/>
        <v>219400</v>
      </c>
      <c r="I48" s="399">
        <f t="shared" si="8"/>
        <v>140225.68</v>
      </c>
      <c r="J48" s="399">
        <f t="shared" si="8"/>
        <v>127185</v>
      </c>
      <c r="K48" s="399">
        <f t="shared" si="8"/>
        <v>154259.75400000002</v>
      </c>
      <c r="L48" s="399">
        <f t="shared" si="8"/>
        <v>155193.43</v>
      </c>
      <c r="M48" s="399">
        <f t="shared" si="8"/>
        <v>162650.03</v>
      </c>
      <c r="N48" s="399">
        <f t="shared" si="8"/>
        <v>129694.5</v>
      </c>
      <c r="O48" s="399">
        <f t="shared" si="8"/>
        <v>229642.19999999998</v>
      </c>
      <c r="P48" s="399">
        <f t="shared" si="8"/>
        <v>228369</v>
      </c>
      <c r="Q48" s="399">
        <f t="shared" si="8"/>
        <v>434703</v>
      </c>
      <c r="R48" s="399">
        <f t="shared" si="8"/>
        <v>388987</v>
      </c>
      <c r="S48" s="400">
        <f t="shared" si="8"/>
        <v>238248.7</v>
      </c>
      <c r="T48" s="400">
        <f t="shared" si="8"/>
        <v>271504.209301822</v>
      </c>
      <c r="U48" s="400">
        <f t="shared" si="8"/>
        <v>358736.43189887737</v>
      </c>
      <c r="V48" s="400">
        <f t="shared" si="8"/>
        <v>289355.47999045422</v>
      </c>
      <c r="W48" s="400">
        <f t="shared" si="8"/>
        <v>229220.59135058674</v>
      </c>
      <c r="X48" s="400">
        <f t="shared" si="8"/>
        <v>196344.90070293791</v>
      </c>
      <c r="Y48" s="400">
        <f t="shared" si="8"/>
        <v>153772.71346203599</v>
      </c>
      <c r="Z48" s="400">
        <f t="shared" si="8"/>
        <v>185417.49595934519</v>
      </c>
      <c r="AA48" s="400">
        <f t="shared" si="8"/>
        <v>261257.33849913493</v>
      </c>
      <c r="AB48" s="400">
        <f>AB12+AB21+AB39+AB45</f>
        <v>219434.6921112682</v>
      </c>
      <c r="AC48" s="400">
        <f>AC12+AC21+AC39+AC45</f>
        <v>221487.66376404493</v>
      </c>
      <c r="AD48" s="400">
        <f>AD12+AD21+AD39+AD45</f>
        <v>264355.24464111298</v>
      </c>
      <c r="AE48" s="400">
        <f>AE12+AE21+AE39+AE45</f>
        <v>275558.30489387631</v>
      </c>
      <c r="AF48" s="400">
        <f t="shared" si="8"/>
        <v>6641715.1005903175</v>
      </c>
      <c r="AG48" s="315"/>
      <c r="AH48" s="315"/>
      <c r="AI48" s="316"/>
      <c r="AJ48" s="317"/>
      <c r="AK48" s="317"/>
      <c r="AL48" s="316"/>
      <c r="AM48" s="315"/>
      <c r="AN48" s="315"/>
    </row>
    <row r="49" spans="1:66" x14ac:dyDescent="0.2">
      <c r="A49" s="356" t="s">
        <v>345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59"/>
      <c r="AJ49" s="318"/>
      <c r="AK49" s="318"/>
      <c r="AL49" s="59"/>
      <c r="AM49" s="15"/>
      <c r="AN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</row>
    <row r="50" spans="1:66" ht="13.5" x14ac:dyDescent="0.2">
      <c r="A50" s="319" t="s">
        <v>130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59"/>
      <c r="AJ50" s="318"/>
      <c r="AK50" s="318"/>
      <c r="AL50" s="59"/>
      <c r="AM50" s="15"/>
      <c r="AN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</row>
    <row r="51" spans="1:66" x14ac:dyDescent="0.2">
      <c r="AI51" s="58"/>
      <c r="AJ51" s="59"/>
      <c r="AK51" s="59"/>
      <c r="AL51" s="58"/>
    </row>
    <row r="52" spans="1:66" x14ac:dyDescent="0.2">
      <c r="B52" s="60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AF52" s="252"/>
      <c r="AG52" s="252"/>
      <c r="AH52" s="252"/>
      <c r="AI52" s="59"/>
      <c r="AJ52" s="58"/>
      <c r="AK52" s="58"/>
      <c r="AL52" s="318"/>
      <c r="AM52" s="252"/>
      <c r="AN52" s="252"/>
    </row>
    <row r="53" spans="1:66" x14ac:dyDescent="0.2"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AG53" s="15"/>
      <c r="AH53" s="15"/>
      <c r="AI53" s="59"/>
      <c r="AJ53" s="58"/>
      <c r="AK53" s="58"/>
      <c r="AL53" s="58"/>
    </row>
    <row r="54" spans="1:66" x14ac:dyDescent="0.2">
      <c r="Q54" s="15"/>
      <c r="AI54" s="58"/>
      <c r="AJ54" s="58"/>
      <c r="AK54" s="58"/>
      <c r="AL54" s="58"/>
    </row>
    <row r="55" spans="1:66" x14ac:dyDescent="0.2">
      <c r="C55" s="27"/>
      <c r="T55" s="15"/>
      <c r="AI55" s="58"/>
      <c r="AJ55" s="58"/>
      <c r="AK55" s="58"/>
      <c r="AL55" s="58"/>
    </row>
    <row r="57" spans="1:66" ht="14.25" x14ac:dyDescent="0.2">
      <c r="W57" s="279"/>
      <c r="X57" s="279"/>
      <c r="Y57" s="279"/>
      <c r="Z57" s="279"/>
      <c r="AA57" s="279"/>
      <c r="AB57" s="279"/>
      <c r="AC57" s="279"/>
      <c r="AD57" s="279"/>
      <c r="AE57" s="279"/>
    </row>
  </sheetData>
  <mergeCells count="6">
    <mergeCell ref="A48:B48"/>
    <mergeCell ref="A1:AF1"/>
    <mergeCell ref="A12:B12"/>
    <mergeCell ref="A21:B21"/>
    <mergeCell ref="A39:B39"/>
    <mergeCell ref="A43:Q43"/>
  </mergeCells>
  <pageMargins left="0.78740157480314965" right="0.78740157480314965" top="0.59055118110236227" bottom="0.59055118110236227" header="0" footer="0"/>
  <pageSetup paperSize="8" scale="4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W75"/>
  <sheetViews>
    <sheetView showGridLines="0" view="pageBreakPreview" zoomScale="80" zoomScaleNormal="70" zoomScaleSheetLayoutView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S17" sqref="S17"/>
    </sheetView>
  </sheetViews>
  <sheetFormatPr baseColWidth="10" defaultColWidth="11.42578125" defaultRowHeight="12.75" x14ac:dyDescent="0.2"/>
  <cols>
    <col min="1" max="1" width="16.85546875" style="3" customWidth="1"/>
    <col min="2" max="2" width="10" style="3" hidden="1" customWidth="1"/>
    <col min="3" max="6" width="6.5703125" style="3" hidden="1" customWidth="1"/>
    <col min="7" max="7" width="9.28515625" style="3" bestFit="1" customWidth="1"/>
    <col min="8" max="35" width="10.7109375" style="3" customWidth="1"/>
    <col min="36" max="36" width="15.140625" style="3" bestFit="1" customWidth="1"/>
    <col min="37" max="37" width="8.140625" style="193" customWidth="1"/>
    <col min="38" max="38" width="12.85546875" style="193" customWidth="1"/>
    <col min="39" max="40" width="5.7109375" style="193" customWidth="1"/>
    <col min="41" max="41" width="11.42578125" style="76"/>
    <col min="42" max="59" width="11.42578125" style="76" customWidth="1"/>
    <col min="60" max="75" width="11.42578125" style="76"/>
    <col min="76" max="16384" width="11.42578125" style="3"/>
  </cols>
  <sheetData>
    <row r="1" spans="1:70" ht="21" x14ac:dyDescent="0.25">
      <c r="A1" s="432" t="s">
        <v>346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191"/>
      <c r="AL1" s="191"/>
      <c r="AM1" s="191"/>
      <c r="AN1" s="191"/>
    </row>
    <row r="2" spans="1:70" ht="15.75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191"/>
      <c r="AL2" s="191"/>
      <c r="AM2" s="191"/>
      <c r="AN2" s="191"/>
    </row>
    <row r="3" spans="1:70" ht="15.75" x14ac:dyDescent="0.25">
      <c r="A3" s="179" t="s">
        <v>207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191"/>
      <c r="AL3" s="191"/>
      <c r="AM3" s="191"/>
      <c r="AN3" s="191"/>
    </row>
    <row r="4" spans="1:70" ht="15.75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191"/>
      <c r="AL4" s="191"/>
      <c r="AM4" s="191"/>
      <c r="AN4" s="191"/>
    </row>
    <row r="5" spans="1:70" x14ac:dyDescent="0.2">
      <c r="A5" s="433" t="s">
        <v>132</v>
      </c>
      <c r="B5" s="108">
        <v>1990</v>
      </c>
      <c r="C5" s="108">
        <v>1991</v>
      </c>
      <c r="D5" s="108">
        <v>1992</v>
      </c>
      <c r="E5" s="108">
        <v>1993</v>
      </c>
      <c r="F5" s="108">
        <v>1994</v>
      </c>
      <c r="G5" s="401">
        <v>1995</v>
      </c>
      <c r="H5" s="401">
        <v>1996</v>
      </c>
      <c r="I5" s="401">
        <v>1997</v>
      </c>
      <c r="J5" s="401">
        <v>1998</v>
      </c>
      <c r="K5" s="401">
        <v>1999</v>
      </c>
      <c r="L5" s="401">
        <v>2000</v>
      </c>
      <c r="M5" s="401">
        <v>2001</v>
      </c>
      <c r="N5" s="401">
        <v>2002</v>
      </c>
      <c r="O5" s="401">
        <v>2003</v>
      </c>
      <c r="P5" s="401">
        <v>2004</v>
      </c>
      <c r="Q5" s="401">
        <v>2005</v>
      </c>
      <c r="R5" s="401">
        <v>2006</v>
      </c>
      <c r="S5" s="401">
        <v>2007</v>
      </c>
      <c r="T5" s="401">
        <v>2008</v>
      </c>
      <c r="U5" s="401">
        <v>2009</v>
      </c>
      <c r="V5" s="401">
        <v>2010</v>
      </c>
      <c r="W5" s="401">
        <v>2011</v>
      </c>
      <c r="X5" s="401">
        <v>2012</v>
      </c>
      <c r="Y5" s="401">
        <v>2013</v>
      </c>
      <c r="Z5" s="401">
        <v>2014</v>
      </c>
      <c r="AA5" s="401">
        <v>2015</v>
      </c>
      <c r="AB5" s="401">
        <v>2016</v>
      </c>
      <c r="AC5" s="401">
        <v>2017</v>
      </c>
      <c r="AD5" s="401">
        <v>2018</v>
      </c>
      <c r="AE5" s="401">
        <v>2019</v>
      </c>
      <c r="AF5" s="401">
        <v>2020</v>
      </c>
      <c r="AG5" s="401">
        <v>2021</v>
      </c>
      <c r="AH5" s="401">
        <v>2022</v>
      </c>
      <c r="AI5" s="401">
        <v>2023</v>
      </c>
      <c r="AJ5" s="402" t="s">
        <v>0</v>
      </c>
      <c r="AK5" s="186"/>
      <c r="AL5" s="186"/>
      <c r="AM5" s="186"/>
      <c r="AN5" s="186"/>
    </row>
    <row r="6" spans="1:70" x14ac:dyDescent="0.2">
      <c r="A6" s="434"/>
      <c r="B6" s="63" t="e">
        <f>B13+B14+B15</f>
        <v>#REF!</v>
      </c>
      <c r="C6" s="63" t="e">
        <f t="shared" ref="C6:AG6" si="0">C13+C14+C15</f>
        <v>#REF!</v>
      </c>
      <c r="D6" s="63" t="e">
        <f t="shared" si="0"/>
        <v>#REF!</v>
      </c>
      <c r="E6" s="63">
        <f t="shared" si="0"/>
        <v>174.40799999999999</v>
      </c>
      <c r="F6" s="63">
        <f t="shared" si="0"/>
        <v>214.15259800000001</v>
      </c>
      <c r="G6" s="184">
        <f t="shared" si="0"/>
        <v>295.15262900000005</v>
      </c>
      <c r="H6" s="184">
        <f t="shared" si="0"/>
        <v>508.70337699999999</v>
      </c>
      <c r="I6" s="184">
        <f t="shared" si="0"/>
        <v>593.51688100000001</v>
      </c>
      <c r="J6" s="184">
        <f t="shared" si="0"/>
        <v>612.52143099999989</v>
      </c>
      <c r="K6" s="184">
        <f t="shared" si="0"/>
        <v>763.73022801183424</v>
      </c>
      <c r="L6" s="184">
        <f t="shared" si="0"/>
        <v>652.98900000000003</v>
      </c>
      <c r="M6" s="184">
        <f t="shared" si="0"/>
        <v>336.39697000000001</v>
      </c>
      <c r="N6" s="184">
        <f t="shared" si="0"/>
        <v>247.20600000000002</v>
      </c>
      <c r="O6" s="184">
        <f t="shared" si="0"/>
        <v>226.41186400000001</v>
      </c>
      <c r="P6" s="184">
        <f t="shared" si="0"/>
        <v>320.25719000000004</v>
      </c>
      <c r="Q6" s="184">
        <f t="shared" si="0"/>
        <v>392.53300999999999</v>
      </c>
      <c r="R6" s="184">
        <f t="shared" si="0"/>
        <v>469.89295000000004</v>
      </c>
      <c r="S6" s="184">
        <f t="shared" si="0"/>
        <v>618.15077000000008</v>
      </c>
      <c r="T6" s="184">
        <f t="shared" si="0"/>
        <v>847.57499999999993</v>
      </c>
      <c r="U6" s="184">
        <f t="shared" si="0"/>
        <v>1154.2819999999999</v>
      </c>
      <c r="V6" s="184">
        <f t="shared" si="0"/>
        <v>1367.7389999999998</v>
      </c>
      <c r="W6" s="184">
        <f t="shared" si="0"/>
        <v>1879.9996652000002</v>
      </c>
      <c r="X6" s="184">
        <f t="shared" si="0"/>
        <v>2738.9250697518223</v>
      </c>
      <c r="Y6" s="184">
        <f t="shared" si="0"/>
        <v>2589.0289318988775</v>
      </c>
      <c r="Z6" s="184">
        <f t="shared" si="0"/>
        <v>2566.5285523938123</v>
      </c>
      <c r="AA6" s="184">
        <f t="shared" si="0"/>
        <v>2593.4579568204067</v>
      </c>
      <c r="AB6" s="185">
        <f t="shared" si="0"/>
        <v>1798.1615713156471</v>
      </c>
      <c r="AC6" s="185">
        <f t="shared" si="0"/>
        <v>1519.0460996835402</v>
      </c>
      <c r="AD6" s="185">
        <f t="shared" si="0"/>
        <v>766.15949987652607</v>
      </c>
      <c r="AE6" s="185">
        <f t="shared" si="0"/>
        <v>709.63635261285049</v>
      </c>
      <c r="AF6" s="185">
        <f t="shared" si="0"/>
        <v>462.48743432230555</v>
      </c>
      <c r="AG6" s="185">
        <f t="shared" si="0"/>
        <v>1191.3609933553373</v>
      </c>
      <c r="AH6" s="185">
        <f>AH13+AH14+AH15</f>
        <v>1239.5770826273581</v>
      </c>
      <c r="AI6" s="185">
        <f>AI13+AI14+AI15</f>
        <v>1156.694348302547</v>
      </c>
      <c r="AJ6" s="184">
        <f>SUM(G6:AI6)</f>
        <v>30618.121858172861</v>
      </c>
      <c r="AK6" s="187"/>
      <c r="AL6" s="187"/>
      <c r="AM6" s="187"/>
      <c r="AN6" s="187"/>
    </row>
    <row r="7" spans="1:70" x14ac:dyDescent="0.2">
      <c r="A7" s="356" t="s">
        <v>323</v>
      </c>
    </row>
    <row r="8" spans="1:70" x14ac:dyDescent="0.2">
      <c r="A8" s="3" t="s">
        <v>133</v>
      </c>
    </row>
    <row r="10" spans="1:70" ht="15.75" x14ac:dyDescent="0.25">
      <c r="A10" s="179" t="s">
        <v>208</v>
      </c>
    </row>
    <row r="12" spans="1:70" x14ac:dyDescent="0.2">
      <c r="A12" s="403" t="s">
        <v>134</v>
      </c>
      <c r="B12" s="403">
        <v>1990</v>
      </c>
      <c r="C12" s="403">
        <v>1991</v>
      </c>
      <c r="D12" s="403">
        <v>1992</v>
      </c>
      <c r="E12" s="403">
        <v>1993</v>
      </c>
      <c r="F12" s="403">
        <v>1994</v>
      </c>
      <c r="G12" s="402">
        <v>1995</v>
      </c>
      <c r="H12" s="402">
        <v>1996</v>
      </c>
      <c r="I12" s="402">
        <v>1997</v>
      </c>
      <c r="J12" s="402">
        <v>1998</v>
      </c>
      <c r="K12" s="402">
        <v>1999</v>
      </c>
      <c r="L12" s="402">
        <v>2000</v>
      </c>
      <c r="M12" s="402">
        <v>2001</v>
      </c>
      <c r="N12" s="402">
        <v>2002</v>
      </c>
      <c r="O12" s="402">
        <v>2003</v>
      </c>
      <c r="P12" s="402">
        <v>2004</v>
      </c>
      <c r="Q12" s="402">
        <v>2005</v>
      </c>
      <c r="R12" s="402">
        <v>2006</v>
      </c>
      <c r="S12" s="402">
        <v>2007</v>
      </c>
      <c r="T12" s="402">
        <v>2008</v>
      </c>
      <c r="U12" s="402">
        <v>2009</v>
      </c>
      <c r="V12" s="402">
        <v>2010</v>
      </c>
      <c r="W12" s="402">
        <v>2011</v>
      </c>
      <c r="X12" s="402">
        <v>2012</v>
      </c>
      <c r="Y12" s="402">
        <v>2013</v>
      </c>
      <c r="Z12" s="402">
        <v>2014</v>
      </c>
      <c r="AA12" s="402">
        <v>2015</v>
      </c>
      <c r="AB12" s="402">
        <v>2016</v>
      </c>
      <c r="AC12" s="402">
        <v>2017</v>
      </c>
      <c r="AD12" s="401">
        <v>2018</v>
      </c>
      <c r="AE12" s="401">
        <v>2019</v>
      </c>
      <c r="AF12" s="401">
        <v>2020</v>
      </c>
      <c r="AG12" s="401">
        <v>2021</v>
      </c>
      <c r="AH12" s="401">
        <v>2022</v>
      </c>
      <c r="AI12" s="401">
        <v>2023</v>
      </c>
      <c r="AJ12" s="402" t="s">
        <v>0</v>
      </c>
      <c r="AK12" s="186"/>
      <c r="AP12" s="76">
        <f t="shared" ref="AP12:BK12" si="1">G12</f>
        <v>1995</v>
      </c>
      <c r="AQ12" s="76">
        <f t="shared" si="1"/>
        <v>1996</v>
      </c>
      <c r="AR12" s="76">
        <f t="shared" si="1"/>
        <v>1997</v>
      </c>
      <c r="AS12" s="76">
        <f t="shared" si="1"/>
        <v>1998</v>
      </c>
      <c r="AT12" s="76">
        <f t="shared" si="1"/>
        <v>1999</v>
      </c>
      <c r="AU12" s="76">
        <f t="shared" si="1"/>
        <v>2000</v>
      </c>
      <c r="AV12" s="76">
        <f t="shared" si="1"/>
        <v>2001</v>
      </c>
      <c r="AW12" s="76">
        <f t="shared" si="1"/>
        <v>2002</v>
      </c>
      <c r="AX12" s="76">
        <f t="shared" si="1"/>
        <v>2003</v>
      </c>
      <c r="AY12" s="76">
        <f t="shared" si="1"/>
        <v>2004</v>
      </c>
      <c r="AZ12" s="76">
        <f t="shared" si="1"/>
        <v>2005</v>
      </c>
      <c r="BA12" s="76">
        <f t="shared" si="1"/>
        <v>2006</v>
      </c>
      <c r="BB12" s="76">
        <f t="shared" si="1"/>
        <v>2007</v>
      </c>
      <c r="BC12" s="76">
        <f t="shared" si="1"/>
        <v>2008</v>
      </c>
      <c r="BD12" s="76">
        <f t="shared" si="1"/>
        <v>2009</v>
      </c>
      <c r="BE12" s="76">
        <f t="shared" si="1"/>
        <v>2010</v>
      </c>
      <c r="BF12" s="76">
        <f t="shared" si="1"/>
        <v>2011</v>
      </c>
      <c r="BG12" s="76">
        <f t="shared" si="1"/>
        <v>2012</v>
      </c>
      <c r="BH12" s="76">
        <f t="shared" si="1"/>
        <v>2013</v>
      </c>
      <c r="BI12" s="76">
        <f t="shared" si="1"/>
        <v>2014</v>
      </c>
      <c r="BJ12" s="76">
        <f t="shared" si="1"/>
        <v>2015</v>
      </c>
      <c r="BK12" s="76">
        <f t="shared" si="1"/>
        <v>2016</v>
      </c>
      <c r="BL12" s="76">
        <v>2017</v>
      </c>
      <c r="BM12" s="76">
        <v>2018</v>
      </c>
      <c r="BN12" s="76">
        <v>2019</v>
      </c>
      <c r="BO12" s="76">
        <v>2020</v>
      </c>
      <c r="BP12" s="76">
        <v>2021</v>
      </c>
      <c r="BQ12" s="76">
        <v>2022</v>
      </c>
      <c r="BR12" s="76">
        <v>2023</v>
      </c>
    </row>
    <row r="13" spans="1:70" x14ac:dyDescent="0.2">
      <c r="A13" s="64" t="s">
        <v>135</v>
      </c>
      <c r="B13" s="114">
        <v>136.59899999999999</v>
      </c>
      <c r="C13" s="114">
        <v>114.85899999999999</v>
      </c>
      <c r="D13" s="114">
        <v>163.75299999999999</v>
      </c>
      <c r="E13" s="114">
        <v>167.15199999999999</v>
      </c>
      <c r="F13" s="114">
        <v>79.389708000000013</v>
      </c>
      <c r="G13" s="182">
        <v>154.71299900000002</v>
      </c>
      <c r="H13" s="182">
        <v>176.97620699999999</v>
      </c>
      <c r="I13" s="182">
        <v>207.88996600000002</v>
      </c>
      <c r="J13" s="182">
        <v>202.79134300000001</v>
      </c>
      <c r="K13" s="182">
        <v>201.72455901183429</v>
      </c>
      <c r="L13" s="182">
        <v>165.989</v>
      </c>
      <c r="M13" s="182">
        <v>95.058679999999995</v>
      </c>
      <c r="N13" s="182">
        <v>109.855</v>
      </c>
      <c r="O13" s="182">
        <v>110.83204000000001</v>
      </c>
      <c r="P13" s="182">
        <v>116.11542999999999</v>
      </c>
      <c r="Q13" s="182">
        <v>117.40603</v>
      </c>
      <c r="R13" s="182">
        <v>95.741500000000002</v>
      </c>
      <c r="S13" s="182">
        <v>139.71519999999998</v>
      </c>
      <c r="T13" s="182">
        <v>128.88200000000001</v>
      </c>
      <c r="U13" s="182">
        <v>249.98099999999999</v>
      </c>
      <c r="V13" s="182">
        <v>165.61099999999999</v>
      </c>
      <c r="W13" s="182">
        <v>106.97369999999999</v>
      </c>
      <c r="X13" s="182">
        <v>121.623</v>
      </c>
      <c r="Y13" s="182">
        <v>209.32290000000003</v>
      </c>
      <c r="Z13" s="182">
        <v>159.26756419362286</v>
      </c>
      <c r="AA13" s="182">
        <v>122.07089438088974</v>
      </c>
      <c r="AB13" s="183">
        <f>+('10.17.3 y 4 Publica y Gub.'!X12+'10.17.3 y 4 Publica y Gub.'!X21+'10.17.3 y 4 Publica y Gub.'!X39)/1000</f>
        <v>126.97435578393939</v>
      </c>
      <c r="AC13" s="183">
        <f>('10.17.3 y 4 Publica y Gub.'!Y12+'10.17.3 y 4 Publica y Gub.'!Y21+'10.17.3 y 4 Publica y Gub.'!Y39)/1000</f>
        <v>52.007961756063978</v>
      </c>
      <c r="AD13" s="183">
        <f>('10.17.3 y 4 Publica y Gub.'!Z12+'10.17.3 y 4 Publica y Gub.'!Z21+'10.17.3 y 4 Publica y Gub.'!Z39)/1000</f>
        <v>78.45434246322354</v>
      </c>
      <c r="AE13" s="183">
        <f>('10.17.3 y 4 Publica y Gub.'!AA12+'10.17.3 y 4 Publica y Gub.'!AA21+'10.17.3 y 4 Publica y Gub.'!AA39)/1000</f>
        <v>170.00447599202272</v>
      </c>
      <c r="AF13" s="183">
        <f>('10.17.3 y 4 Publica y Gub.'!AB12+'10.17.3 y 4 Publica y Gub.'!AB21+'10.17.3 y 4 Publica y Gub.'!AB39)/1000</f>
        <v>174.27301851576257</v>
      </c>
      <c r="AG13" s="183">
        <f>('10.17.3 y 4 Publica y Gub.'!AC12+'10.17.3 y 4 Publica y Gub.'!AC21+'10.17.3 y 4 Publica y Gub.'!AC39)/1000</f>
        <v>135.66263258426969</v>
      </c>
      <c r="AH13" s="183">
        <f>('10.17.3 y 4 Publica y Gub.'!AD12+'10.17.3 y 4 Publica y Gub.'!AD21+'10.17.3 y 4 Publica y Gub.'!AD39)/1000</f>
        <v>161.280893828318</v>
      </c>
      <c r="AI13" s="183">
        <v>177.88548039451314</v>
      </c>
      <c r="AJ13" s="320">
        <f>SUM(G13:AI13)</f>
        <v>4235.0831739044597</v>
      </c>
      <c r="AO13" s="76" t="s">
        <v>3</v>
      </c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</row>
    <row r="14" spans="1:70" x14ac:dyDescent="0.2">
      <c r="A14" s="64" t="s">
        <v>131</v>
      </c>
      <c r="B14" s="114"/>
      <c r="C14" s="114"/>
      <c r="D14" s="114"/>
      <c r="E14" s="114"/>
      <c r="F14" s="114">
        <v>60.35389</v>
      </c>
      <c r="G14" s="182">
        <v>66.151630000000011</v>
      </c>
      <c r="H14" s="182">
        <v>195.77716999999998</v>
      </c>
      <c r="I14" s="182">
        <v>339.06891500000006</v>
      </c>
      <c r="J14" s="182">
        <v>358.24208799999997</v>
      </c>
      <c r="K14" s="182">
        <v>507.36566899999997</v>
      </c>
      <c r="L14" s="182">
        <v>433.589</v>
      </c>
      <c r="M14" s="182">
        <v>196.17129</v>
      </c>
      <c r="N14" s="182">
        <v>120.021</v>
      </c>
      <c r="O14" s="182">
        <v>72.152110000000008</v>
      </c>
      <c r="P14" s="182">
        <v>165.06376</v>
      </c>
      <c r="Q14" s="182">
        <v>229.88297999999998</v>
      </c>
      <c r="R14" s="182">
        <v>340.19845000000004</v>
      </c>
      <c r="S14" s="182">
        <v>388.50857000000002</v>
      </c>
      <c r="T14" s="182">
        <v>619.20600000000002</v>
      </c>
      <c r="U14" s="182">
        <v>719.57899999999995</v>
      </c>
      <c r="V14" s="182">
        <v>978.75199999999995</v>
      </c>
      <c r="W14" s="182">
        <v>1641.7509652000001</v>
      </c>
      <c r="X14" s="182">
        <v>2467.4208604500004</v>
      </c>
      <c r="Y14" s="182">
        <v>2230.2925</v>
      </c>
      <c r="Z14" s="182">
        <v>2296.2370017137027</v>
      </c>
      <c r="AA14" s="182">
        <v>2364.2373654698199</v>
      </c>
      <c r="AB14" s="183">
        <f>+'10.17.2 Inversion Privada'!X161/1000</f>
        <v>1601.816670612709</v>
      </c>
      <c r="AC14" s="183">
        <f>'10.17.2 Inversion Privada'!Y161/1000</f>
        <v>1365.2733862215043</v>
      </c>
      <c r="AD14" s="183">
        <f>'10.17.2 Inversion Privada'!Z161/1000</f>
        <v>580.74200391718091</v>
      </c>
      <c r="AE14" s="183">
        <f>'10.17.2 Inversion Privada'!AA161/1000</f>
        <v>448.37901411371553</v>
      </c>
      <c r="AF14" s="183">
        <f>'10.17.2 Inversion Privada'!AB161/1000</f>
        <v>243.05274221103738</v>
      </c>
      <c r="AG14" s="183">
        <f>'10.17.2 Inversion Privada'!AC161/1000</f>
        <v>969.87332959129219</v>
      </c>
      <c r="AH14" s="183">
        <f>'10.17.2 Inversion Privada'!AD161/1000</f>
        <v>975.22183798624508</v>
      </c>
      <c r="AI14" s="183">
        <v>881.57588472381508</v>
      </c>
      <c r="AJ14" s="320">
        <f t="shared" ref="AJ14:AJ15" si="2">SUM(G14:AI14)</f>
        <v>23795.603194211024</v>
      </c>
      <c r="AO14" s="76" t="s">
        <v>167</v>
      </c>
      <c r="AP14" s="180">
        <v>66165.63</v>
      </c>
      <c r="AQ14" s="180">
        <v>195921.16999999998</v>
      </c>
      <c r="AR14" s="180">
        <v>339735.91500000004</v>
      </c>
      <c r="AS14" s="180">
        <v>358705.08799999999</v>
      </c>
      <c r="AT14" s="180">
        <v>507744.66899999999</v>
      </c>
      <c r="AU14" s="180">
        <v>437769</v>
      </c>
      <c r="AV14" s="180">
        <v>210829.29</v>
      </c>
      <c r="AW14" s="180">
        <v>132343</v>
      </c>
      <c r="AX14" s="180">
        <v>81123.709999999992</v>
      </c>
      <c r="AY14" s="180">
        <v>168551.96</v>
      </c>
      <c r="AZ14" s="180">
        <v>231061.62</v>
      </c>
      <c r="BA14" s="180">
        <v>350459.05</v>
      </c>
      <c r="BB14" s="180">
        <v>399347.57</v>
      </c>
      <c r="BC14" s="180">
        <v>633659</v>
      </c>
      <c r="BD14" s="180">
        <v>741830</v>
      </c>
      <c r="BE14" s="180">
        <v>978752</v>
      </c>
      <c r="BF14" s="180">
        <v>1641750.9652000002</v>
      </c>
      <c r="BG14" s="180">
        <v>2467429.8604500005</v>
      </c>
      <c r="BH14" s="180">
        <v>2230292.5</v>
      </c>
      <c r="BI14" s="180">
        <v>2296237.0017137029</v>
      </c>
      <c r="BJ14" s="180">
        <v>2296237.0017137029</v>
      </c>
      <c r="BK14" s="180">
        <f t="shared" ref="BK14:BR14" si="3">+AB14</f>
        <v>1601.816670612709</v>
      </c>
      <c r="BL14" s="180">
        <f t="shared" si="3"/>
        <v>1365.2733862215043</v>
      </c>
      <c r="BM14" s="180">
        <f t="shared" si="3"/>
        <v>580.74200391718091</v>
      </c>
      <c r="BN14" s="180">
        <f t="shared" si="3"/>
        <v>448.37901411371553</v>
      </c>
      <c r="BO14" s="180">
        <f t="shared" si="3"/>
        <v>243.05274221103738</v>
      </c>
      <c r="BP14" s="180">
        <f t="shared" si="3"/>
        <v>969.87332959129219</v>
      </c>
      <c r="BQ14" s="180">
        <f t="shared" si="3"/>
        <v>975.22183798624508</v>
      </c>
      <c r="BR14" s="180">
        <f t="shared" si="3"/>
        <v>881.57588472381508</v>
      </c>
    </row>
    <row r="15" spans="1:70" x14ac:dyDescent="0.2">
      <c r="A15" s="64" t="s">
        <v>136</v>
      </c>
      <c r="B15" s="114" t="e">
        <v>#REF!</v>
      </c>
      <c r="C15" s="114" t="e">
        <v>#REF!</v>
      </c>
      <c r="D15" s="114" t="e">
        <v>#REF!</v>
      </c>
      <c r="E15" s="114">
        <v>7.2560000000000002</v>
      </c>
      <c r="F15" s="114">
        <v>74.409000000000006</v>
      </c>
      <c r="G15" s="182">
        <v>74.287999999999997</v>
      </c>
      <c r="H15" s="182">
        <v>135.94999999999999</v>
      </c>
      <c r="I15" s="182">
        <v>46.558</v>
      </c>
      <c r="J15" s="182">
        <v>51.488</v>
      </c>
      <c r="K15" s="182">
        <v>54.64</v>
      </c>
      <c r="L15" s="182">
        <v>53.411000000000001</v>
      </c>
      <c r="M15" s="182">
        <v>45.167000000000002</v>
      </c>
      <c r="N15" s="182">
        <v>17.329999999999998</v>
      </c>
      <c r="O15" s="182">
        <v>43.427714000000002</v>
      </c>
      <c r="P15" s="182">
        <v>39.078000000000003</v>
      </c>
      <c r="Q15" s="182">
        <v>45.244</v>
      </c>
      <c r="R15" s="182">
        <v>33.953000000000003</v>
      </c>
      <c r="S15" s="182">
        <v>89.927000000000007</v>
      </c>
      <c r="T15" s="182">
        <v>99.486999999999995</v>
      </c>
      <c r="U15" s="182">
        <v>184.72200000000001</v>
      </c>
      <c r="V15" s="182">
        <v>223.376</v>
      </c>
      <c r="W15" s="182">
        <v>131.27500000000001</v>
      </c>
      <c r="X15" s="182">
        <v>149.881209301822</v>
      </c>
      <c r="Y15" s="182">
        <v>149.41353189887735</v>
      </c>
      <c r="Z15" s="182">
        <v>111.02398648648649</v>
      </c>
      <c r="AA15" s="182">
        <v>107.14969696969698</v>
      </c>
      <c r="AB15" s="183">
        <f>+'10.17.3 y 4 Publica y Gub.'!X45/1000</f>
        <v>69.370544918998519</v>
      </c>
      <c r="AC15" s="183">
        <f>'10.17.3 y 4 Publica y Gub.'!Y45/1000</f>
        <v>101.764751705972</v>
      </c>
      <c r="AD15" s="183">
        <f>'10.17.3 y 4 Publica y Gub.'!Z45/1000</f>
        <v>106.96315349612163</v>
      </c>
      <c r="AE15" s="183">
        <f>'10.17.3 y 4 Publica y Gub.'!AA45/1000</f>
        <v>91.252862507112226</v>
      </c>
      <c r="AF15" s="183">
        <f>'10.17.3 y 4 Publica y Gub.'!AB45/1000</f>
        <v>45.161673595505611</v>
      </c>
      <c r="AG15" s="183">
        <f>'10.17.3 y 4 Publica y Gub.'!AC45/1000</f>
        <v>85.825031179775266</v>
      </c>
      <c r="AH15" s="183">
        <f>'10.17.3 y 4 Publica y Gub.'!AD45/1000</f>
        <v>103.07435081279498</v>
      </c>
      <c r="AI15" s="183">
        <v>97.232983184219037</v>
      </c>
      <c r="AJ15" s="320">
        <f t="shared" si="2"/>
        <v>2587.4354900573821</v>
      </c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</row>
    <row r="16" spans="1:70" x14ac:dyDescent="0.2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7"/>
      <c r="AK16" s="188"/>
    </row>
    <row r="17" spans="1:70" x14ac:dyDescent="0.2">
      <c r="A17" s="60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  <c r="AK17" s="188"/>
    </row>
    <row r="18" spans="1:70" x14ac:dyDescent="0.2">
      <c r="A18" s="60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  <c r="AK18" s="188"/>
      <c r="AL18" s="188"/>
      <c r="AM18" s="188"/>
      <c r="AN18" s="188"/>
    </row>
    <row r="19" spans="1:70" x14ac:dyDescent="0.2">
      <c r="A19" s="60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89"/>
      <c r="AM19" s="189"/>
      <c r="AN19" s="189"/>
    </row>
    <row r="21" spans="1:70" ht="15" x14ac:dyDescent="0.25">
      <c r="A21" s="435"/>
      <c r="B21" s="435"/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190"/>
      <c r="AM21" s="190"/>
      <c r="AN21" s="190"/>
    </row>
    <row r="22" spans="1:70" ht="15.75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191"/>
      <c r="AL22" s="192"/>
      <c r="AM22" s="191"/>
      <c r="AN22" s="191"/>
    </row>
    <row r="23" spans="1:70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62"/>
      <c r="AK23" s="186"/>
      <c r="AL23" s="186"/>
      <c r="AM23" s="186"/>
      <c r="AN23" s="186"/>
    </row>
    <row r="24" spans="1:7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7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O25" s="76" t="s">
        <v>168</v>
      </c>
    </row>
    <row r="28" spans="1:70" x14ac:dyDescent="0.2">
      <c r="AP28" s="76">
        <v>1995</v>
      </c>
      <c r="AQ28" s="76">
        <v>1996</v>
      </c>
      <c r="AR28" s="76">
        <v>1997</v>
      </c>
      <c r="AS28" s="76">
        <v>1998</v>
      </c>
      <c r="AT28" s="76">
        <v>1999</v>
      </c>
      <c r="AU28" s="76">
        <v>2000</v>
      </c>
      <c r="AV28" s="76">
        <v>2001</v>
      </c>
      <c r="AW28" s="76">
        <v>2002</v>
      </c>
      <c r="AX28" s="76">
        <v>2003</v>
      </c>
      <c r="AY28" s="76">
        <v>2004</v>
      </c>
      <c r="AZ28" s="76">
        <v>2005</v>
      </c>
      <c r="BA28" s="76">
        <v>2006</v>
      </c>
      <c r="BB28" s="76">
        <v>2007</v>
      </c>
      <c r="BC28" s="76">
        <v>2008</v>
      </c>
      <c r="BD28" s="76">
        <v>2009</v>
      </c>
      <c r="BE28" s="76">
        <v>2010</v>
      </c>
      <c r="BF28" s="76">
        <v>2011</v>
      </c>
      <c r="BG28" s="76">
        <v>2012</v>
      </c>
      <c r="BH28" s="76">
        <v>2013</v>
      </c>
      <c r="BI28" s="76">
        <v>2014</v>
      </c>
      <c r="BJ28" s="76">
        <v>2015</v>
      </c>
      <c r="BK28" s="76">
        <v>2016</v>
      </c>
      <c r="BL28" s="76">
        <v>2017</v>
      </c>
      <c r="BM28" s="76">
        <v>2018</v>
      </c>
      <c r="BN28" s="76">
        <v>2019</v>
      </c>
      <c r="BO28" s="76">
        <v>2020</v>
      </c>
      <c r="BP28" s="76">
        <v>2021</v>
      </c>
      <c r="BQ28" s="76">
        <v>2022</v>
      </c>
      <c r="BR28" s="76">
        <v>2023</v>
      </c>
    </row>
    <row r="29" spans="1:70" x14ac:dyDescent="0.2">
      <c r="AO29" s="76" t="s">
        <v>0</v>
      </c>
      <c r="AP29" s="180">
        <v>46.066738999999991</v>
      </c>
      <c r="AQ29" s="180">
        <v>163.01889700000001</v>
      </c>
      <c r="AR29" s="180">
        <v>343.44413100000003</v>
      </c>
      <c r="AS29" s="180">
        <v>365.34824100000003</v>
      </c>
      <c r="AT29" s="180">
        <v>417.162328</v>
      </c>
      <c r="AU29" s="180">
        <v>335.61799999999999</v>
      </c>
      <c r="AV29" s="180">
        <v>109.76317999999999</v>
      </c>
      <c r="AW29" s="180">
        <v>107.84</v>
      </c>
      <c r="AX29" s="180">
        <v>87.16510000000001</v>
      </c>
      <c r="AY29" s="180">
        <v>159.56641999999999</v>
      </c>
      <c r="AZ29" s="180">
        <v>193.49135000000001</v>
      </c>
      <c r="BA29" s="180">
        <v>289.57452000000001</v>
      </c>
      <c r="BB29" s="180">
        <v>318.03030000000001</v>
      </c>
      <c r="BC29" s="180">
        <v>483.53</v>
      </c>
      <c r="BD29" s="180">
        <v>448.38299999999998</v>
      </c>
      <c r="BE29" s="180">
        <v>558.63400000000001</v>
      </c>
      <c r="BF29" s="180">
        <v>1240.7880652000001</v>
      </c>
      <c r="BG29" s="180">
        <v>1781.4186604500001</v>
      </c>
      <c r="BH29" s="180">
        <f t="shared" ref="BH29:BN29" si="4">+BH30+BH31</f>
        <v>1829.8335</v>
      </c>
      <c r="BI29" s="180">
        <f t="shared" si="4"/>
        <v>1829.2607998337028</v>
      </c>
      <c r="BJ29" s="180">
        <f t="shared" si="4"/>
        <v>1773.8894952016162</v>
      </c>
      <c r="BK29" s="180">
        <f t="shared" si="4"/>
        <v>965.84021903074961</v>
      </c>
      <c r="BL29" s="180">
        <f t="shared" si="4"/>
        <v>855.87025410816568</v>
      </c>
      <c r="BM29" s="180">
        <f t="shared" si="4"/>
        <v>270.70298968008819</v>
      </c>
      <c r="BN29" s="180">
        <f t="shared" si="4"/>
        <v>197.33050129443217</v>
      </c>
      <c r="BO29" s="180">
        <f t="shared" ref="BO29:BP29" si="5">+BO30+BO31</f>
        <v>211.54534849299381</v>
      </c>
      <c r="BP29" s="180">
        <f t="shared" si="5"/>
        <v>197.47435457696628</v>
      </c>
      <c r="BQ29" s="180">
        <f t="shared" ref="BQ29:BR29" si="6">+BQ30+BQ31</f>
        <v>602.25133748775704</v>
      </c>
      <c r="BR29" s="180">
        <f t="shared" si="6"/>
        <v>380.82791096872825</v>
      </c>
    </row>
    <row r="30" spans="1:70" x14ac:dyDescent="0.2">
      <c r="AO30" s="76" t="s">
        <v>131</v>
      </c>
      <c r="AP30" s="180">
        <f>+'10.17.2 Inversion Privada'!C109/1000</f>
        <v>7.6486299999999998</v>
      </c>
      <c r="AQ30" s="180">
        <f>+'10.17.2 Inversion Privada'!D109/1000</f>
        <v>97.751459999999994</v>
      </c>
      <c r="AR30" s="180">
        <f>+'10.17.2 Inversion Privada'!E109/1000</f>
        <v>240.20695500000002</v>
      </c>
      <c r="AS30" s="180">
        <f>+'10.17.2 Inversion Privada'!F109/1000</f>
        <v>250.80912799999999</v>
      </c>
      <c r="AT30" s="180">
        <f>+'10.17.2 Inversion Privada'!G109/1000</f>
        <v>280.83041900000001</v>
      </c>
      <c r="AU30" s="180">
        <f>+'10.17.2 Inversion Privada'!H109/1000</f>
        <v>212.40199999999999</v>
      </c>
      <c r="AV30" s="180">
        <f>+'10.17.2 Inversion Privada'!I109/1000</f>
        <v>33.4861</v>
      </c>
      <c r="AW30" s="180">
        <f>+'10.17.2 Inversion Privada'!J109/1000</f>
        <v>30.042000000000002</v>
      </c>
      <c r="AX30" s="180">
        <f>+'10.17.2 Inversion Privada'!K109/1000</f>
        <v>20.0596</v>
      </c>
      <c r="AY30" s="180">
        <f>+'10.17.2 Inversion Privada'!L109/1000</f>
        <v>92.56519999999999</v>
      </c>
      <c r="AZ30" s="180">
        <f>+'10.17.2 Inversion Privada'!M109/1000</f>
        <v>139.72464000000002</v>
      </c>
      <c r="BA30" s="180">
        <f>+'10.17.2 Inversion Privada'!N109/1000</f>
        <v>260.3766</v>
      </c>
      <c r="BB30" s="180">
        <f>+'10.17.2 Inversion Privada'!O109/1000</f>
        <v>244.53100000000001</v>
      </c>
      <c r="BC30" s="180">
        <f>+'10.17.2 Inversion Privada'!P109/1000</f>
        <v>457.017</v>
      </c>
      <c r="BD30" s="180">
        <f>+'10.17.2 Inversion Privada'!Q109/1000</f>
        <v>359.53399999999999</v>
      </c>
      <c r="BE30" s="180">
        <f>+'10.17.2 Inversion Privada'!R109/1000</f>
        <v>533.52</v>
      </c>
      <c r="BF30" s="180">
        <f>+'10.17.2 Inversion Privada'!S109/1000</f>
        <v>1212.1923652</v>
      </c>
      <c r="BG30" s="180">
        <f>+'10.17.2 Inversion Privada'!T109/1000</f>
        <v>1746.1386604500001</v>
      </c>
      <c r="BH30" s="180">
        <f>+'10.17.2 Inversion Privada'!U109/1000</f>
        <v>1764.6187</v>
      </c>
      <c r="BI30" s="180">
        <f>+'10.17.2 Inversion Privada'!V109/1000</f>
        <v>1767.1702798337028</v>
      </c>
      <c r="BJ30" s="180">
        <f>+'10.17.2 Inversion Privada'!W109/1000</f>
        <v>1730.862904511961</v>
      </c>
      <c r="BK30" s="180">
        <f>+'10.17.2 Inversion Privada'!X109/1000</f>
        <v>938.85761860395303</v>
      </c>
      <c r="BL30" s="180">
        <f>+'10.17.2 Inversion Privada'!Y109/1000</f>
        <v>835.50714964695146</v>
      </c>
      <c r="BM30" s="180">
        <f>+'10.17.2 Inversion Privada'!Z109/1000</f>
        <v>252.78270118165941</v>
      </c>
      <c r="BN30" s="180">
        <f>+'10.17.2 Inversion Privada'!AA109/1000</f>
        <v>177.58205255853528</v>
      </c>
      <c r="BO30" s="180">
        <f>+'10.17.2 Inversion Privada'!AB109/1000</f>
        <v>117.39807155026494</v>
      </c>
      <c r="BP30" s="180">
        <f>+'10.17.2 Inversion Privada'!AC109/1000</f>
        <v>184.79889614999999</v>
      </c>
      <c r="BQ30" s="180">
        <f>+'10.17.2 Inversion Privada'!AD109/1000</f>
        <v>587.1724976500002</v>
      </c>
      <c r="BR30" s="180">
        <f>+'10.17.2 Inversion Privada'!AE109/1000</f>
        <v>369.31667198090616</v>
      </c>
    </row>
    <row r="31" spans="1:70" x14ac:dyDescent="0.2">
      <c r="AO31" s="76" t="s">
        <v>202</v>
      </c>
      <c r="AP31" s="180">
        <f>+'10.17.3 y 4 Publica y Gub.'!C12/1000</f>
        <v>38.418108999999994</v>
      </c>
      <c r="AQ31" s="180">
        <f>+'10.17.3 y 4 Publica y Gub.'!D12/1000</f>
        <v>65.267437000000001</v>
      </c>
      <c r="AR31" s="180">
        <f>+'10.17.3 y 4 Publica y Gub.'!E12/1000</f>
        <v>103.23717600000001</v>
      </c>
      <c r="AS31" s="180">
        <f>+'10.17.3 y 4 Publica y Gub.'!F12/1000</f>
        <v>114.53911300000001</v>
      </c>
      <c r="AT31" s="180">
        <f>+'10.17.3 y 4 Publica y Gub.'!G12/1000</f>
        <v>136.331909</v>
      </c>
      <c r="AU31" s="180">
        <f>+'10.17.3 y 4 Publica y Gub.'!H12/1000</f>
        <v>123.21599999999999</v>
      </c>
      <c r="AV31" s="180">
        <f>+'10.17.3 y 4 Publica y Gub.'!I12/1000</f>
        <v>76.277079999999998</v>
      </c>
      <c r="AW31" s="180">
        <f>+'10.17.3 y 4 Publica y Gub.'!J12/1000</f>
        <v>77.798000000000002</v>
      </c>
      <c r="AX31" s="180">
        <f>+'10.17.3 y 4 Publica y Gub.'!K12/1000</f>
        <v>67.105500000000006</v>
      </c>
      <c r="AY31" s="180">
        <f>+'10.17.3 y 4 Publica y Gub.'!L12/1000</f>
        <v>67.001220000000004</v>
      </c>
      <c r="AZ31" s="180">
        <f>+'10.17.3 y 4 Publica y Gub.'!M12/1000</f>
        <v>53.766709999999996</v>
      </c>
      <c r="BA31" s="180">
        <f>+'10.17.3 y 4 Publica y Gub.'!N12/1000</f>
        <v>29.19792</v>
      </c>
      <c r="BB31" s="180">
        <f>+'10.17.3 y 4 Publica y Gub.'!O12/1000</f>
        <v>73.499299999999991</v>
      </c>
      <c r="BC31" s="180">
        <f>+'10.17.3 y 4 Publica y Gub.'!P12/1000</f>
        <v>26.513000000000002</v>
      </c>
      <c r="BD31" s="180">
        <f>+'10.17.3 y 4 Publica y Gub.'!Q12/1000</f>
        <v>88.849000000000004</v>
      </c>
      <c r="BE31" s="180">
        <f>+'10.17.3 y 4 Publica y Gub.'!R12/1000</f>
        <v>25.114000000000001</v>
      </c>
      <c r="BF31" s="180">
        <f>+'10.17.3 y 4 Publica y Gub.'!S12/1000</f>
        <v>28.595700000000001</v>
      </c>
      <c r="BG31" s="180">
        <f>+'10.17.3 y 4 Publica y Gub.'!T12/1000</f>
        <v>35.28</v>
      </c>
      <c r="BH31" s="180">
        <f>+'10.17.3 y 4 Publica y Gub.'!U12/1000</f>
        <v>65.214799999999997</v>
      </c>
      <c r="BI31" s="180">
        <f>+'10.17.3 y 4 Publica y Gub.'!V12/1000</f>
        <v>62.090520000000005</v>
      </c>
      <c r="BJ31" s="180">
        <f>+'10.17.3 y 4 Publica y Gub.'!W12/1000</f>
        <v>43.026590689655173</v>
      </c>
      <c r="BK31" s="180">
        <f>+'10.17.3 y 4 Publica y Gub.'!X12/1000</f>
        <v>26.982600426796537</v>
      </c>
      <c r="BL31" s="180">
        <f>+'10.17.3 y 4 Publica y Gub.'!Y12/1000</f>
        <v>20.363104461214196</v>
      </c>
      <c r="BM31" s="180">
        <f>+'10.17.3 y 4 Publica y Gub.'!Z12/1000</f>
        <v>17.920288498428814</v>
      </c>
      <c r="BN31" s="180">
        <f>+'10.17.3 y 4 Publica y Gub.'!AA12/1000</f>
        <v>19.748448735896876</v>
      </c>
      <c r="BO31" s="180">
        <f>+'10.17.3 y 4 Publica y Gub.'!AB12/1000</f>
        <v>94.14727694272888</v>
      </c>
      <c r="BP31" s="180">
        <f>+'10.17.3 y 4 Publica y Gub.'!AC12/1000</f>
        <v>12.675458426966292</v>
      </c>
      <c r="BQ31" s="180">
        <f>+'10.17.3 y 4 Publica y Gub.'!AD12/1000</f>
        <v>15.078839837756901</v>
      </c>
      <c r="BR31" s="180">
        <f>+'10.17.3 y 4 Publica y Gub.'!AE12/1000</f>
        <v>11.511238987822059</v>
      </c>
    </row>
    <row r="37" spans="41:70" x14ac:dyDescent="0.2">
      <c r="AO37" s="76" t="s">
        <v>166</v>
      </c>
    </row>
    <row r="40" spans="41:70" x14ac:dyDescent="0.2">
      <c r="AP40" s="76">
        <v>1995</v>
      </c>
      <c r="AQ40" s="76">
        <v>1996</v>
      </c>
      <c r="AR40" s="76">
        <v>1997</v>
      </c>
      <c r="AS40" s="76">
        <v>1998</v>
      </c>
      <c r="AT40" s="76">
        <v>1999</v>
      </c>
      <c r="AU40" s="76">
        <v>2000</v>
      </c>
      <c r="AV40" s="76">
        <v>2001</v>
      </c>
      <c r="AW40" s="76">
        <v>2002</v>
      </c>
      <c r="AX40" s="76">
        <v>2003</v>
      </c>
      <c r="AY40" s="76">
        <v>2004</v>
      </c>
      <c r="AZ40" s="76">
        <v>2005</v>
      </c>
      <c r="BA40" s="76">
        <v>2006</v>
      </c>
      <c r="BB40" s="76">
        <v>2007</v>
      </c>
      <c r="BC40" s="76">
        <v>2008</v>
      </c>
      <c r="BD40" s="76">
        <v>2009</v>
      </c>
      <c r="BE40" s="76">
        <v>2010</v>
      </c>
      <c r="BF40" s="76">
        <v>2011</v>
      </c>
      <c r="BG40" s="76">
        <v>2012</v>
      </c>
      <c r="BH40" s="76">
        <v>2013</v>
      </c>
      <c r="BI40" s="76">
        <v>2014</v>
      </c>
      <c r="BJ40" s="76">
        <v>2015</v>
      </c>
      <c r="BK40" s="76">
        <v>2016</v>
      </c>
      <c r="BL40" s="76">
        <v>2017</v>
      </c>
      <c r="BM40" s="76">
        <v>2018</v>
      </c>
      <c r="BN40" s="76">
        <v>2019</v>
      </c>
      <c r="BO40" s="76">
        <v>2020</v>
      </c>
      <c r="BP40" s="76">
        <v>2021</v>
      </c>
      <c r="BQ40" s="76">
        <v>2022</v>
      </c>
      <c r="BR40" s="76">
        <v>2023</v>
      </c>
    </row>
    <row r="41" spans="41:70" x14ac:dyDescent="0.2">
      <c r="AO41" s="76" t="s">
        <v>0</v>
      </c>
      <c r="AP41" s="180">
        <f t="shared" ref="AP41:BG41" si="7">SUM(AP42:AP43)</f>
        <v>11.412649999999999</v>
      </c>
      <c r="AQ41" s="180">
        <f t="shared" si="7"/>
        <v>16.600999999999999</v>
      </c>
      <c r="AR41" s="180">
        <f t="shared" si="7"/>
        <v>32.720779999999998</v>
      </c>
      <c r="AS41" s="180">
        <f t="shared" si="7"/>
        <v>59.643270000000001</v>
      </c>
      <c r="AT41" s="180">
        <f t="shared" si="7"/>
        <v>170.80662000000001</v>
      </c>
      <c r="AU41" s="180">
        <f t="shared" si="7"/>
        <v>128.93899999999999</v>
      </c>
      <c r="AV41" s="180">
        <f t="shared" si="7"/>
        <v>61.743000000000002</v>
      </c>
      <c r="AW41" s="180">
        <f t="shared" si="7"/>
        <v>37.657000000000004</v>
      </c>
      <c r="AX41" s="180">
        <f t="shared" si="7"/>
        <v>12.825610000000001</v>
      </c>
      <c r="AY41" s="180">
        <f t="shared" si="7"/>
        <v>24.365860000000001</v>
      </c>
      <c r="AZ41" s="180">
        <f t="shared" si="7"/>
        <v>20.633900000000001</v>
      </c>
      <c r="BA41" s="180">
        <f t="shared" si="7"/>
        <v>16.54345</v>
      </c>
      <c r="BB41" s="180">
        <f t="shared" si="7"/>
        <v>69.635899999999992</v>
      </c>
      <c r="BC41" s="180">
        <f t="shared" si="7"/>
        <v>43.106000000000002</v>
      </c>
      <c r="BD41" s="180">
        <f t="shared" si="7"/>
        <v>254.363</v>
      </c>
      <c r="BE41" s="180">
        <f t="shared" si="7"/>
        <v>332.55700000000002</v>
      </c>
      <c r="BF41" s="180">
        <f t="shared" si="7"/>
        <v>278.54599999999999</v>
      </c>
      <c r="BG41" s="180">
        <f t="shared" si="7"/>
        <v>470.27</v>
      </c>
      <c r="BH41" s="180">
        <f t="shared" ref="BH41:BR41" si="8">+BH42</f>
        <v>188.4134</v>
      </c>
      <c r="BI41" s="180">
        <f t="shared" si="8"/>
        <v>244.01244188000001</v>
      </c>
      <c r="BJ41" s="180">
        <f t="shared" si="8"/>
        <v>354.97169140999995</v>
      </c>
      <c r="BK41" s="180">
        <f t="shared" si="8"/>
        <v>398.28611609000006</v>
      </c>
      <c r="BL41" s="180">
        <f t="shared" si="8"/>
        <v>269.02376026833315</v>
      </c>
      <c r="BM41" s="180">
        <f t="shared" si="8"/>
        <v>81.554137765000007</v>
      </c>
      <c r="BN41" s="180">
        <f t="shared" si="8"/>
        <v>152.23425350425475</v>
      </c>
      <c r="BO41" s="180">
        <f t="shared" si="8"/>
        <v>7.0730336626472052</v>
      </c>
      <c r="BP41" s="180">
        <f t="shared" si="8"/>
        <v>506.98487</v>
      </c>
      <c r="BQ41" s="180">
        <f t="shared" si="8"/>
        <v>157.39741952</v>
      </c>
      <c r="BR41" s="180">
        <f t="shared" si="8"/>
        <v>243.04454286608248</v>
      </c>
    </row>
    <row r="42" spans="41:70" x14ac:dyDescent="0.2">
      <c r="AO42" s="76" t="s">
        <v>131</v>
      </c>
      <c r="AP42" s="180">
        <f>+'10.17.2 Inversion Privada'!C138/1000</f>
        <v>0</v>
      </c>
      <c r="AQ42" s="180">
        <f>+'10.17.2 Inversion Privada'!D138/1000</f>
        <v>0</v>
      </c>
      <c r="AR42" s="180">
        <f>+'10.17.2 Inversion Privada'!E138/1000</f>
        <v>0</v>
      </c>
      <c r="AS42" s="180">
        <f>+'10.17.2 Inversion Privada'!F138/1000</f>
        <v>13.488</v>
      </c>
      <c r="AT42" s="180">
        <f>+'10.17.2 Inversion Privada'!G138/1000</f>
        <v>139.48872</v>
      </c>
      <c r="AU42" s="180">
        <f>+'10.17.2 Inversion Privada'!H138/1000</f>
        <v>102.249</v>
      </c>
      <c r="AV42" s="180">
        <f>+'10.17.2 Inversion Privada'!I138/1000</f>
        <v>58.627000000000002</v>
      </c>
      <c r="AW42" s="180">
        <f>+'10.17.2 Inversion Privada'!J138/1000</f>
        <v>37.28</v>
      </c>
      <c r="AX42" s="180">
        <f>+'10.17.2 Inversion Privada'!K138/1000</f>
        <v>12.825610000000001</v>
      </c>
      <c r="AY42" s="180">
        <f>+'10.17.2 Inversion Privada'!L138/1000</f>
        <v>24.365860000000001</v>
      </c>
      <c r="AZ42" s="180">
        <f>+'10.17.2 Inversion Privada'!M138/1000</f>
        <v>20.633900000000001</v>
      </c>
      <c r="BA42" s="180">
        <f>+'10.17.2 Inversion Privada'!N138/1000</f>
        <v>16.54345</v>
      </c>
      <c r="BB42" s="180">
        <f>+'10.17.2 Inversion Privada'!O138/1000</f>
        <v>69.635899999999992</v>
      </c>
      <c r="BC42" s="180">
        <f>+'10.17.2 Inversion Privada'!P138/1000</f>
        <v>43.106000000000002</v>
      </c>
      <c r="BD42" s="180">
        <f>+'10.17.2 Inversion Privada'!Q138/1000</f>
        <v>254.363</v>
      </c>
      <c r="BE42" s="180">
        <f>+'10.17.2 Inversion Privada'!R138/1000</f>
        <v>332.55700000000002</v>
      </c>
      <c r="BF42" s="180">
        <f>+'10.17.2 Inversion Privada'!S138/1000</f>
        <v>278.54599999999999</v>
      </c>
      <c r="BG42" s="180">
        <f>+'10.17.2 Inversion Privada'!T138/1000</f>
        <v>470.27</v>
      </c>
      <c r="BH42" s="180">
        <f>+'10.17.2 Inversion Privada'!U138/1000</f>
        <v>188.4134</v>
      </c>
      <c r="BI42" s="180">
        <f>+'10.17.2 Inversion Privada'!V138/1000</f>
        <v>244.01244188000001</v>
      </c>
      <c r="BJ42" s="180">
        <f>+'10.17.2 Inversion Privada'!W138/1000</f>
        <v>354.97169140999995</v>
      </c>
      <c r="BK42" s="180">
        <f>+'10.17.2 Inversion Privada'!X138/1000</f>
        <v>398.28611609000006</v>
      </c>
      <c r="BL42" s="180">
        <f>+'10.17.2 Inversion Privada'!Y138/1000</f>
        <v>269.02376026833315</v>
      </c>
      <c r="BM42" s="180">
        <f>+'10.17.2 Inversion Privada'!Z138/1000</f>
        <v>81.554137765000007</v>
      </c>
      <c r="BN42" s="180">
        <f>+'10.17.2 Inversion Privada'!AA138/1000</f>
        <v>152.23425350425475</v>
      </c>
      <c r="BO42" s="180">
        <f>+'10.17.2 Inversion Privada'!AB138/1000</f>
        <v>7.0730336626472052</v>
      </c>
      <c r="BP42" s="180">
        <f>+'10.17.2 Inversion Privada'!AC138/1000</f>
        <v>506.98487</v>
      </c>
      <c r="BQ42" s="180">
        <f>+'10.17.2 Inversion Privada'!AD138/1000</f>
        <v>157.39741952</v>
      </c>
      <c r="BR42" s="180">
        <f>+'10.17.2 Inversion Privada'!AE138/1000</f>
        <v>243.04454286608248</v>
      </c>
    </row>
    <row r="43" spans="41:70" x14ac:dyDescent="0.2">
      <c r="AO43" s="76" t="s">
        <v>202</v>
      </c>
      <c r="AP43" s="194">
        <v>11.412649999999999</v>
      </c>
      <c r="AQ43" s="194">
        <v>16.600999999999999</v>
      </c>
      <c r="AR43" s="194">
        <v>32.720779999999998</v>
      </c>
      <c r="AS43" s="194">
        <v>46.155270000000002</v>
      </c>
      <c r="AT43" s="194">
        <v>31.317900000000002</v>
      </c>
      <c r="AU43" s="194">
        <v>26.69</v>
      </c>
      <c r="AV43" s="194">
        <v>3.1160000000000001</v>
      </c>
      <c r="AW43" s="194">
        <v>0.377</v>
      </c>
      <c r="AX43" s="194">
        <v>0</v>
      </c>
      <c r="AY43" s="194">
        <v>0</v>
      </c>
      <c r="AZ43" s="194">
        <v>0</v>
      </c>
      <c r="BA43" s="194">
        <v>0</v>
      </c>
      <c r="BB43" s="194">
        <v>0</v>
      </c>
      <c r="BC43" s="194">
        <v>0</v>
      </c>
      <c r="BD43" s="194">
        <v>0</v>
      </c>
      <c r="BE43" s="194">
        <v>0</v>
      </c>
      <c r="BF43" s="194">
        <v>0</v>
      </c>
      <c r="BG43" s="194">
        <v>0</v>
      </c>
      <c r="BH43" s="194">
        <v>0</v>
      </c>
      <c r="BI43" s="194">
        <v>0</v>
      </c>
      <c r="BJ43" s="194">
        <v>0</v>
      </c>
      <c r="BK43" s="194">
        <v>0</v>
      </c>
      <c r="BL43" s="76">
        <v>0</v>
      </c>
      <c r="BM43" s="76">
        <v>0</v>
      </c>
      <c r="BN43" s="76">
        <v>0</v>
      </c>
      <c r="BO43" s="76">
        <v>0</v>
      </c>
      <c r="BP43" s="76">
        <v>0</v>
      </c>
      <c r="BQ43" s="76">
        <v>0</v>
      </c>
      <c r="BR43" s="76">
        <v>1</v>
      </c>
    </row>
    <row r="54" spans="41:70" x14ac:dyDescent="0.2">
      <c r="AO54" s="76" t="s">
        <v>165</v>
      </c>
    </row>
    <row r="57" spans="41:70" x14ac:dyDescent="0.2">
      <c r="AP57" s="76">
        <v>1995</v>
      </c>
      <c r="AQ57" s="76">
        <v>1996</v>
      </c>
      <c r="AR57" s="76">
        <v>1997</v>
      </c>
      <c r="AS57" s="76">
        <v>1998</v>
      </c>
      <c r="AT57" s="76">
        <v>1999</v>
      </c>
      <c r="AU57" s="76">
        <v>2000</v>
      </c>
      <c r="AV57" s="76">
        <v>2001</v>
      </c>
      <c r="AW57" s="76">
        <v>2002</v>
      </c>
      <c r="AX57" s="76">
        <v>2003</v>
      </c>
      <c r="AY57" s="76">
        <v>2004</v>
      </c>
      <c r="AZ57" s="76">
        <v>2005</v>
      </c>
      <c r="BA57" s="76">
        <v>2006</v>
      </c>
      <c r="BB57" s="76">
        <v>2007</v>
      </c>
      <c r="BC57" s="76">
        <v>2008</v>
      </c>
      <c r="BD57" s="76">
        <v>2009</v>
      </c>
      <c r="BE57" s="76">
        <v>2010</v>
      </c>
      <c r="BF57" s="76">
        <v>2011</v>
      </c>
      <c r="BG57" s="76">
        <v>2012</v>
      </c>
      <c r="BH57" s="76">
        <v>2013</v>
      </c>
      <c r="BI57" s="76">
        <v>2014</v>
      </c>
      <c r="BJ57" s="76">
        <v>2015</v>
      </c>
      <c r="BK57" s="76">
        <v>2016</v>
      </c>
      <c r="BL57" s="76">
        <v>2017</v>
      </c>
      <c r="BM57" s="76">
        <v>2018</v>
      </c>
      <c r="BN57" s="76">
        <v>2019</v>
      </c>
      <c r="BO57" s="76">
        <v>2020</v>
      </c>
      <c r="BP57" s="76">
        <v>2021</v>
      </c>
      <c r="BQ57" s="76">
        <v>2022</v>
      </c>
      <c r="BR57" s="76">
        <v>2023</v>
      </c>
    </row>
    <row r="58" spans="41:70" x14ac:dyDescent="0.2">
      <c r="AO58" s="76" t="s">
        <v>0</v>
      </c>
      <c r="AP58" s="180">
        <f t="shared" ref="AP58:BG58" si="9">SUM(AP59:AP60)</f>
        <v>163.39924000000002</v>
      </c>
      <c r="AQ58" s="180">
        <f t="shared" si="9"/>
        <v>193.27748</v>
      </c>
      <c r="AR58" s="180">
        <f t="shared" si="9"/>
        <v>171.46096999999997</v>
      </c>
      <c r="AS58" s="180">
        <f t="shared" si="9"/>
        <v>136.50491999999997</v>
      </c>
      <c r="AT58" s="180">
        <f t="shared" si="9"/>
        <v>121.50028001183432</v>
      </c>
      <c r="AU58" s="180">
        <f t="shared" si="9"/>
        <v>139.20099999999999</v>
      </c>
      <c r="AV58" s="180">
        <f t="shared" si="9"/>
        <v>134.38179</v>
      </c>
      <c r="AW58" s="180">
        <f t="shared" si="9"/>
        <v>96.700999999999993</v>
      </c>
      <c r="AX58" s="180">
        <f t="shared" si="9"/>
        <v>91.965040000000002</v>
      </c>
      <c r="AY58" s="180">
        <f t="shared" si="9"/>
        <v>100.73510999999999</v>
      </c>
      <c r="AZ58" s="180">
        <f t="shared" si="9"/>
        <v>134.3424</v>
      </c>
      <c r="BA58" s="180">
        <f t="shared" si="9"/>
        <v>140.08258000000001</v>
      </c>
      <c r="BB58" s="180">
        <f t="shared" si="9"/>
        <v>151.39657</v>
      </c>
      <c r="BC58" s="180">
        <f t="shared" si="9"/>
        <v>235.905</v>
      </c>
      <c r="BD58" s="180">
        <f t="shared" si="9"/>
        <v>289.065</v>
      </c>
      <c r="BE58" s="180">
        <f t="shared" si="9"/>
        <v>253.17200000000003</v>
      </c>
      <c r="BF58" s="180">
        <f t="shared" si="9"/>
        <v>229.39060000000001</v>
      </c>
      <c r="BG58" s="180">
        <f t="shared" si="9"/>
        <v>337.36420000000004</v>
      </c>
      <c r="BH58" s="180">
        <f t="shared" ref="BH58:BN58" si="10">+BH59+BH60</f>
        <v>421.36850000000004</v>
      </c>
      <c r="BI58" s="180">
        <f t="shared" si="10"/>
        <v>401.29525350396773</v>
      </c>
      <c r="BJ58" s="180">
        <f t="shared" si="10"/>
        <v>357.44707323909194</v>
      </c>
      <c r="BK58" s="180">
        <f t="shared" si="10"/>
        <v>364.6646912758988</v>
      </c>
      <c r="BL58" s="180">
        <f t="shared" si="10"/>
        <v>292.38733360106943</v>
      </c>
      <c r="BM58" s="180">
        <f t="shared" si="10"/>
        <v>306.93921893531621</v>
      </c>
      <c r="BN58" s="180">
        <f t="shared" si="10"/>
        <v>268.81873530705138</v>
      </c>
      <c r="BO58" s="180">
        <f t="shared" ref="BO58:BP58" si="11">+BO59+BO60</f>
        <v>198.70737857115893</v>
      </c>
      <c r="BP58" s="180">
        <f t="shared" si="11"/>
        <v>401.07673759859557</v>
      </c>
      <c r="BQ58" s="180">
        <f t="shared" ref="BQ58:BR58" si="12">+BQ59+BQ60</f>
        <v>376.85397480680598</v>
      </c>
      <c r="BR58" s="180">
        <f t="shared" si="12"/>
        <v>435.33334804809652</v>
      </c>
    </row>
    <row r="59" spans="41:70" x14ac:dyDescent="0.2">
      <c r="AO59" s="76" t="s">
        <v>131</v>
      </c>
      <c r="AP59" s="180">
        <f>+'10.17.2 Inversion Privada'!C159/1000</f>
        <v>58.517000000000003</v>
      </c>
      <c r="AQ59" s="180">
        <f>+'10.17.2 Inversion Privada'!D159/1000</f>
        <v>98.169709999999995</v>
      </c>
      <c r="AR59" s="180">
        <f>+'10.17.2 Inversion Privada'!E159/1000</f>
        <v>99.528959999999998</v>
      </c>
      <c r="AS59" s="180">
        <f>+'10.17.2 Inversion Privada'!F159/1000</f>
        <v>94.407959999999989</v>
      </c>
      <c r="AT59" s="180">
        <f>+'10.17.2 Inversion Privada'!G159/1000</f>
        <v>87.425529999999995</v>
      </c>
      <c r="AU59" s="180">
        <f>+'10.17.2 Inversion Privada'!H159/1000</f>
        <v>123.11799999999999</v>
      </c>
      <c r="AV59" s="180">
        <f>+'10.17.2 Inversion Privada'!I159/1000</f>
        <v>118.71619</v>
      </c>
      <c r="AW59" s="180">
        <f>+'10.17.2 Inversion Privada'!J159/1000</f>
        <v>65.021000000000001</v>
      </c>
      <c r="AX59" s="180">
        <f>+'10.17.2 Inversion Privada'!K159/1000</f>
        <v>48.238500000000002</v>
      </c>
      <c r="AY59" s="180">
        <f>+'10.17.2 Inversion Privada'!L159/1000</f>
        <v>51.620899999999999</v>
      </c>
      <c r="AZ59" s="180">
        <f>+'10.17.2 Inversion Privada'!M159/1000</f>
        <v>70.70308</v>
      </c>
      <c r="BA59" s="180">
        <f>+'10.17.2 Inversion Privada'!N159/1000</f>
        <v>73.539000000000001</v>
      </c>
      <c r="BB59" s="180">
        <f>+'10.17.2 Inversion Privada'!O159/1000</f>
        <v>85.180669999999992</v>
      </c>
      <c r="BC59" s="180">
        <f>+'10.17.2 Inversion Privada'!P159/1000</f>
        <v>133.536</v>
      </c>
      <c r="BD59" s="180">
        <f>+'10.17.2 Inversion Privada'!Q159/1000</f>
        <v>127.93300000000001</v>
      </c>
      <c r="BE59" s="180">
        <f>+'10.17.2 Inversion Privada'!R159/1000</f>
        <v>112.675</v>
      </c>
      <c r="BF59" s="180">
        <f>+'10.17.2 Inversion Privada'!S159/1000</f>
        <v>151.01259999999999</v>
      </c>
      <c r="BG59" s="180">
        <f>+'10.17.2 Inversion Privada'!T159/1000</f>
        <v>251.02120000000002</v>
      </c>
      <c r="BH59" s="180">
        <f>+'10.17.2 Inversion Privada'!U159/1000</f>
        <v>277.2604</v>
      </c>
      <c r="BI59" s="180">
        <f>+'10.17.2 Inversion Privada'!V159/1000</f>
        <v>285.05428000000001</v>
      </c>
      <c r="BJ59" s="180">
        <f>+'10.17.2 Inversion Privada'!W159/1000</f>
        <v>278.40276954785736</v>
      </c>
      <c r="BK59" s="180">
        <f>+'10.17.2 Inversion Privada'!X159/1000</f>
        <v>264.67293591875591</v>
      </c>
      <c r="BL59" s="180">
        <f>+'10.17.2 Inversion Privada'!Y159/1000</f>
        <v>260.74247630621966</v>
      </c>
      <c r="BM59" s="180">
        <f>+'10.17.2 Inversion Privada'!Z159/1000</f>
        <v>246.4051649705215</v>
      </c>
      <c r="BN59" s="180">
        <f>+'10.17.2 Inversion Privada'!AA159/1000</f>
        <v>118.56270805092555</v>
      </c>
      <c r="BO59" s="180">
        <f>+'10.17.2 Inversion Privada'!AB159/1000</f>
        <v>118.58163699812522</v>
      </c>
      <c r="BP59" s="180">
        <f>+'10.17.2 Inversion Privada'!AC159/1000</f>
        <v>278.08956344129217</v>
      </c>
      <c r="BQ59" s="180">
        <f>+'10.17.2 Inversion Privada'!AD159/1000</f>
        <v>230.65192081624491</v>
      </c>
      <c r="BR59" s="180">
        <f>+'10.17.2 Inversion Privada'!AE159/1000</f>
        <v>268.51926532626129</v>
      </c>
    </row>
    <row r="60" spans="41:70" x14ac:dyDescent="0.2">
      <c r="AO60" s="76" t="s">
        <v>202</v>
      </c>
      <c r="AP60" s="194">
        <f>+'10.17.3 y 4 Publica y Gub.'!C39/1000</f>
        <v>104.88224000000001</v>
      </c>
      <c r="AQ60" s="194">
        <f>+'10.17.3 y 4 Publica y Gub.'!D39/1000</f>
        <v>95.107770000000002</v>
      </c>
      <c r="AR60" s="194">
        <f>+'10.17.3 y 4 Publica y Gub.'!E39/1000</f>
        <v>71.932009999999991</v>
      </c>
      <c r="AS60" s="194">
        <f>+'10.17.3 y 4 Publica y Gub.'!F39/1000</f>
        <v>42.096959999999989</v>
      </c>
      <c r="AT60" s="194">
        <f>+'10.17.3 y 4 Publica y Gub.'!G39/1000</f>
        <v>34.074750011834318</v>
      </c>
      <c r="AU60" s="194">
        <f>+'10.17.3 y 4 Publica y Gub.'!H39/1000</f>
        <v>16.082999999999998</v>
      </c>
      <c r="AV60" s="194">
        <f>+'10.17.3 y 4 Publica y Gub.'!I39/1000</f>
        <v>15.665599999999998</v>
      </c>
      <c r="AW60" s="194">
        <f>+'10.17.3 y 4 Publica y Gub.'!J39/1000</f>
        <v>31.68</v>
      </c>
      <c r="AX60" s="194">
        <f>+'10.17.3 y 4 Publica y Gub.'!K39/1000</f>
        <v>43.72654</v>
      </c>
      <c r="AY60" s="194">
        <f>+'10.17.3 y 4 Publica y Gub.'!L39/1000</f>
        <v>49.11421</v>
      </c>
      <c r="AZ60" s="194">
        <f>+'10.17.3 y 4 Publica y Gub.'!M39/1000</f>
        <v>63.639319999999998</v>
      </c>
      <c r="BA60" s="194">
        <f>+'10.17.3 y 4 Publica y Gub.'!N39/1000</f>
        <v>66.543580000000006</v>
      </c>
      <c r="BB60" s="194">
        <f>+'10.17.3 y 4 Publica y Gub.'!O39/1000</f>
        <v>66.215899999999991</v>
      </c>
      <c r="BC60" s="194">
        <f>+'10.17.3 y 4 Publica y Gub.'!P39/1000</f>
        <v>102.369</v>
      </c>
      <c r="BD60" s="194">
        <f>+'10.17.3 y 4 Publica y Gub.'!Q39/1000</f>
        <v>161.13200000000001</v>
      </c>
      <c r="BE60" s="194">
        <f>+'10.17.3 y 4 Publica y Gub.'!R39/1000</f>
        <v>140.49700000000001</v>
      </c>
      <c r="BF60" s="194">
        <f>+'10.17.3 y 4 Publica y Gub.'!S39/1000</f>
        <v>78.378</v>
      </c>
      <c r="BG60" s="194">
        <f>+'10.17.3 y 4 Publica y Gub.'!T39/1000</f>
        <v>86.343000000000004</v>
      </c>
      <c r="BH60" s="194">
        <f>+'10.17.3 y 4 Publica y Gub.'!U39/1000</f>
        <v>144.10810000000001</v>
      </c>
      <c r="BI60" s="194">
        <f>+'10.17.3 y 4 Publica y Gub.'!V39/1000</f>
        <v>116.24097350396769</v>
      </c>
      <c r="BJ60" s="194">
        <f>+'10.17.3 y 4 Publica y Gub.'!W39/1000</f>
        <v>79.044303691234575</v>
      </c>
      <c r="BK60" s="194">
        <f>+'10.17.3 y 4 Publica y Gub.'!X39/1000</f>
        <v>99.991755357142864</v>
      </c>
      <c r="BL60" s="194">
        <f>+'10.17.3 y 4 Publica y Gub.'!Y39/1000</f>
        <v>31.644857294849782</v>
      </c>
      <c r="BM60" s="194">
        <f>+'10.17.3 y 4 Publica y Gub.'!Z39/1000</f>
        <v>60.534053964794722</v>
      </c>
      <c r="BN60" s="194">
        <f>+'10.17.3 y 4 Publica y Gub.'!AA39/1000</f>
        <v>150.25602725612583</v>
      </c>
      <c r="BO60" s="194">
        <f>+'10.17.3 y 4 Publica y Gub.'!AB39/1000</f>
        <v>80.125741573033707</v>
      </c>
      <c r="BP60" s="194">
        <f>+'10.17.3 y 4 Publica y Gub.'!AC39/1000</f>
        <v>122.98717415730339</v>
      </c>
      <c r="BQ60" s="194">
        <f>+'10.17.3 y 4 Publica y Gub.'!AD39/1000</f>
        <v>146.20205399056107</v>
      </c>
      <c r="BR60" s="194">
        <f>+'10.17.3 y 4 Publica y Gub.'!AE39/1000</f>
        <v>166.81408272183523</v>
      </c>
    </row>
    <row r="68" spans="43:45" x14ac:dyDescent="0.2">
      <c r="AQ68" s="193"/>
      <c r="AR68" s="193"/>
      <c r="AS68" s="193"/>
    </row>
    <row r="69" spans="43:45" x14ac:dyDescent="0.2">
      <c r="AQ69" s="193"/>
      <c r="AR69" s="193"/>
      <c r="AS69" s="193"/>
    </row>
    <row r="70" spans="43:45" x14ac:dyDescent="0.2">
      <c r="AQ70" s="186"/>
      <c r="AR70" s="186"/>
      <c r="AS70" s="186"/>
    </row>
    <row r="71" spans="43:45" x14ac:dyDescent="0.2">
      <c r="AQ71" s="195">
        <f>+AJ13/AQ74</f>
        <v>0.1383194956738992</v>
      </c>
      <c r="AR71" s="188"/>
      <c r="AS71" s="188"/>
    </row>
    <row r="72" spans="43:45" x14ac:dyDescent="0.2">
      <c r="AQ72" s="195">
        <f>+AJ14/AQ74</f>
        <v>0.77717383530039374</v>
      </c>
      <c r="AR72" s="188"/>
      <c r="AS72" s="188"/>
    </row>
    <row r="73" spans="43:45" x14ac:dyDescent="0.2">
      <c r="AQ73" s="195">
        <f>+AJ15/AQ74</f>
        <v>8.4506669025707096E-2</v>
      </c>
      <c r="AR73" s="188"/>
      <c r="AS73" s="188"/>
    </row>
    <row r="74" spans="43:45" x14ac:dyDescent="0.2">
      <c r="AQ74" s="196">
        <f>+SUM(AJ13:AJ15)</f>
        <v>30618.121858172864</v>
      </c>
      <c r="AR74" s="188"/>
      <c r="AS74" s="188"/>
    </row>
    <row r="75" spans="43:45" x14ac:dyDescent="0.2">
      <c r="AQ75" s="188"/>
      <c r="AR75" s="188"/>
      <c r="AS75" s="188"/>
    </row>
  </sheetData>
  <mergeCells count="3">
    <mergeCell ref="A1:AJ1"/>
    <mergeCell ref="A5:A6"/>
    <mergeCell ref="A21:AJ21"/>
  </mergeCells>
  <printOptions horizontalCentered="1"/>
  <pageMargins left="0.78740157480314965" right="0.78740157480314965" top="0.59055118110236215" bottom="0.59055118110236215" header="0" footer="0"/>
  <pageSetup paperSize="8" scale="57" fitToHeight="0" orientation="landscape" r:id="rId1"/>
  <headerFooter alignWithMargins="0"/>
  <rowBreaks count="2" manualBreakCount="2">
    <brk id="76" max="28" man="1"/>
    <brk id="153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3"/>
  <sheetViews>
    <sheetView showGridLines="0" view="pageBreakPreview" zoomScale="90" zoomScaleNormal="100" zoomScaleSheetLayoutView="90" workbookViewId="0">
      <selection activeCell="Q8" sqref="Q8"/>
    </sheetView>
  </sheetViews>
  <sheetFormatPr baseColWidth="10" defaultColWidth="11.42578125" defaultRowHeight="13.5" x14ac:dyDescent="0.25"/>
  <cols>
    <col min="1" max="1" width="2.85546875" style="526" customWidth="1"/>
    <col min="2" max="2" width="21.7109375" style="526" customWidth="1"/>
    <col min="3" max="3" width="11.85546875" style="526" customWidth="1"/>
    <col min="4" max="4" width="9.140625" style="526" bestFit="1" customWidth="1"/>
    <col min="5" max="6" width="8.5703125" style="526" customWidth="1"/>
    <col min="7" max="7" width="8.42578125" style="526" customWidth="1"/>
    <col min="8" max="8" width="11.140625" style="526" customWidth="1"/>
    <col min="9" max="9" width="11.7109375" style="526" customWidth="1"/>
    <col min="10" max="11" width="9.28515625" style="526" customWidth="1"/>
    <col min="12" max="12" width="8.7109375" style="526" customWidth="1"/>
    <col min="13" max="13" width="9.28515625" style="526" customWidth="1"/>
    <col min="14" max="14" width="9.85546875" style="526" customWidth="1"/>
    <col min="15" max="15" width="8.7109375" style="526" customWidth="1"/>
    <col min="16" max="16" width="11.42578125" style="526"/>
    <col min="17" max="22" width="11.42578125" style="527"/>
    <col min="23" max="16384" width="11.42578125" style="526"/>
  </cols>
  <sheetData>
    <row r="1" spans="1:22" ht="15.75" x14ac:dyDescent="0.25">
      <c r="A1" s="436" t="s">
        <v>58</v>
      </c>
    </row>
    <row r="2" spans="1:22" ht="15" x14ac:dyDescent="0.25">
      <c r="C2" s="528"/>
      <c r="D2" s="528"/>
      <c r="E2" s="528"/>
      <c r="F2" s="528"/>
      <c r="G2" s="528"/>
      <c r="H2" s="528"/>
      <c r="I2" s="528"/>
      <c r="J2" s="529"/>
      <c r="K2" s="529"/>
      <c r="L2" s="529"/>
      <c r="M2" s="529"/>
      <c r="N2" s="529"/>
      <c r="O2" s="529"/>
    </row>
    <row r="3" spans="1:22" ht="14.25" thickBot="1" x14ac:dyDescent="0.3"/>
    <row r="4" spans="1:22" ht="15.75" customHeight="1" x14ac:dyDescent="0.25">
      <c r="B4" s="439" t="s">
        <v>18</v>
      </c>
      <c r="C4" s="440" t="s">
        <v>0</v>
      </c>
      <c r="D4" s="530" t="s">
        <v>0</v>
      </c>
      <c r="E4" s="531"/>
      <c r="F4" s="531"/>
      <c r="G4" s="531"/>
      <c r="H4" s="530" t="s">
        <v>14</v>
      </c>
      <c r="I4" s="531"/>
      <c r="J4" s="532"/>
      <c r="K4" s="532"/>
      <c r="L4" s="532"/>
      <c r="M4" s="530" t="s">
        <v>15</v>
      </c>
      <c r="N4" s="533"/>
      <c r="O4" s="534"/>
      <c r="R4" s="527" t="s">
        <v>0</v>
      </c>
      <c r="S4" s="527" t="s">
        <v>1</v>
      </c>
      <c r="T4" s="527" t="s">
        <v>2</v>
      </c>
      <c r="U4" s="527" t="s">
        <v>57</v>
      </c>
      <c r="V4" s="527" t="s">
        <v>147</v>
      </c>
    </row>
    <row r="5" spans="1:22" ht="14.25" thickBot="1" x14ac:dyDescent="0.3">
      <c r="B5" s="447"/>
      <c r="C5" s="448"/>
      <c r="D5" s="535" t="s">
        <v>4</v>
      </c>
      <c r="E5" s="536" t="s">
        <v>5</v>
      </c>
      <c r="F5" s="536" t="s">
        <v>57</v>
      </c>
      <c r="G5" s="536" t="s">
        <v>6</v>
      </c>
      <c r="H5" s="537" t="s">
        <v>0</v>
      </c>
      <c r="I5" s="536" t="s">
        <v>4</v>
      </c>
      <c r="J5" s="536" t="s">
        <v>5</v>
      </c>
      <c r="K5" s="536" t="s">
        <v>57</v>
      </c>
      <c r="L5" s="536" t="s">
        <v>6</v>
      </c>
      <c r="M5" s="537" t="s">
        <v>0</v>
      </c>
      <c r="N5" s="538" t="s">
        <v>4</v>
      </c>
      <c r="O5" s="539" t="s">
        <v>5</v>
      </c>
      <c r="Q5" s="527">
        <v>1995</v>
      </c>
      <c r="R5" s="540">
        <f t="shared" ref="R5:T20" si="0">C7</f>
        <v>4075.4080000000004</v>
      </c>
      <c r="S5" s="540">
        <f t="shared" si="0"/>
        <v>2474.8850000000002</v>
      </c>
      <c r="T5" s="540">
        <f t="shared" si="0"/>
        <v>1600.5229999999999</v>
      </c>
    </row>
    <row r="6" spans="1:22" x14ac:dyDescent="0.25">
      <c r="B6" s="541"/>
      <c r="C6" s="542"/>
      <c r="D6" s="543"/>
      <c r="E6" s="544"/>
      <c r="F6" s="544"/>
      <c r="G6" s="545"/>
      <c r="H6" s="546"/>
      <c r="I6" s="544"/>
      <c r="J6" s="544"/>
      <c r="K6" s="544"/>
      <c r="L6" s="545"/>
      <c r="M6" s="543"/>
      <c r="N6" s="547"/>
      <c r="O6" s="548"/>
      <c r="Q6" s="527">
        <v>1996</v>
      </c>
      <c r="R6" s="540">
        <f t="shared" si="0"/>
        <v>4003.201</v>
      </c>
      <c r="S6" s="540">
        <f t="shared" si="0"/>
        <v>2201.877</v>
      </c>
      <c r="T6" s="540">
        <f t="shared" si="0"/>
        <v>1801.0740000000001</v>
      </c>
    </row>
    <row r="7" spans="1:22" x14ac:dyDescent="0.25">
      <c r="B7" s="549">
        <v>1995</v>
      </c>
      <c r="C7" s="550">
        <f t="shared" ref="C7:C22" si="1">SUM(D7:G7)</f>
        <v>4075.4080000000004</v>
      </c>
      <c r="D7" s="473">
        <f t="shared" ref="D7:E22" si="2">SUM(I7,N7)</f>
        <v>2474.8850000000002</v>
      </c>
      <c r="E7" s="473">
        <f t="shared" si="2"/>
        <v>1600.5229999999999</v>
      </c>
      <c r="F7" s="473"/>
      <c r="G7" s="473"/>
      <c r="H7" s="473">
        <f t="shared" ref="H7:H21" si="3">SUM(I7:L7)</f>
        <v>3195.3919999999998</v>
      </c>
      <c r="I7" s="473">
        <v>2205.915</v>
      </c>
      <c r="J7" s="473">
        <v>989.47699999999998</v>
      </c>
      <c r="K7" s="473"/>
      <c r="L7" s="473"/>
      <c r="M7" s="473">
        <f t="shared" ref="M7:M22" si="4">SUM(N7:O7)</f>
        <v>880.01599999999996</v>
      </c>
      <c r="N7" s="473">
        <v>268.97000000000003</v>
      </c>
      <c r="O7" s="551">
        <v>611.04599999999994</v>
      </c>
      <c r="Q7" s="527">
        <v>1997</v>
      </c>
      <c r="R7" s="540">
        <f t="shared" si="0"/>
        <v>4581.0190000000002</v>
      </c>
      <c r="S7" s="540">
        <f t="shared" si="0"/>
        <v>2210.904</v>
      </c>
      <c r="T7" s="540">
        <f t="shared" si="0"/>
        <v>2369.8649999999998</v>
      </c>
    </row>
    <row r="8" spans="1:22" x14ac:dyDescent="0.25">
      <c r="B8" s="552">
        <v>1996</v>
      </c>
      <c r="C8" s="553">
        <f t="shared" si="1"/>
        <v>4003.201</v>
      </c>
      <c r="D8" s="480">
        <f t="shared" si="2"/>
        <v>2201.877</v>
      </c>
      <c r="E8" s="480">
        <f t="shared" si="2"/>
        <v>1801.0740000000001</v>
      </c>
      <c r="F8" s="480"/>
      <c r="G8" s="480">
        <v>0.25</v>
      </c>
      <c r="H8" s="480">
        <f t="shared" si="3"/>
        <v>2879.5010000000002</v>
      </c>
      <c r="I8" s="480">
        <v>1924.8510000000001</v>
      </c>
      <c r="J8" s="480">
        <v>954.4</v>
      </c>
      <c r="K8" s="480"/>
      <c r="L8" s="480">
        <v>0.25</v>
      </c>
      <c r="M8" s="480">
        <f t="shared" si="4"/>
        <v>1123.7</v>
      </c>
      <c r="N8" s="480">
        <v>277.02600000000001</v>
      </c>
      <c r="O8" s="554">
        <v>846.67400000000009</v>
      </c>
      <c r="Q8" s="527">
        <v>1998</v>
      </c>
      <c r="R8" s="540">
        <f t="shared" si="0"/>
        <v>4781.6309999999994</v>
      </c>
      <c r="S8" s="540">
        <f t="shared" si="0"/>
        <v>2116.8689999999997</v>
      </c>
      <c r="T8" s="540">
        <f t="shared" si="0"/>
        <v>2664.5119999999997</v>
      </c>
    </row>
    <row r="9" spans="1:22" x14ac:dyDescent="0.25">
      <c r="B9" s="549">
        <v>1997</v>
      </c>
      <c r="C9" s="550">
        <f t="shared" si="1"/>
        <v>4581.0190000000002</v>
      </c>
      <c r="D9" s="475">
        <f t="shared" si="2"/>
        <v>2210.904</v>
      </c>
      <c r="E9" s="475">
        <f t="shared" si="2"/>
        <v>2369.8649999999998</v>
      </c>
      <c r="F9" s="475"/>
      <c r="G9" s="475">
        <v>0.25</v>
      </c>
      <c r="H9" s="475">
        <f t="shared" si="3"/>
        <v>3826.8329999999996</v>
      </c>
      <c r="I9" s="475">
        <v>2120.1709999999998</v>
      </c>
      <c r="J9" s="475">
        <v>1706.4119999999998</v>
      </c>
      <c r="K9" s="475"/>
      <c r="L9" s="475">
        <v>0.25</v>
      </c>
      <c r="M9" s="475">
        <f t="shared" si="4"/>
        <v>754.18599999999992</v>
      </c>
      <c r="N9" s="475">
        <v>90.733000000000004</v>
      </c>
      <c r="O9" s="551">
        <v>663.45299999999997</v>
      </c>
      <c r="Q9" s="527">
        <v>1999</v>
      </c>
      <c r="R9" s="540">
        <f t="shared" si="0"/>
        <v>5116.1559999999999</v>
      </c>
      <c r="S9" s="540">
        <f t="shared" si="0"/>
        <v>2318.1080000000002</v>
      </c>
      <c r="T9" s="540">
        <f t="shared" si="0"/>
        <v>2797.348</v>
      </c>
    </row>
    <row r="10" spans="1:22" x14ac:dyDescent="0.25">
      <c r="B10" s="552">
        <v>1998</v>
      </c>
      <c r="C10" s="553">
        <f t="shared" si="1"/>
        <v>4781.6309999999994</v>
      </c>
      <c r="D10" s="480">
        <f t="shared" si="2"/>
        <v>2116.8689999999997</v>
      </c>
      <c r="E10" s="480">
        <f t="shared" si="2"/>
        <v>2664.5119999999997</v>
      </c>
      <c r="F10" s="480"/>
      <c r="G10" s="480">
        <v>0.25</v>
      </c>
      <c r="H10" s="480">
        <f t="shared" si="3"/>
        <v>4020.8509999999997</v>
      </c>
      <c r="I10" s="480">
        <v>2022.9019999999998</v>
      </c>
      <c r="J10" s="480">
        <v>1997.6489999999999</v>
      </c>
      <c r="K10" s="480"/>
      <c r="L10" s="480">
        <v>0.3</v>
      </c>
      <c r="M10" s="480">
        <f t="shared" si="4"/>
        <v>760.82999999999993</v>
      </c>
      <c r="N10" s="480">
        <v>93.967000000000013</v>
      </c>
      <c r="O10" s="554">
        <v>666.86299999999994</v>
      </c>
      <c r="Q10" s="527">
        <v>2000</v>
      </c>
      <c r="R10" s="540">
        <f t="shared" si="0"/>
        <v>5554.8460000000005</v>
      </c>
      <c r="S10" s="540">
        <f t="shared" si="0"/>
        <v>2650.8950000000004</v>
      </c>
      <c r="T10" s="540">
        <f t="shared" si="0"/>
        <v>2903.2510000000002</v>
      </c>
    </row>
    <row r="11" spans="1:22" x14ac:dyDescent="0.25">
      <c r="B11" s="549">
        <v>1999</v>
      </c>
      <c r="C11" s="550">
        <f t="shared" si="1"/>
        <v>5116.1559999999999</v>
      </c>
      <c r="D11" s="475">
        <f t="shared" si="2"/>
        <v>2318.1080000000002</v>
      </c>
      <c r="E11" s="475">
        <f t="shared" si="2"/>
        <v>2797.348</v>
      </c>
      <c r="F11" s="475"/>
      <c r="G11" s="475">
        <v>0.7</v>
      </c>
      <c r="H11" s="475">
        <f t="shared" si="3"/>
        <v>4317.9289999999992</v>
      </c>
      <c r="I11" s="475">
        <v>2242.625</v>
      </c>
      <c r="J11" s="475">
        <v>2074.6039999999998</v>
      </c>
      <c r="K11" s="475"/>
      <c r="L11" s="475">
        <v>0.7</v>
      </c>
      <c r="M11" s="475">
        <f t="shared" si="4"/>
        <v>798.22699999999998</v>
      </c>
      <c r="N11" s="475">
        <v>75.48299999999999</v>
      </c>
      <c r="O11" s="551">
        <v>722.74400000000003</v>
      </c>
      <c r="Q11" s="527">
        <v>2001</v>
      </c>
      <c r="R11" s="540">
        <f t="shared" si="0"/>
        <v>5387.1769999999997</v>
      </c>
      <c r="S11" s="540">
        <f t="shared" si="0"/>
        <v>2744.5029999999997</v>
      </c>
      <c r="T11" s="540">
        <f t="shared" si="0"/>
        <v>2641.9740000000002</v>
      </c>
    </row>
    <row r="12" spans="1:22" x14ac:dyDescent="0.25">
      <c r="B12" s="552">
        <v>2000</v>
      </c>
      <c r="C12" s="553">
        <f t="shared" si="1"/>
        <v>5554.8460000000005</v>
      </c>
      <c r="D12" s="480">
        <f t="shared" si="2"/>
        <v>2650.8950000000004</v>
      </c>
      <c r="E12" s="480">
        <f t="shared" si="2"/>
        <v>2903.2510000000002</v>
      </c>
      <c r="F12" s="480"/>
      <c r="G12" s="480">
        <f>L12</f>
        <v>0.7</v>
      </c>
      <c r="H12" s="480">
        <f t="shared" si="3"/>
        <v>4775.9350000000004</v>
      </c>
      <c r="I12" s="480">
        <v>2575.9240000000004</v>
      </c>
      <c r="J12" s="480">
        <v>2199.3110000000001</v>
      </c>
      <c r="K12" s="480"/>
      <c r="L12" s="480">
        <v>0.7</v>
      </c>
      <c r="M12" s="480">
        <f t="shared" si="4"/>
        <v>778.91100000000006</v>
      </c>
      <c r="N12" s="480">
        <v>74.971000000000004</v>
      </c>
      <c r="O12" s="554">
        <v>703.94</v>
      </c>
      <c r="Q12" s="555">
        <v>2002</v>
      </c>
      <c r="R12" s="540">
        <f t="shared" si="0"/>
        <v>5395.6689999999999</v>
      </c>
      <c r="S12" s="540">
        <f t="shared" si="0"/>
        <v>2775.2819999999997</v>
      </c>
      <c r="T12" s="540">
        <f t="shared" si="0"/>
        <v>2619.6870000000004</v>
      </c>
    </row>
    <row r="13" spans="1:22" x14ac:dyDescent="0.25">
      <c r="B13" s="549" t="s">
        <v>183</v>
      </c>
      <c r="C13" s="550">
        <f t="shared" si="1"/>
        <v>5387.1769999999997</v>
      </c>
      <c r="D13" s="475">
        <f t="shared" si="2"/>
        <v>2744.5029999999997</v>
      </c>
      <c r="E13" s="475">
        <f t="shared" si="2"/>
        <v>2641.9740000000002</v>
      </c>
      <c r="F13" s="475"/>
      <c r="G13" s="475">
        <v>0.7</v>
      </c>
      <c r="H13" s="475">
        <f t="shared" si="3"/>
        <v>4642.0639999999994</v>
      </c>
      <c r="I13" s="475">
        <v>2674.8349999999996</v>
      </c>
      <c r="J13" s="475">
        <v>1966.529</v>
      </c>
      <c r="K13" s="475"/>
      <c r="L13" s="475">
        <v>0.7</v>
      </c>
      <c r="M13" s="475">
        <f t="shared" si="4"/>
        <v>745.11300000000017</v>
      </c>
      <c r="N13" s="475">
        <v>69.667999999999992</v>
      </c>
      <c r="O13" s="551">
        <v>675.44500000000016</v>
      </c>
      <c r="Q13" s="527">
        <v>2003</v>
      </c>
      <c r="R13" s="540">
        <f t="shared" si="0"/>
        <v>5421.8069999999998</v>
      </c>
      <c r="S13" s="540">
        <f t="shared" si="0"/>
        <v>2790.2730000000001</v>
      </c>
      <c r="T13" s="540">
        <f t="shared" si="0"/>
        <v>2630.8340000000003</v>
      </c>
    </row>
    <row r="14" spans="1:22" x14ac:dyDescent="0.25">
      <c r="B14" s="552">
        <v>2002</v>
      </c>
      <c r="C14" s="553">
        <f t="shared" si="1"/>
        <v>5395.6689999999999</v>
      </c>
      <c r="D14" s="473">
        <f t="shared" si="2"/>
        <v>2775.2819999999997</v>
      </c>
      <c r="E14" s="473">
        <f t="shared" si="2"/>
        <v>2619.6870000000004</v>
      </c>
      <c r="F14" s="473"/>
      <c r="G14" s="473">
        <f t="shared" ref="G14:G25" si="5">SUM(L14)</f>
        <v>0.7</v>
      </c>
      <c r="H14" s="473">
        <f t="shared" si="3"/>
        <v>4657.8269999999993</v>
      </c>
      <c r="I14" s="473">
        <v>2702.8629999999998</v>
      </c>
      <c r="J14" s="473">
        <v>1954.2639999999999</v>
      </c>
      <c r="K14" s="473"/>
      <c r="L14" s="473">
        <v>0.7</v>
      </c>
      <c r="M14" s="473">
        <f t="shared" si="4"/>
        <v>737.84200000000055</v>
      </c>
      <c r="N14" s="473">
        <v>72.418999999999997</v>
      </c>
      <c r="O14" s="551">
        <v>665.42300000000057</v>
      </c>
      <c r="Q14" s="527">
        <v>2004</v>
      </c>
      <c r="R14" s="540">
        <f t="shared" si="0"/>
        <v>5417.9590700000017</v>
      </c>
      <c r="S14" s="540">
        <f t="shared" si="0"/>
        <v>2815.0040700000009</v>
      </c>
      <c r="T14" s="540">
        <f t="shared" si="0"/>
        <v>2602.2550000000006</v>
      </c>
    </row>
    <row r="15" spans="1:22" x14ac:dyDescent="0.25">
      <c r="B15" s="549">
        <v>2003</v>
      </c>
      <c r="C15" s="550">
        <f t="shared" si="1"/>
        <v>5421.8069999999998</v>
      </c>
      <c r="D15" s="473">
        <f t="shared" si="2"/>
        <v>2790.2730000000001</v>
      </c>
      <c r="E15" s="473">
        <f t="shared" si="2"/>
        <v>2630.8340000000003</v>
      </c>
      <c r="F15" s="473"/>
      <c r="G15" s="473">
        <f t="shared" si="5"/>
        <v>0.7</v>
      </c>
      <c r="H15" s="473">
        <f t="shared" si="3"/>
        <v>4686.3940000000002</v>
      </c>
      <c r="I15" s="473">
        <v>2720.2290000000003</v>
      </c>
      <c r="J15" s="473">
        <v>1965.4649999999999</v>
      </c>
      <c r="K15" s="473"/>
      <c r="L15" s="473">
        <v>0.7</v>
      </c>
      <c r="M15" s="473">
        <f t="shared" si="4"/>
        <v>735.41300000000035</v>
      </c>
      <c r="N15" s="473">
        <v>70.043999999999983</v>
      </c>
      <c r="O15" s="551">
        <v>665.36900000000037</v>
      </c>
      <c r="Q15" s="527">
        <v>2005</v>
      </c>
      <c r="R15" s="540">
        <f t="shared" si="0"/>
        <v>5610.9250000000002</v>
      </c>
      <c r="S15" s="540">
        <f t="shared" si="0"/>
        <v>2989.203</v>
      </c>
      <c r="T15" s="540">
        <f t="shared" si="0"/>
        <v>2621.0219999999999</v>
      </c>
    </row>
    <row r="16" spans="1:22" x14ac:dyDescent="0.25">
      <c r="B16" s="552">
        <v>2004</v>
      </c>
      <c r="C16" s="553">
        <f t="shared" si="1"/>
        <v>5417.9590700000017</v>
      </c>
      <c r="D16" s="480">
        <f t="shared" si="2"/>
        <v>2815.0040700000009</v>
      </c>
      <c r="E16" s="480">
        <f t="shared" si="2"/>
        <v>2602.2550000000006</v>
      </c>
      <c r="F16" s="480"/>
      <c r="G16" s="480">
        <f t="shared" si="5"/>
        <v>0.7</v>
      </c>
      <c r="H16" s="480">
        <f t="shared" si="3"/>
        <v>4657.3150700000006</v>
      </c>
      <c r="I16" s="480">
        <v>2747.2720700000009</v>
      </c>
      <c r="J16" s="480">
        <v>1909.3430000000001</v>
      </c>
      <c r="K16" s="480"/>
      <c r="L16" s="480">
        <v>0.7</v>
      </c>
      <c r="M16" s="480">
        <f t="shared" si="4"/>
        <v>760.64400000000035</v>
      </c>
      <c r="N16" s="480">
        <v>67.731999999999999</v>
      </c>
      <c r="O16" s="554">
        <v>692.91200000000038</v>
      </c>
      <c r="Q16" s="527">
        <v>2006</v>
      </c>
      <c r="R16" s="540">
        <f t="shared" si="0"/>
        <v>5873.4000000000005</v>
      </c>
      <c r="S16" s="540">
        <f t="shared" si="0"/>
        <v>2995.9740000000002</v>
      </c>
      <c r="T16" s="540">
        <f t="shared" si="0"/>
        <v>2876.7260000000006</v>
      </c>
    </row>
    <row r="17" spans="2:22" x14ac:dyDescent="0.25">
      <c r="B17" s="549">
        <v>2005</v>
      </c>
      <c r="C17" s="550">
        <f t="shared" si="1"/>
        <v>5610.9250000000002</v>
      </c>
      <c r="D17" s="475">
        <f t="shared" si="2"/>
        <v>2989.203</v>
      </c>
      <c r="E17" s="475">
        <f t="shared" si="2"/>
        <v>2621.0219999999999</v>
      </c>
      <c r="F17" s="475"/>
      <c r="G17" s="475">
        <f t="shared" si="5"/>
        <v>0.7</v>
      </c>
      <c r="H17" s="475">
        <f t="shared" si="3"/>
        <v>4798.6629999999996</v>
      </c>
      <c r="I17" s="475">
        <v>2918.7730000000001</v>
      </c>
      <c r="J17" s="475">
        <v>1879.1899999999998</v>
      </c>
      <c r="K17" s="475"/>
      <c r="L17" s="475">
        <v>0.7</v>
      </c>
      <c r="M17" s="475">
        <f t="shared" si="4"/>
        <v>812.2620000000004</v>
      </c>
      <c r="N17" s="475">
        <v>70.430000000000007</v>
      </c>
      <c r="O17" s="551">
        <v>741.83200000000033</v>
      </c>
      <c r="Q17" s="555">
        <v>2007</v>
      </c>
      <c r="R17" s="540">
        <f t="shared" si="0"/>
        <v>6352.0139999999983</v>
      </c>
      <c r="S17" s="540">
        <f t="shared" si="0"/>
        <v>3013.297999999998</v>
      </c>
      <c r="T17" s="540">
        <f t="shared" si="0"/>
        <v>3338.0160000000005</v>
      </c>
    </row>
    <row r="18" spans="2:22" x14ac:dyDescent="0.25">
      <c r="B18" s="552">
        <v>2006</v>
      </c>
      <c r="C18" s="553">
        <f t="shared" si="1"/>
        <v>5873.4000000000005</v>
      </c>
      <c r="D18" s="480">
        <f t="shared" si="2"/>
        <v>2995.9740000000002</v>
      </c>
      <c r="E18" s="480">
        <f t="shared" si="2"/>
        <v>2876.7260000000006</v>
      </c>
      <c r="F18" s="480"/>
      <c r="G18" s="480">
        <f t="shared" si="5"/>
        <v>0.7</v>
      </c>
      <c r="H18" s="480">
        <f t="shared" si="3"/>
        <v>5064.3620000000001</v>
      </c>
      <c r="I18" s="480">
        <v>2926.6179999999999</v>
      </c>
      <c r="J18" s="480">
        <v>2137.0440000000003</v>
      </c>
      <c r="K18" s="480"/>
      <c r="L18" s="480">
        <v>0.7</v>
      </c>
      <c r="M18" s="480">
        <f t="shared" si="4"/>
        <v>809.03800000000001</v>
      </c>
      <c r="N18" s="480">
        <v>69.355999999999995</v>
      </c>
      <c r="O18" s="554">
        <v>739.68200000000002</v>
      </c>
      <c r="Q18" s="527">
        <v>2008</v>
      </c>
      <c r="R18" s="540">
        <f t="shared" si="0"/>
        <v>6348.9440000000004</v>
      </c>
      <c r="S18" s="540">
        <f t="shared" si="0"/>
        <v>3027.9020000000005</v>
      </c>
      <c r="T18" s="540">
        <f t="shared" si="0"/>
        <v>3320.3419999999996</v>
      </c>
    </row>
    <row r="19" spans="2:22" x14ac:dyDescent="0.25">
      <c r="B19" s="549">
        <v>2007</v>
      </c>
      <c r="C19" s="550">
        <f t="shared" si="1"/>
        <v>6352.0139999999983</v>
      </c>
      <c r="D19" s="475">
        <f t="shared" si="2"/>
        <v>3013.297999999998</v>
      </c>
      <c r="E19" s="475">
        <f t="shared" si="2"/>
        <v>3338.0160000000005</v>
      </c>
      <c r="F19" s="475"/>
      <c r="G19" s="475">
        <f t="shared" si="5"/>
        <v>0.7</v>
      </c>
      <c r="H19" s="475">
        <f t="shared" si="3"/>
        <v>5532.8549999999987</v>
      </c>
      <c r="I19" s="475">
        <v>2939.5869999999982</v>
      </c>
      <c r="J19" s="475">
        <v>2592.5680000000007</v>
      </c>
      <c r="K19" s="475"/>
      <c r="L19" s="475">
        <v>0.7</v>
      </c>
      <c r="M19" s="475">
        <f t="shared" si="4"/>
        <v>819.15900000000011</v>
      </c>
      <c r="N19" s="475">
        <v>73.710999999999984</v>
      </c>
      <c r="O19" s="551">
        <v>745.44800000000009</v>
      </c>
      <c r="Q19" s="527">
        <v>2009</v>
      </c>
      <c r="R19" s="540">
        <f t="shared" si="0"/>
        <v>7256.3469999999998</v>
      </c>
      <c r="S19" s="540">
        <f t="shared" si="0"/>
        <v>3115.768</v>
      </c>
      <c r="T19" s="540">
        <f t="shared" si="0"/>
        <v>4139.8789999999999</v>
      </c>
    </row>
    <row r="20" spans="2:22" x14ac:dyDescent="0.25">
      <c r="B20" s="552">
        <v>2008</v>
      </c>
      <c r="C20" s="553">
        <f t="shared" si="1"/>
        <v>6348.9440000000004</v>
      </c>
      <c r="D20" s="480">
        <f t="shared" si="2"/>
        <v>3027.9020000000005</v>
      </c>
      <c r="E20" s="480">
        <f t="shared" si="2"/>
        <v>3320.3419999999996</v>
      </c>
      <c r="F20" s="480"/>
      <c r="G20" s="480">
        <f t="shared" si="5"/>
        <v>0.7</v>
      </c>
      <c r="H20" s="480">
        <f t="shared" si="3"/>
        <v>5444.2159999999994</v>
      </c>
      <c r="I20" s="480">
        <v>2953.1210000000005</v>
      </c>
      <c r="J20" s="480">
        <v>2490.3949999999995</v>
      </c>
      <c r="K20" s="480"/>
      <c r="L20" s="480">
        <v>0.7</v>
      </c>
      <c r="M20" s="480">
        <f t="shared" si="4"/>
        <v>904.72799999999995</v>
      </c>
      <c r="N20" s="480">
        <v>74.780999999999977</v>
      </c>
      <c r="O20" s="554">
        <v>829.947</v>
      </c>
      <c r="Q20" s="527">
        <v>2010</v>
      </c>
      <c r="R20" s="540">
        <f t="shared" si="0"/>
        <v>8000.3869999999997</v>
      </c>
      <c r="S20" s="540">
        <f t="shared" si="0"/>
        <v>3317.4450000000006</v>
      </c>
      <c r="T20" s="540">
        <f t="shared" si="0"/>
        <v>4682.2419999999993</v>
      </c>
    </row>
    <row r="21" spans="2:22" x14ac:dyDescent="0.25">
      <c r="B21" s="549">
        <v>2009</v>
      </c>
      <c r="C21" s="550">
        <f t="shared" si="1"/>
        <v>7256.3469999999998</v>
      </c>
      <c r="D21" s="475">
        <f t="shared" si="2"/>
        <v>3115.768</v>
      </c>
      <c r="E21" s="475">
        <f t="shared" si="2"/>
        <v>4139.8789999999999</v>
      </c>
      <c r="F21" s="475"/>
      <c r="G21" s="475">
        <f t="shared" si="5"/>
        <v>0.7</v>
      </c>
      <c r="H21" s="475">
        <f t="shared" si="3"/>
        <v>6246.4090000000006</v>
      </c>
      <c r="I21" s="475">
        <v>3037.1620000000003</v>
      </c>
      <c r="J21" s="475">
        <v>3208.547</v>
      </c>
      <c r="K21" s="475"/>
      <c r="L21" s="475">
        <v>0.7</v>
      </c>
      <c r="M21" s="475">
        <f t="shared" si="4"/>
        <v>1009.9380000000001</v>
      </c>
      <c r="N21" s="475">
        <v>78.605999999999995</v>
      </c>
      <c r="O21" s="551">
        <v>931.33200000000011</v>
      </c>
      <c r="Q21" s="527">
        <v>2011</v>
      </c>
      <c r="R21" s="540">
        <f t="shared" ref="R21:T23" si="6">C23</f>
        <v>8045.5200000000023</v>
      </c>
      <c r="S21" s="540">
        <f t="shared" si="6"/>
        <v>3328.6140000000014</v>
      </c>
      <c r="T21" s="540">
        <f t="shared" si="6"/>
        <v>4716.206000000001</v>
      </c>
    </row>
    <row r="22" spans="2:22" x14ac:dyDescent="0.25">
      <c r="B22" s="552">
        <v>2010</v>
      </c>
      <c r="C22" s="553">
        <f t="shared" si="1"/>
        <v>8000.3869999999997</v>
      </c>
      <c r="D22" s="480">
        <f t="shared" si="2"/>
        <v>3317.4450000000006</v>
      </c>
      <c r="E22" s="480">
        <f t="shared" si="2"/>
        <v>4682.2419999999993</v>
      </c>
      <c r="F22" s="480"/>
      <c r="G22" s="480">
        <f t="shared" si="5"/>
        <v>0.7</v>
      </c>
      <c r="H22" s="480">
        <f t="shared" ref="H22:H27" si="7">SUM(I22:L22)</f>
        <v>6875.0379999999996</v>
      </c>
      <c r="I22" s="480">
        <v>3237.3610000000008</v>
      </c>
      <c r="J22" s="480">
        <v>3636.976999999999</v>
      </c>
      <c r="K22" s="480"/>
      <c r="L22" s="480">
        <v>0.7</v>
      </c>
      <c r="M22" s="480">
        <f t="shared" si="4"/>
        <v>1125.3490000000004</v>
      </c>
      <c r="N22" s="480">
        <v>80.083999999999961</v>
      </c>
      <c r="O22" s="554">
        <v>1045.2650000000003</v>
      </c>
      <c r="Q22" s="527">
        <v>2012</v>
      </c>
      <c r="R22" s="540">
        <f t="shared" si="6"/>
        <v>8939.2570000000051</v>
      </c>
      <c r="S22" s="540">
        <f t="shared" si="6"/>
        <v>3360.1360000000004</v>
      </c>
      <c r="T22" s="540">
        <f t="shared" si="6"/>
        <v>5498.421000000003</v>
      </c>
      <c r="U22" s="556">
        <f t="shared" ref="U22:U27" si="8">F24</f>
        <v>80</v>
      </c>
      <c r="V22" s="556"/>
    </row>
    <row r="23" spans="2:22" x14ac:dyDescent="0.25">
      <c r="B23" s="549">
        <v>2011</v>
      </c>
      <c r="C23" s="550">
        <f t="shared" ref="C23:C28" si="9">SUM(D23:G23)</f>
        <v>8045.5200000000023</v>
      </c>
      <c r="D23" s="473">
        <f t="shared" ref="D23:E26" si="10">SUM(I23,N23)</f>
        <v>3328.6140000000014</v>
      </c>
      <c r="E23" s="473">
        <f t="shared" si="10"/>
        <v>4716.206000000001</v>
      </c>
      <c r="F23" s="473"/>
      <c r="G23" s="473">
        <f t="shared" si="5"/>
        <v>0.7</v>
      </c>
      <c r="H23" s="473">
        <f t="shared" si="7"/>
        <v>6867.8210000000026</v>
      </c>
      <c r="I23" s="473">
        <v>3246.6250000000014</v>
      </c>
      <c r="J23" s="473">
        <v>3620.496000000001</v>
      </c>
      <c r="K23" s="473"/>
      <c r="L23" s="473">
        <v>0.7</v>
      </c>
      <c r="M23" s="473">
        <f t="shared" ref="M23:M29" si="11">SUM(N23:O23)</f>
        <v>1177.6990000000001</v>
      </c>
      <c r="N23" s="473">
        <v>81.98899999999999</v>
      </c>
      <c r="O23" s="551">
        <v>1095.71</v>
      </c>
      <c r="Q23" s="527">
        <v>2013</v>
      </c>
      <c r="R23" s="540">
        <f t="shared" si="6"/>
        <v>9885.2720000000027</v>
      </c>
      <c r="S23" s="540">
        <f t="shared" si="6"/>
        <v>3414.407999999999</v>
      </c>
      <c r="T23" s="540">
        <f t="shared" si="6"/>
        <v>6390.1640000000025</v>
      </c>
      <c r="U23" s="556">
        <f t="shared" si="8"/>
        <v>80</v>
      </c>
      <c r="V23" s="556"/>
    </row>
    <row r="24" spans="2:22" x14ac:dyDescent="0.25">
      <c r="B24" s="557">
        <v>2012</v>
      </c>
      <c r="C24" s="558">
        <f t="shared" si="9"/>
        <v>8939.2570000000051</v>
      </c>
      <c r="D24" s="480">
        <f t="shared" si="10"/>
        <v>3360.1360000000004</v>
      </c>
      <c r="E24" s="480">
        <f t="shared" si="10"/>
        <v>5498.421000000003</v>
      </c>
      <c r="F24" s="480">
        <f t="shared" ref="F24:F29" si="12">SUM(K24)</f>
        <v>80</v>
      </c>
      <c r="G24" s="480">
        <f t="shared" si="5"/>
        <v>0.7</v>
      </c>
      <c r="H24" s="480">
        <f t="shared" si="7"/>
        <v>7754.9050000000025</v>
      </c>
      <c r="I24" s="480">
        <v>3270.5970000000007</v>
      </c>
      <c r="J24" s="480">
        <v>4403.608000000002</v>
      </c>
      <c r="K24" s="480">
        <v>80</v>
      </c>
      <c r="L24" s="480">
        <v>0.7</v>
      </c>
      <c r="M24" s="480">
        <f t="shared" si="11"/>
        <v>1184.352000000001</v>
      </c>
      <c r="N24" s="480">
        <v>89.538999999999987</v>
      </c>
      <c r="O24" s="554">
        <v>1094.813000000001</v>
      </c>
      <c r="Q24" s="527">
        <v>2014</v>
      </c>
      <c r="R24" s="540">
        <f t="shared" ref="R24:T25" si="13">C26</f>
        <v>10269.342000000006</v>
      </c>
      <c r="S24" s="540">
        <f t="shared" si="13"/>
        <v>3527.2880000000005</v>
      </c>
      <c r="T24" s="540">
        <f t="shared" si="13"/>
        <v>6503.3540000000048</v>
      </c>
      <c r="U24" s="556">
        <f t="shared" si="8"/>
        <v>96</v>
      </c>
      <c r="V24" s="556">
        <f>G26</f>
        <v>142.69999999999999</v>
      </c>
    </row>
    <row r="25" spans="2:22" x14ac:dyDescent="0.25">
      <c r="B25" s="559">
        <v>2013</v>
      </c>
      <c r="C25" s="560">
        <f t="shared" si="9"/>
        <v>9885.2720000000027</v>
      </c>
      <c r="D25" s="475">
        <f t="shared" si="10"/>
        <v>3414.407999999999</v>
      </c>
      <c r="E25" s="475">
        <f t="shared" si="10"/>
        <v>6390.1640000000025</v>
      </c>
      <c r="F25" s="475">
        <f t="shared" si="12"/>
        <v>80</v>
      </c>
      <c r="G25" s="475">
        <f t="shared" si="5"/>
        <v>0.7</v>
      </c>
      <c r="H25" s="475">
        <f t="shared" si="7"/>
        <v>8680.4210000000021</v>
      </c>
      <c r="I25" s="475">
        <v>3337.0359999999991</v>
      </c>
      <c r="J25" s="475">
        <v>5262.6850000000031</v>
      </c>
      <c r="K25" s="475">
        <v>80</v>
      </c>
      <c r="L25" s="475">
        <v>0.7</v>
      </c>
      <c r="M25" s="475">
        <f t="shared" si="11"/>
        <v>1204.8509999999999</v>
      </c>
      <c r="N25" s="475">
        <v>77.371999999999971</v>
      </c>
      <c r="O25" s="551">
        <v>1127.4789999999998</v>
      </c>
      <c r="Q25" s="527">
        <v>2015</v>
      </c>
      <c r="R25" s="540">
        <f t="shared" si="13"/>
        <v>11230.440000000006</v>
      </c>
      <c r="S25" s="540">
        <f t="shared" si="13"/>
        <v>4019.8179999999998</v>
      </c>
      <c r="T25" s="540">
        <f t="shared" si="13"/>
        <v>6874.8220000000065</v>
      </c>
      <c r="U25" s="556">
        <f t="shared" si="8"/>
        <v>96</v>
      </c>
      <c r="V25" s="556">
        <f>G27</f>
        <v>239.79999999999998</v>
      </c>
    </row>
    <row r="26" spans="2:22" x14ac:dyDescent="0.25">
      <c r="B26" s="557">
        <v>2014</v>
      </c>
      <c r="C26" s="558">
        <f t="shared" si="9"/>
        <v>10269.342000000006</v>
      </c>
      <c r="D26" s="480">
        <f t="shared" si="10"/>
        <v>3527.2880000000005</v>
      </c>
      <c r="E26" s="480">
        <f t="shared" si="10"/>
        <v>6503.3540000000048</v>
      </c>
      <c r="F26" s="480">
        <f t="shared" si="12"/>
        <v>96</v>
      </c>
      <c r="G26" s="480">
        <f>SUM(L26)</f>
        <v>142.69999999999999</v>
      </c>
      <c r="H26" s="480">
        <f t="shared" si="7"/>
        <v>9082.8000000000065</v>
      </c>
      <c r="I26" s="480">
        <v>3435.9410000000003</v>
      </c>
      <c r="J26" s="480">
        <v>5408.1590000000051</v>
      </c>
      <c r="K26" s="480">
        <v>96</v>
      </c>
      <c r="L26" s="480">
        <v>142.69999999999999</v>
      </c>
      <c r="M26" s="480">
        <f t="shared" si="11"/>
        <v>1186.5419999999997</v>
      </c>
      <c r="N26" s="480">
        <v>91.34699999999998</v>
      </c>
      <c r="O26" s="554">
        <v>1095.1949999999997</v>
      </c>
      <c r="Q26" s="527">
        <v>2016</v>
      </c>
      <c r="R26" s="540">
        <f t="shared" ref="R26:T27" si="14">C28</f>
        <v>13642.506100000002</v>
      </c>
      <c r="S26" s="540">
        <f t="shared" si="14"/>
        <v>5086.3390000000009</v>
      </c>
      <c r="T26" s="540">
        <f t="shared" si="14"/>
        <v>8220.2171000000017</v>
      </c>
      <c r="U26" s="556">
        <f t="shared" si="8"/>
        <v>96</v>
      </c>
      <c r="V26" s="556">
        <f>G28</f>
        <v>239.95</v>
      </c>
    </row>
    <row r="27" spans="2:22" x14ac:dyDescent="0.25">
      <c r="B27" s="559">
        <v>2015</v>
      </c>
      <c r="C27" s="560">
        <f t="shared" si="9"/>
        <v>11230.440000000006</v>
      </c>
      <c r="D27" s="475">
        <f t="shared" ref="D27:E29" si="15">SUM(I27,N27)</f>
        <v>4019.8179999999998</v>
      </c>
      <c r="E27" s="475">
        <f t="shared" si="15"/>
        <v>6874.8220000000065</v>
      </c>
      <c r="F27" s="475">
        <f t="shared" si="12"/>
        <v>96</v>
      </c>
      <c r="G27" s="475">
        <f>SUM(L27)</f>
        <v>239.79999999999998</v>
      </c>
      <c r="H27" s="475">
        <f t="shared" si="7"/>
        <v>10028.284000000005</v>
      </c>
      <c r="I27" s="475">
        <v>3928.0909999999999</v>
      </c>
      <c r="J27" s="475">
        <v>5764.3930000000064</v>
      </c>
      <c r="K27" s="475">
        <v>96</v>
      </c>
      <c r="L27" s="475">
        <v>239.79999999999998</v>
      </c>
      <c r="M27" s="475">
        <f t="shared" si="11"/>
        <v>1202.1560000000002</v>
      </c>
      <c r="N27" s="475">
        <v>91.72699999999999</v>
      </c>
      <c r="O27" s="551">
        <v>1110.4290000000001</v>
      </c>
      <c r="Q27" s="527">
        <v>2017</v>
      </c>
      <c r="R27" s="540">
        <f t="shared" si="14"/>
        <v>13852.100279999948</v>
      </c>
      <c r="S27" s="540">
        <f t="shared" si="14"/>
        <v>5158.2106800000238</v>
      </c>
      <c r="T27" s="540">
        <f t="shared" si="14"/>
        <v>8213.4555999999229</v>
      </c>
      <c r="U27" s="556">
        <f t="shared" si="8"/>
        <v>240.48400000000012</v>
      </c>
      <c r="V27" s="556">
        <f>G29</f>
        <v>239.94999999999985</v>
      </c>
    </row>
    <row r="28" spans="2:22" x14ac:dyDescent="0.25">
      <c r="B28" s="561">
        <v>2016</v>
      </c>
      <c r="C28" s="562">
        <f t="shared" si="9"/>
        <v>13642.506100000002</v>
      </c>
      <c r="D28" s="480">
        <f t="shared" si="15"/>
        <v>5086.3390000000009</v>
      </c>
      <c r="E28" s="480">
        <f t="shared" si="15"/>
        <v>8220.2171000000017</v>
      </c>
      <c r="F28" s="480">
        <f t="shared" si="12"/>
        <v>96</v>
      </c>
      <c r="G28" s="480">
        <f>SUM(L28)</f>
        <v>239.95</v>
      </c>
      <c r="H28" s="480">
        <f>SUM(I28:L28)</f>
        <v>12450.708000000002</v>
      </c>
      <c r="I28" s="480">
        <v>4983.9800000000005</v>
      </c>
      <c r="J28" s="480">
        <v>7130.7780000000021</v>
      </c>
      <c r="K28" s="480">
        <v>96</v>
      </c>
      <c r="L28" s="480">
        <v>239.95</v>
      </c>
      <c r="M28" s="480">
        <f t="shared" si="11"/>
        <v>1191.7981000000004</v>
      </c>
      <c r="N28" s="480">
        <v>102.35899999999998</v>
      </c>
      <c r="O28" s="554">
        <v>1089.4391000000005</v>
      </c>
      <c r="Q28" s="527">
        <v>2018</v>
      </c>
      <c r="R28" s="540">
        <f>C30</f>
        <v>14366.256100000006</v>
      </c>
      <c r="S28" s="540">
        <f>D30</f>
        <v>5291.833999999998</v>
      </c>
      <c r="T28" s="540">
        <f>E30</f>
        <v>8421.6881000000067</v>
      </c>
      <c r="U28" s="556">
        <f>F30</f>
        <v>280.48400000000004</v>
      </c>
      <c r="V28" s="556">
        <f>G30</f>
        <v>372.24999999999994</v>
      </c>
    </row>
    <row r="29" spans="2:22" x14ac:dyDescent="0.25">
      <c r="B29" s="559">
        <v>2017</v>
      </c>
      <c r="C29" s="560">
        <f>SUM(D29:G29)</f>
        <v>13852.100279999948</v>
      </c>
      <c r="D29" s="493">
        <f t="shared" si="15"/>
        <v>5158.2106800000238</v>
      </c>
      <c r="E29" s="493">
        <f t="shared" si="15"/>
        <v>8213.4555999999229</v>
      </c>
      <c r="F29" s="493">
        <f t="shared" si="12"/>
        <v>240.48400000000012</v>
      </c>
      <c r="G29" s="493">
        <f>SUM(L29)</f>
        <v>239.94999999999985</v>
      </c>
      <c r="H29" s="493">
        <f>SUM(I29:L29)</f>
        <v>12631.256179999948</v>
      </c>
      <c r="I29" s="493">
        <v>5041.6326800000234</v>
      </c>
      <c r="J29" s="492">
        <v>7109.1894999999231</v>
      </c>
      <c r="K29" s="493">
        <v>240.48400000000012</v>
      </c>
      <c r="L29" s="493">
        <v>239.94999999999985</v>
      </c>
      <c r="M29" s="493">
        <f t="shared" si="11"/>
        <v>1220.8440999999996</v>
      </c>
      <c r="N29" s="493">
        <v>116.578</v>
      </c>
      <c r="O29" s="563">
        <v>1104.2660999999996</v>
      </c>
      <c r="Q29" s="527">
        <v>2019</v>
      </c>
      <c r="R29" s="540">
        <f t="shared" ref="R29:V29" si="16">C31</f>
        <v>14378.893100000001</v>
      </c>
      <c r="S29" s="540">
        <f t="shared" si="16"/>
        <v>5354.6509999999926</v>
      </c>
      <c r="T29" s="540">
        <f t="shared" si="16"/>
        <v>8366.9581000000089</v>
      </c>
      <c r="U29" s="556">
        <f t="shared" si="16"/>
        <v>285.03399999999999</v>
      </c>
      <c r="V29" s="556">
        <f t="shared" si="16"/>
        <v>372.24999999999994</v>
      </c>
    </row>
    <row r="30" spans="2:22" x14ac:dyDescent="0.25">
      <c r="B30" s="561">
        <v>2018</v>
      </c>
      <c r="C30" s="562">
        <f>SUM(D30:G30)</f>
        <v>14366.256100000006</v>
      </c>
      <c r="D30" s="480">
        <f>SUM(I30,N30)</f>
        <v>5291.833999999998</v>
      </c>
      <c r="E30" s="480">
        <f>SUM(J30,O30)</f>
        <v>8421.6881000000067</v>
      </c>
      <c r="F30" s="480">
        <f>SUM(K30)</f>
        <v>280.48400000000004</v>
      </c>
      <c r="G30" s="480">
        <f>SUM(L30)</f>
        <v>372.24999999999994</v>
      </c>
      <c r="H30" s="480">
        <f>SUM(I30:L30)</f>
        <v>13145.596000000005</v>
      </c>
      <c r="I30" s="480">
        <v>5174.4699999999984</v>
      </c>
      <c r="J30" s="480">
        <v>7318.3920000000062</v>
      </c>
      <c r="K30" s="480">
        <v>280.48400000000004</v>
      </c>
      <c r="L30" s="480">
        <v>372.24999999999994</v>
      </c>
      <c r="M30" s="480">
        <f>SUM(N30:O30)</f>
        <v>1220.6601000000005</v>
      </c>
      <c r="N30" s="480">
        <v>117.36399999999998</v>
      </c>
      <c r="O30" s="554">
        <v>1103.2961000000005</v>
      </c>
      <c r="Q30" s="527">
        <v>2020</v>
      </c>
      <c r="R30" s="540">
        <f t="shared" ref="R30:V30" si="17">C32</f>
        <v>14431.969100000006</v>
      </c>
      <c r="S30" s="540">
        <f t="shared" si="17"/>
        <v>5370.7269999999971</v>
      </c>
      <c r="T30" s="540">
        <f t="shared" si="17"/>
        <v>8367.2181000000091</v>
      </c>
      <c r="U30" s="556">
        <f t="shared" si="17"/>
        <v>285.03399999999999</v>
      </c>
      <c r="V30" s="556">
        <f t="shared" si="17"/>
        <v>408.98999999999995</v>
      </c>
    </row>
    <row r="31" spans="2:22" x14ac:dyDescent="0.25">
      <c r="B31" s="559">
        <v>2019</v>
      </c>
      <c r="C31" s="560">
        <f t="shared" ref="C31:C32" si="18">SUM(D31:G31)</f>
        <v>14378.893100000001</v>
      </c>
      <c r="D31" s="493">
        <f t="shared" ref="D31:D32" si="19">SUM(I31,N31)</f>
        <v>5354.6509999999926</v>
      </c>
      <c r="E31" s="493">
        <f t="shared" ref="E31:E32" si="20">SUM(J31,O31)</f>
        <v>8366.9581000000089</v>
      </c>
      <c r="F31" s="493">
        <f t="shared" ref="F31:F32" si="21">SUM(K31)</f>
        <v>285.03399999999999</v>
      </c>
      <c r="G31" s="493">
        <f t="shared" ref="G31:G32" si="22">SUM(L31)</f>
        <v>372.24999999999994</v>
      </c>
      <c r="H31" s="493">
        <f t="shared" ref="H31:H34" si="23">SUM(I31:L31)</f>
        <v>13159.246999999999</v>
      </c>
      <c r="I31" s="493">
        <v>5236.2709999999925</v>
      </c>
      <c r="J31" s="492">
        <v>7265.6920000000082</v>
      </c>
      <c r="K31" s="493">
        <v>285.03399999999999</v>
      </c>
      <c r="L31" s="493">
        <v>372.24999999999994</v>
      </c>
      <c r="M31" s="493">
        <f t="shared" ref="M31:M35" si="24">SUM(N31:O31)</f>
        <v>1219.6461000000011</v>
      </c>
      <c r="N31" s="493">
        <v>118.37999999999997</v>
      </c>
      <c r="O31" s="563">
        <v>1101.2661000000012</v>
      </c>
      <c r="Q31" s="527">
        <v>2021</v>
      </c>
      <c r="R31" s="540">
        <f t="shared" ref="R31:R33" si="25">C33</f>
        <v>14579.392100000006</v>
      </c>
      <c r="S31" s="540">
        <f t="shared" ref="S31:S33" si="26">D33</f>
        <v>5482.3189999999995</v>
      </c>
      <c r="T31" s="540">
        <f t="shared" ref="T31:T33" si="27">E33</f>
        <v>8402.766100000008</v>
      </c>
      <c r="U31" s="556">
        <f t="shared" ref="U31:U33" si="28">F33</f>
        <v>285.31700000000001</v>
      </c>
      <c r="V31" s="556">
        <f t="shared" ref="V31:V33" si="29">G33</f>
        <v>408.98999999999995</v>
      </c>
    </row>
    <row r="32" spans="2:22" x14ac:dyDescent="0.25">
      <c r="B32" s="561">
        <v>2020</v>
      </c>
      <c r="C32" s="562">
        <f t="shared" si="18"/>
        <v>14431.969100000006</v>
      </c>
      <c r="D32" s="480">
        <f t="shared" si="19"/>
        <v>5370.7269999999971</v>
      </c>
      <c r="E32" s="480">
        <f t="shared" si="20"/>
        <v>8367.2181000000091</v>
      </c>
      <c r="F32" s="480">
        <f t="shared" si="21"/>
        <v>285.03399999999999</v>
      </c>
      <c r="G32" s="480">
        <f t="shared" si="22"/>
        <v>408.98999999999995</v>
      </c>
      <c r="H32" s="480">
        <f t="shared" si="23"/>
        <v>13209.904000000004</v>
      </c>
      <c r="I32" s="480">
        <v>5252.368999999997</v>
      </c>
      <c r="J32" s="480">
        <v>7263.5110000000068</v>
      </c>
      <c r="K32" s="480">
        <v>285.03399999999999</v>
      </c>
      <c r="L32" s="480">
        <v>408.98999999999995</v>
      </c>
      <c r="M32" s="480">
        <f t="shared" si="24"/>
        <v>1222.0651000000014</v>
      </c>
      <c r="N32" s="480">
        <v>118.35799999999998</v>
      </c>
      <c r="O32" s="554">
        <v>1103.7071000000014</v>
      </c>
      <c r="Q32" s="527">
        <v>2022</v>
      </c>
      <c r="R32" s="540">
        <f t="shared" si="25"/>
        <v>14976.991100000001</v>
      </c>
      <c r="S32" s="540">
        <f t="shared" si="26"/>
        <v>5493.2879999999996</v>
      </c>
      <c r="T32" s="540">
        <f t="shared" si="27"/>
        <v>8659.3961000000036</v>
      </c>
      <c r="U32" s="556">
        <f t="shared" si="28"/>
        <v>285.31700000000001</v>
      </c>
      <c r="V32" s="556">
        <f t="shared" si="29"/>
        <v>538.99</v>
      </c>
    </row>
    <row r="33" spans="2:22" x14ac:dyDescent="0.25">
      <c r="B33" s="559">
        <v>2021</v>
      </c>
      <c r="C33" s="560">
        <f t="shared" ref="C33:C35" si="30">SUM(D33:G33)</f>
        <v>14579.392100000006</v>
      </c>
      <c r="D33" s="493">
        <f t="shared" ref="D33:D35" si="31">SUM(I33,N33)</f>
        <v>5482.3189999999995</v>
      </c>
      <c r="E33" s="493">
        <f t="shared" ref="E33:E35" si="32">SUM(J33,O33)</f>
        <v>8402.766100000008</v>
      </c>
      <c r="F33" s="493">
        <f t="shared" ref="F33:F35" si="33">SUM(K33)</f>
        <v>285.31700000000001</v>
      </c>
      <c r="G33" s="493">
        <f t="shared" ref="G33:G35" si="34">SUM(L33)</f>
        <v>408.98999999999995</v>
      </c>
      <c r="H33" s="493">
        <f t="shared" si="23"/>
        <v>13339.100000000008</v>
      </c>
      <c r="I33" s="493">
        <v>5365.0869999999995</v>
      </c>
      <c r="J33" s="492">
        <v>7279.7060000000074</v>
      </c>
      <c r="K33" s="493">
        <v>285.31700000000001</v>
      </c>
      <c r="L33" s="493">
        <v>408.98999999999995</v>
      </c>
      <c r="M33" s="493">
        <f t="shared" si="24"/>
        <v>1240.292100000001</v>
      </c>
      <c r="N33" s="493">
        <v>117.23199999999999</v>
      </c>
      <c r="O33" s="563">
        <v>1123.0601000000011</v>
      </c>
      <c r="Q33" s="527">
        <v>2023</v>
      </c>
      <c r="R33" s="540">
        <f t="shared" si="25"/>
        <v>15627.818300000001</v>
      </c>
      <c r="S33" s="540">
        <f t="shared" si="26"/>
        <v>5511.4080000000004</v>
      </c>
      <c r="T33" s="540">
        <f t="shared" si="27"/>
        <v>8700.4723000000013</v>
      </c>
      <c r="U33" s="556">
        <f t="shared" si="28"/>
        <v>400.24799999999999</v>
      </c>
      <c r="V33" s="556">
        <f t="shared" si="29"/>
        <v>1015.6900000000005</v>
      </c>
    </row>
    <row r="34" spans="2:22" x14ac:dyDescent="0.25">
      <c r="B34" s="561">
        <v>2022</v>
      </c>
      <c r="C34" s="562">
        <f t="shared" ref="C34" si="35">SUM(D34:G34)</f>
        <v>14976.991100000001</v>
      </c>
      <c r="D34" s="480">
        <f t="shared" ref="D34" si="36">SUM(I34,N34)</f>
        <v>5493.2879999999996</v>
      </c>
      <c r="E34" s="480">
        <f t="shared" ref="E34" si="37">SUM(J34,O34)</f>
        <v>8659.3961000000036</v>
      </c>
      <c r="F34" s="480">
        <f t="shared" ref="F34" si="38">SUM(K34)</f>
        <v>285.31700000000001</v>
      </c>
      <c r="G34" s="480">
        <f t="shared" ref="G34" si="39">SUM(L34)</f>
        <v>538.99</v>
      </c>
      <c r="H34" s="480">
        <f t="shared" si="23"/>
        <v>13698.299000000001</v>
      </c>
      <c r="I34" s="480">
        <v>5376.8919999999998</v>
      </c>
      <c r="J34" s="480">
        <v>7497.1000000000031</v>
      </c>
      <c r="K34" s="480">
        <v>285.31700000000001</v>
      </c>
      <c r="L34" s="480">
        <v>538.99</v>
      </c>
      <c r="M34" s="480">
        <f t="shared" ref="M34" si="40">SUM(N34:O34)</f>
        <v>1278.6921000000007</v>
      </c>
      <c r="N34" s="480">
        <v>116.39599999999997</v>
      </c>
      <c r="O34" s="554">
        <v>1162.2961000000007</v>
      </c>
      <c r="R34" s="540"/>
      <c r="S34" s="540"/>
      <c r="T34" s="540"/>
      <c r="U34" s="556"/>
      <c r="V34" s="556"/>
    </row>
    <row r="35" spans="2:22" x14ac:dyDescent="0.25">
      <c r="B35" s="564">
        <v>2023</v>
      </c>
      <c r="C35" s="560">
        <f t="shared" si="30"/>
        <v>15627.818300000001</v>
      </c>
      <c r="D35" s="493">
        <f t="shared" si="31"/>
        <v>5511.4080000000004</v>
      </c>
      <c r="E35" s="493">
        <f t="shared" si="32"/>
        <v>8700.4723000000013</v>
      </c>
      <c r="F35" s="493">
        <f t="shared" si="33"/>
        <v>400.24799999999999</v>
      </c>
      <c r="G35" s="493">
        <f t="shared" si="34"/>
        <v>1015.6900000000005</v>
      </c>
      <c r="H35" s="493">
        <f t="shared" ref="H35" si="41">SUM(I35:L35)</f>
        <v>14354.068000000001</v>
      </c>
      <c r="I35" s="493">
        <v>5394.2670000000007</v>
      </c>
      <c r="J35" s="492">
        <v>7543.8630000000012</v>
      </c>
      <c r="K35" s="493">
        <v>400.24799999999999</v>
      </c>
      <c r="L35" s="493">
        <v>1015.6900000000005</v>
      </c>
      <c r="M35" s="493">
        <f t="shared" si="24"/>
        <v>1273.7503000000008</v>
      </c>
      <c r="N35" s="493">
        <v>117.14099999999998</v>
      </c>
      <c r="O35" s="563">
        <v>1156.6093000000008</v>
      </c>
      <c r="R35" s="540"/>
      <c r="S35" s="540"/>
      <c r="T35" s="540"/>
      <c r="U35" s="556"/>
      <c r="V35" s="556"/>
    </row>
    <row r="36" spans="2:22" ht="14.25" thickBot="1" x14ac:dyDescent="0.3">
      <c r="B36" s="565"/>
      <c r="C36" s="566"/>
      <c r="D36" s="567"/>
      <c r="E36" s="568"/>
      <c r="F36" s="569"/>
      <c r="G36" s="569"/>
      <c r="H36" s="567"/>
      <c r="I36" s="569"/>
      <c r="J36" s="568"/>
      <c r="K36" s="569"/>
      <c r="L36" s="569"/>
      <c r="M36" s="567"/>
      <c r="N36" s="569"/>
      <c r="O36" s="570"/>
      <c r="R36" s="540"/>
      <c r="S36" s="540"/>
      <c r="T36" s="540"/>
    </row>
    <row r="37" spans="2:22" x14ac:dyDescent="0.25">
      <c r="B37" s="508" t="s">
        <v>326</v>
      </c>
      <c r="C37" s="509">
        <f>(C35/C34)-1</f>
        <v>4.3455136993437948E-2</v>
      </c>
      <c r="D37" s="510">
        <f t="shared" ref="D37:O37" si="42">(D35/D34)-1</f>
        <v>3.2985709105368688E-3</v>
      </c>
      <c r="E37" s="510">
        <f t="shared" si="42"/>
        <v>4.7435409496972003E-3</v>
      </c>
      <c r="F37" s="510">
        <f t="shared" si="42"/>
        <v>0.40281861929012286</v>
      </c>
      <c r="G37" s="510">
        <f t="shared" si="42"/>
        <v>0.88443199317241605</v>
      </c>
      <c r="H37" s="510">
        <f t="shared" si="42"/>
        <v>4.7872294216968037E-2</v>
      </c>
      <c r="I37" s="510">
        <f t="shared" si="42"/>
        <v>3.2314206794559208E-3</v>
      </c>
      <c r="J37" s="510">
        <f t="shared" si="42"/>
        <v>6.2374784916832127E-3</v>
      </c>
      <c r="K37" s="510">
        <f t="shared" si="42"/>
        <v>0.40281861929012286</v>
      </c>
      <c r="L37" s="510">
        <f t="shared" si="42"/>
        <v>0.88443199317241605</v>
      </c>
      <c r="M37" s="510">
        <f t="shared" si="42"/>
        <v>-3.8647302192605926E-3</v>
      </c>
      <c r="N37" s="510">
        <f t="shared" si="42"/>
        <v>6.4005635932506966E-3</v>
      </c>
      <c r="O37" s="571">
        <f t="shared" si="42"/>
        <v>-4.8927291419114116E-3</v>
      </c>
      <c r="R37" s="540"/>
      <c r="S37" s="540"/>
      <c r="T37" s="540"/>
    </row>
    <row r="38" spans="2:22" x14ac:dyDescent="0.25">
      <c r="B38" s="513" t="s">
        <v>327</v>
      </c>
      <c r="C38" s="514">
        <f>((C35/C30)^(1/5))-1</f>
        <v>1.6976575692169371E-2</v>
      </c>
      <c r="D38" s="515">
        <f t="shared" ref="D38:O38" si="43">((D35/D30)^(1/5))-1</f>
        <v>8.1641964133269962E-3</v>
      </c>
      <c r="E38" s="515">
        <f t="shared" si="43"/>
        <v>6.5346616304737815E-3</v>
      </c>
      <c r="F38" s="515">
        <f t="shared" si="43"/>
        <v>7.3703121327741261E-2</v>
      </c>
      <c r="G38" s="515">
        <f t="shared" si="43"/>
        <v>0.22232105867490315</v>
      </c>
      <c r="H38" s="515">
        <f t="shared" si="43"/>
        <v>1.7744920780615514E-2</v>
      </c>
      <c r="I38" s="515">
        <f t="shared" si="43"/>
        <v>8.3546679594226347E-3</v>
      </c>
      <c r="J38" s="515">
        <f t="shared" si="43"/>
        <v>6.0872028413316848E-3</v>
      </c>
      <c r="K38" s="515">
        <f t="shared" si="43"/>
        <v>7.3703121327741261E-2</v>
      </c>
      <c r="L38" s="515">
        <f t="shared" si="43"/>
        <v>0.22232105867490315</v>
      </c>
      <c r="M38" s="515">
        <f t="shared" si="43"/>
        <v>8.5511062302949803E-3</v>
      </c>
      <c r="N38" s="515">
        <f t="shared" si="43"/>
        <v>-3.8030346590667286E-4</v>
      </c>
      <c r="O38" s="572">
        <f t="shared" si="43"/>
        <v>9.4827901376517421E-3</v>
      </c>
      <c r="R38" s="540"/>
      <c r="S38" s="540"/>
      <c r="T38" s="540"/>
    </row>
    <row r="39" spans="2:22" x14ac:dyDescent="0.25">
      <c r="B39" s="516" t="s">
        <v>328</v>
      </c>
      <c r="C39" s="517">
        <f>(C35/C25)-1</f>
        <v>0.58091940211660309</v>
      </c>
      <c r="D39" s="518">
        <f t="shared" ref="D39:O39" si="44">(D35/D25)-1</f>
        <v>0.61416210365017943</v>
      </c>
      <c r="E39" s="518">
        <f t="shared" si="44"/>
        <v>0.3615413156845424</v>
      </c>
      <c r="F39" s="518"/>
      <c r="G39" s="518"/>
      <c r="H39" s="518">
        <f t="shared" si="44"/>
        <v>0.65361426594401317</v>
      </c>
      <c r="I39" s="518">
        <f t="shared" si="44"/>
        <v>0.61648450900739515</v>
      </c>
      <c r="J39" s="518">
        <f t="shared" si="44"/>
        <v>0.43346276662958094</v>
      </c>
      <c r="K39" s="518"/>
      <c r="L39" s="518"/>
      <c r="M39" s="518">
        <f t="shared" si="44"/>
        <v>5.7184913321232989E-2</v>
      </c>
      <c r="N39" s="518">
        <f t="shared" si="44"/>
        <v>0.51399731168898333</v>
      </c>
      <c r="O39" s="573">
        <f t="shared" si="44"/>
        <v>2.5836667467864949E-2</v>
      </c>
    </row>
    <row r="40" spans="2:22" ht="12.75" customHeight="1" thickBot="1" x14ac:dyDescent="0.3">
      <c r="B40" s="519" t="s">
        <v>329</v>
      </c>
      <c r="C40" s="520">
        <f>((C35/C25)^(1/10))-1</f>
        <v>4.6865705629732135E-2</v>
      </c>
      <c r="D40" s="521">
        <f t="shared" ref="D40:O40" si="45">((D35/D25)^(1/10))-1</f>
        <v>4.9046440953408155E-2</v>
      </c>
      <c r="E40" s="521">
        <f t="shared" si="45"/>
        <v>3.1342898329545177E-2</v>
      </c>
      <c r="F40" s="521"/>
      <c r="G40" s="521"/>
      <c r="H40" s="521">
        <f t="shared" si="45"/>
        <v>5.1582671648301215E-2</v>
      </c>
      <c r="I40" s="521">
        <f t="shared" si="45"/>
        <v>4.9197276803506496E-2</v>
      </c>
      <c r="J40" s="521">
        <f t="shared" si="45"/>
        <v>3.6665490778798437E-2</v>
      </c>
      <c r="K40" s="521"/>
      <c r="L40" s="521"/>
      <c r="M40" s="521">
        <f t="shared" si="45"/>
        <v>5.5764541814213864E-3</v>
      </c>
      <c r="N40" s="521">
        <f t="shared" si="45"/>
        <v>4.2347455096809039E-2</v>
      </c>
      <c r="O40" s="574">
        <f t="shared" si="45"/>
        <v>2.554110253800701E-3</v>
      </c>
    </row>
    <row r="41" spans="2:22" ht="15.75" customHeight="1" x14ac:dyDescent="0.3">
      <c r="B41" s="575" t="s">
        <v>191</v>
      </c>
      <c r="R41" s="527" t="s">
        <v>45</v>
      </c>
    </row>
    <row r="42" spans="2:22" ht="14.25" x14ac:dyDescent="0.3">
      <c r="B42" s="575"/>
      <c r="R42" s="527" t="s">
        <v>0</v>
      </c>
      <c r="S42" s="527" t="s">
        <v>4</v>
      </c>
      <c r="T42" s="527" t="s">
        <v>5</v>
      </c>
      <c r="U42" s="527" t="s">
        <v>57</v>
      </c>
      <c r="V42" s="527" t="s">
        <v>147</v>
      </c>
    </row>
    <row r="43" spans="2:22" x14ac:dyDescent="0.25">
      <c r="Q43" s="527">
        <v>1995</v>
      </c>
      <c r="R43" s="540">
        <f t="shared" ref="R43:R66" si="46">H7</f>
        <v>3195.3919999999998</v>
      </c>
      <c r="S43" s="540">
        <f t="shared" ref="S43:S66" si="47">I7</f>
        <v>2205.915</v>
      </c>
      <c r="T43" s="540">
        <f t="shared" ref="T43:T66" si="48">J7</f>
        <v>989.47699999999998</v>
      </c>
    </row>
    <row r="44" spans="2:22" x14ac:dyDescent="0.25">
      <c r="Q44" s="527">
        <v>1996</v>
      </c>
      <c r="R44" s="540">
        <f t="shared" si="46"/>
        <v>2879.5010000000002</v>
      </c>
      <c r="S44" s="540">
        <f t="shared" si="47"/>
        <v>1924.8510000000001</v>
      </c>
      <c r="T44" s="540">
        <f t="shared" si="48"/>
        <v>954.4</v>
      </c>
    </row>
    <row r="45" spans="2:22" x14ac:dyDescent="0.25">
      <c r="Q45" s="527">
        <v>1997</v>
      </c>
      <c r="R45" s="540">
        <f t="shared" si="46"/>
        <v>3826.8329999999996</v>
      </c>
      <c r="S45" s="540">
        <f t="shared" si="47"/>
        <v>2120.1709999999998</v>
      </c>
      <c r="T45" s="540">
        <f t="shared" si="48"/>
        <v>1706.4119999999998</v>
      </c>
    </row>
    <row r="46" spans="2:22" x14ac:dyDescent="0.25">
      <c r="Q46" s="527">
        <v>1998</v>
      </c>
      <c r="R46" s="540">
        <f t="shared" si="46"/>
        <v>4020.8509999999997</v>
      </c>
      <c r="S46" s="540">
        <f t="shared" si="47"/>
        <v>2022.9019999999998</v>
      </c>
      <c r="T46" s="540">
        <f t="shared" si="48"/>
        <v>1997.6489999999999</v>
      </c>
    </row>
    <row r="47" spans="2:22" x14ac:dyDescent="0.25">
      <c r="Q47" s="527">
        <v>1999</v>
      </c>
      <c r="R47" s="540">
        <f t="shared" si="46"/>
        <v>4317.9289999999992</v>
      </c>
      <c r="S47" s="540">
        <f t="shared" si="47"/>
        <v>2242.625</v>
      </c>
      <c r="T47" s="540">
        <f t="shared" si="48"/>
        <v>2074.6039999999998</v>
      </c>
    </row>
    <row r="48" spans="2:22" x14ac:dyDescent="0.25">
      <c r="Q48" s="527">
        <v>2000</v>
      </c>
      <c r="R48" s="540">
        <f t="shared" si="46"/>
        <v>4775.9350000000004</v>
      </c>
      <c r="S48" s="540">
        <f t="shared" si="47"/>
        <v>2575.9240000000004</v>
      </c>
      <c r="T48" s="540">
        <f t="shared" si="48"/>
        <v>2199.3110000000001</v>
      </c>
    </row>
    <row r="49" spans="17:22" x14ac:dyDescent="0.25">
      <c r="Q49" s="527">
        <v>2001</v>
      </c>
      <c r="R49" s="540">
        <f t="shared" si="46"/>
        <v>4642.0639999999994</v>
      </c>
      <c r="S49" s="540">
        <f t="shared" si="47"/>
        <v>2674.8349999999996</v>
      </c>
      <c r="T49" s="540">
        <f t="shared" si="48"/>
        <v>1966.529</v>
      </c>
    </row>
    <row r="50" spans="17:22" x14ac:dyDescent="0.25">
      <c r="Q50" s="555">
        <v>2002</v>
      </c>
      <c r="R50" s="540">
        <f t="shared" si="46"/>
        <v>4657.8269999999993</v>
      </c>
      <c r="S50" s="540">
        <f t="shared" si="47"/>
        <v>2702.8629999999998</v>
      </c>
      <c r="T50" s="540">
        <f t="shared" si="48"/>
        <v>1954.2639999999999</v>
      </c>
    </row>
    <row r="51" spans="17:22" x14ac:dyDescent="0.25">
      <c r="Q51" s="527">
        <v>2003</v>
      </c>
      <c r="R51" s="540">
        <f t="shared" si="46"/>
        <v>4686.3940000000002</v>
      </c>
      <c r="S51" s="540">
        <f t="shared" si="47"/>
        <v>2720.2290000000003</v>
      </c>
      <c r="T51" s="540">
        <f t="shared" si="48"/>
        <v>1965.4649999999999</v>
      </c>
    </row>
    <row r="52" spans="17:22" x14ac:dyDescent="0.25">
      <c r="Q52" s="527">
        <v>2004</v>
      </c>
      <c r="R52" s="540">
        <f t="shared" si="46"/>
        <v>4657.3150700000006</v>
      </c>
      <c r="S52" s="540">
        <f t="shared" si="47"/>
        <v>2747.2720700000009</v>
      </c>
      <c r="T52" s="540">
        <f t="shared" si="48"/>
        <v>1909.3430000000001</v>
      </c>
    </row>
    <row r="53" spans="17:22" x14ac:dyDescent="0.25">
      <c r="Q53" s="527">
        <v>2005</v>
      </c>
      <c r="R53" s="540">
        <f t="shared" si="46"/>
        <v>4798.6629999999996</v>
      </c>
      <c r="S53" s="540">
        <f t="shared" si="47"/>
        <v>2918.7730000000001</v>
      </c>
      <c r="T53" s="540">
        <f t="shared" si="48"/>
        <v>1879.1899999999998</v>
      </c>
    </row>
    <row r="54" spans="17:22" x14ac:dyDescent="0.25">
      <c r="Q54" s="527">
        <v>2006</v>
      </c>
      <c r="R54" s="540">
        <f t="shared" si="46"/>
        <v>5064.3620000000001</v>
      </c>
      <c r="S54" s="540">
        <f t="shared" si="47"/>
        <v>2926.6179999999999</v>
      </c>
      <c r="T54" s="540">
        <f t="shared" si="48"/>
        <v>2137.0440000000003</v>
      </c>
    </row>
    <row r="55" spans="17:22" x14ac:dyDescent="0.25">
      <c r="Q55" s="555">
        <v>2007</v>
      </c>
      <c r="R55" s="540">
        <f t="shared" si="46"/>
        <v>5532.8549999999987</v>
      </c>
      <c r="S55" s="540">
        <f t="shared" si="47"/>
        <v>2939.5869999999982</v>
      </c>
      <c r="T55" s="540">
        <f t="shared" si="48"/>
        <v>2592.5680000000007</v>
      </c>
    </row>
    <row r="56" spans="17:22" x14ac:dyDescent="0.25">
      <c r="Q56" s="527">
        <v>2008</v>
      </c>
      <c r="R56" s="540">
        <f t="shared" si="46"/>
        <v>5444.2159999999994</v>
      </c>
      <c r="S56" s="540">
        <f t="shared" si="47"/>
        <v>2953.1210000000005</v>
      </c>
      <c r="T56" s="540">
        <f t="shared" si="48"/>
        <v>2490.3949999999995</v>
      </c>
    </row>
    <row r="57" spans="17:22" x14ac:dyDescent="0.25">
      <c r="Q57" s="527">
        <v>2009</v>
      </c>
      <c r="R57" s="540">
        <f t="shared" si="46"/>
        <v>6246.4090000000006</v>
      </c>
      <c r="S57" s="540">
        <f t="shared" si="47"/>
        <v>3037.1620000000003</v>
      </c>
      <c r="T57" s="540">
        <f t="shared" si="48"/>
        <v>3208.547</v>
      </c>
    </row>
    <row r="58" spans="17:22" x14ac:dyDescent="0.25">
      <c r="Q58" s="527">
        <v>2010</v>
      </c>
      <c r="R58" s="540">
        <f t="shared" si="46"/>
        <v>6875.0379999999996</v>
      </c>
      <c r="S58" s="527">
        <f t="shared" si="47"/>
        <v>3237.3610000000008</v>
      </c>
      <c r="T58" s="527">
        <f t="shared" si="48"/>
        <v>3636.976999999999</v>
      </c>
    </row>
    <row r="59" spans="17:22" x14ac:dyDescent="0.25">
      <c r="Q59" s="527">
        <v>2011</v>
      </c>
      <c r="R59" s="540">
        <f t="shared" si="46"/>
        <v>6867.8210000000026</v>
      </c>
      <c r="S59" s="527">
        <f t="shared" si="47"/>
        <v>3246.6250000000014</v>
      </c>
      <c r="T59" s="527">
        <f t="shared" si="48"/>
        <v>3620.496000000001</v>
      </c>
    </row>
    <row r="60" spans="17:22" x14ac:dyDescent="0.25">
      <c r="Q60" s="527">
        <v>2012</v>
      </c>
      <c r="R60" s="540">
        <f t="shared" si="46"/>
        <v>7754.9050000000025</v>
      </c>
      <c r="S60" s="527">
        <f t="shared" si="47"/>
        <v>3270.5970000000007</v>
      </c>
      <c r="T60" s="527">
        <f t="shared" si="48"/>
        <v>4403.608000000002</v>
      </c>
      <c r="U60" s="527">
        <f t="shared" ref="U60:U66" si="49">K24</f>
        <v>80</v>
      </c>
    </row>
    <row r="61" spans="17:22" x14ac:dyDescent="0.25">
      <c r="Q61" s="527">
        <v>2013</v>
      </c>
      <c r="R61" s="540">
        <f t="shared" si="46"/>
        <v>8680.4210000000021</v>
      </c>
      <c r="S61" s="527">
        <f t="shared" si="47"/>
        <v>3337.0359999999991</v>
      </c>
      <c r="T61" s="527">
        <f t="shared" si="48"/>
        <v>5262.6850000000031</v>
      </c>
      <c r="U61" s="527">
        <f t="shared" si="49"/>
        <v>80</v>
      </c>
    </row>
    <row r="62" spans="17:22" x14ac:dyDescent="0.25">
      <c r="Q62" s="527">
        <v>2014</v>
      </c>
      <c r="R62" s="540">
        <f t="shared" si="46"/>
        <v>9082.8000000000065</v>
      </c>
      <c r="S62" s="527">
        <f t="shared" si="47"/>
        <v>3435.9410000000003</v>
      </c>
      <c r="T62" s="527">
        <f t="shared" si="48"/>
        <v>5408.1590000000051</v>
      </c>
      <c r="U62" s="527">
        <f t="shared" si="49"/>
        <v>96</v>
      </c>
      <c r="V62" s="527">
        <f>L26</f>
        <v>142.69999999999999</v>
      </c>
    </row>
    <row r="63" spans="17:22" x14ac:dyDescent="0.25">
      <c r="Q63" s="527">
        <v>2015</v>
      </c>
      <c r="R63" s="540">
        <f t="shared" si="46"/>
        <v>10028.284000000005</v>
      </c>
      <c r="S63" s="527">
        <f t="shared" si="47"/>
        <v>3928.0909999999999</v>
      </c>
      <c r="T63" s="527">
        <f t="shared" si="48"/>
        <v>5764.3930000000064</v>
      </c>
      <c r="U63" s="527">
        <f t="shared" si="49"/>
        <v>96</v>
      </c>
      <c r="V63" s="527">
        <f>L27</f>
        <v>239.79999999999998</v>
      </c>
    </row>
    <row r="64" spans="17:22" x14ac:dyDescent="0.25">
      <c r="Q64" s="527">
        <v>2016</v>
      </c>
      <c r="R64" s="540">
        <f t="shared" si="46"/>
        <v>12450.708000000002</v>
      </c>
      <c r="S64" s="527">
        <f t="shared" si="47"/>
        <v>4983.9800000000005</v>
      </c>
      <c r="T64" s="527">
        <f t="shared" si="48"/>
        <v>7130.7780000000021</v>
      </c>
      <c r="U64" s="527">
        <f t="shared" si="49"/>
        <v>96</v>
      </c>
      <c r="V64" s="527">
        <f>L28</f>
        <v>239.95</v>
      </c>
    </row>
    <row r="65" spans="17:22" x14ac:dyDescent="0.25">
      <c r="Q65" s="527">
        <v>2017</v>
      </c>
      <c r="R65" s="540">
        <f t="shared" si="46"/>
        <v>12631.256179999948</v>
      </c>
      <c r="S65" s="527">
        <f t="shared" si="47"/>
        <v>5041.6326800000234</v>
      </c>
      <c r="T65" s="527">
        <f t="shared" si="48"/>
        <v>7109.1894999999231</v>
      </c>
      <c r="U65" s="527">
        <f t="shared" si="49"/>
        <v>240.48400000000012</v>
      </c>
      <c r="V65" s="527">
        <f>L29</f>
        <v>239.94999999999985</v>
      </c>
    </row>
    <row r="66" spans="17:22" x14ac:dyDescent="0.25">
      <c r="Q66" s="527">
        <v>2018</v>
      </c>
      <c r="R66" s="540">
        <f t="shared" si="46"/>
        <v>13145.596000000005</v>
      </c>
      <c r="S66" s="527">
        <f t="shared" si="47"/>
        <v>5174.4699999999984</v>
      </c>
      <c r="T66" s="527">
        <f t="shared" si="48"/>
        <v>7318.3920000000062</v>
      </c>
      <c r="U66" s="527">
        <f t="shared" si="49"/>
        <v>280.48400000000004</v>
      </c>
      <c r="V66" s="527">
        <f>L30</f>
        <v>372.24999999999994</v>
      </c>
    </row>
    <row r="67" spans="17:22" x14ac:dyDescent="0.25">
      <c r="Q67" s="527">
        <v>2019</v>
      </c>
      <c r="R67" s="540">
        <f t="shared" ref="R67:V67" si="50">H31</f>
        <v>13159.246999999999</v>
      </c>
      <c r="S67" s="527">
        <f t="shared" si="50"/>
        <v>5236.2709999999925</v>
      </c>
      <c r="T67" s="527">
        <f t="shared" si="50"/>
        <v>7265.6920000000082</v>
      </c>
      <c r="U67" s="527">
        <f t="shared" si="50"/>
        <v>285.03399999999999</v>
      </c>
      <c r="V67" s="527">
        <f t="shared" si="50"/>
        <v>372.24999999999994</v>
      </c>
    </row>
    <row r="68" spans="17:22" x14ac:dyDescent="0.25">
      <c r="Q68" s="527">
        <v>2020</v>
      </c>
      <c r="R68" s="540">
        <f t="shared" ref="R68:V68" si="51">H32</f>
        <v>13209.904000000004</v>
      </c>
      <c r="S68" s="527">
        <f t="shared" si="51"/>
        <v>5252.368999999997</v>
      </c>
      <c r="T68" s="527">
        <f t="shared" si="51"/>
        <v>7263.5110000000068</v>
      </c>
      <c r="U68" s="527">
        <f t="shared" si="51"/>
        <v>285.03399999999999</v>
      </c>
      <c r="V68" s="527">
        <f t="shared" si="51"/>
        <v>408.98999999999995</v>
      </c>
    </row>
    <row r="69" spans="17:22" x14ac:dyDescent="0.25">
      <c r="Q69" s="527">
        <v>2021</v>
      </c>
      <c r="R69" s="540">
        <f t="shared" ref="R69:R71" si="52">H33</f>
        <v>13339.100000000008</v>
      </c>
      <c r="S69" s="527">
        <f t="shared" ref="S69:S71" si="53">I33</f>
        <v>5365.0869999999995</v>
      </c>
      <c r="T69" s="527">
        <f t="shared" ref="T69:T71" si="54">J33</f>
        <v>7279.7060000000074</v>
      </c>
      <c r="U69" s="527">
        <f t="shared" ref="U69:U71" si="55">K33</f>
        <v>285.31700000000001</v>
      </c>
      <c r="V69" s="527">
        <f t="shared" ref="V69:V71" si="56">L33</f>
        <v>408.98999999999995</v>
      </c>
    </row>
    <row r="70" spans="17:22" x14ac:dyDescent="0.25">
      <c r="Q70" s="527">
        <v>2022</v>
      </c>
      <c r="R70" s="540">
        <f t="shared" si="52"/>
        <v>13698.299000000001</v>
      </c>
      <c r="S70" s="527">
        <f t="shared" si="53"/>
        <v>5376.8919999999998</v>
      </c>
      <c r="T70" s="527">
        <f t="shared" si="54"/>
        <v>7497.1000000000031</v>
      </c>
      <c r="U70" s="527">
        <f t="shared" si="55"/>
        <v>285.31700000000001</v>
      </c>
      <c r="V70" s="527">
        <f t="shared" si="56"/>
        <v>538.99</v>
      </c>
    </row>
    <row r="71" spans="17:22" x14ac:dyDescent="0.25">
      <c r="Q71" s="527">
        <v>2023</v>
      </c>
      <c r="R71" s="540">
        <f t="shared" si="52"/>
        <v>14354.068000000001</v>
      </c>
      <c r="S71" s="527">
        <f t="shared" si="53"/>
        <v>5394.2670000000007</v>
      </c>
      <c r="T71" s="527">
        <f t="shared" si="54"/>
        <v>7543.8630000000012</v>
      </c>
      <c r="U71" s="527">
        <f t="shared" si="55"/>
        <v>400.24799999999999</v>
      </c>
      <c r="V71" s="527">
        <f t="shared" si="56"/>
        <v>1015.6900000000005</v>
      </c>
    </row>
    <row r="73" spans="17:22" x14ac:dyDescent="0.25">
      <c r="R73" s="527" t="s">
        <v>46</v>
      </c>
    </row>
    <row r="74" spans="17:22" x14ac:dyDescent="0.25">
      <c r="R74" s="527" t="s">
        <v>0</v>
      </c>
      <c r="S74" s="527" t="s">
        <v>4</v>
      </c>
      <c r="T74" s="527" t="s">
        <v>5</v>
      </c>
    </row>
    <row r="75" spans="17:22" x14ac:dyDescent="0.25">
      <c r="Q75" s="527">
        <v>1995</v>
      </c>
      <c r="R75" s="540">
        <f t="shared" ref="R75:R98" si="57">M7</f>
        <v>880.01599999999996</v>
      </c>
      <c r="S75" s="540">
        <f t="shared" ref="S75:S98" si="58">N7</f>
        <v>268.97000000000003</v>
      </c>
      <c r="T75" s="540">
        <f t="shared" ref="T75:T98" si="59">O7</f>
        <v>611.04599999999994</v>
      </c>
    </row>
    <row r="76" spans="17:22" x14ac:dyDescent="0.25">
      <c r="Q76" s="527">
        <v>1996</v>
      </c>
      <c r="R76" s="540">
        <f t="shared" si="57"/>
        <v>1123.7</v>
      </c>
      <c r="S76" s="540">
        <f t="shared" si="58"/>
        <v>277.02600000000001</v>
      </c>
      <c r="T76" s="540">
        <f t="shared" si="59"/>
        <v>846.67400000000009</v>
      </c>
    </row>
    <row r="77" spans="17:22" x14ac:dyDescent="0.25">
      <c r="Q77" s="527">
        <v>1997</v>
      </c>
      <c r="R77" s="540">
        <f t="shared" si="57"/>
        <v>754.18599999999992</v>
      </c>
      <c r="S77" s="540">
        <f t="shared" si="58"/>
        <v>90.733000000000004</v>
      </c>
      <c r="T77" s="540">
        <f t="shared" si="59"/>
        <v>663.45299999999997</v>
      </c>
    </row>
    <row r="78" spans="17:22" x14ac:dyDescent="0.25">
      <c r="Q78" s="527">
        <v>1998</v>
      </c>
      <c r="R78" s="540">
        <f t="shared" si="57"/>
        <v>760.82999999999993</v>
      </c>
      <c r="S78" s="540">
        <f t="shared" si="58"/>
        <v>93.967000000000013</v>
      </c>
      <c r="T78" s="540">
        <f t="shared" si="59"/>
        <v>666.86299999999994</v>
      </c>
    </row>
    <row r="79" spans="17:22" x14ac:dyDescent="0.25">
      <c r="Q79" s="527">
        <v>1999</v>
      </c>
      <c r="R79" s="540">
        <f t="shared" si="57"/>
        <v>798.22699999999998</v>
      </c>
      <c r="S79" s="540">
        <f t="shared" si="58"/>
        <v>75.48299999999999</v>
      </c>
      <c r="T79" s="540">
        <f t="shared" si="59"/>
        <v>722.74400000000003</v>
      </c>
    </row>
    <row r="80" spans="17:22" x14ac:dyDescent="0.25">
      <c r="Q80" s="527">
        <v>2000</v>
      </c>
      <c r="R80" s="540">
        <f t="shared" si="57"/>
        <v>778.91100000000006</v>
      </c>
      <c r="S80" s="540">
        <f t="shared" si="58"/>
        <v>74.971000000000004</v>
      </c>
      <c r="T80" s="540">
        <f t="shared" si="59"/>
        <v>703.94</v>
      </c>
    </row>
    <row r="81" spans="17:20" x14ac:dyDescent="0.25">
      <c r="Q81" s="527">
        <v>2001</v>
      </c>
      <c r="R81" s="540">
        <f t="shared" si="57"/>
        <v>745.11300000000017</v>
      </c>
      <c r="S81" s="540">
        <f t="shared" si="58"/>
        <v>69.667999999999992</v>
      </c>
      <c r="T81" s="540">
        <f t="shared" si="59"/>
        <v>675.44500000000016</v>
      </c>
    </row>
    <row r="82" spans="17:20" x14ac:dyDescent="0.25">
      <c r="Q82" s="555">
        <v>2002</v>
      </c>
      <c r="R82" s="540">
        <f t="shared" si="57"/>
        <v>737.84200000000055</v>
      </c>
      <c r="S82" s="540">
        <f t="shared" si="58"/>
        <v>72.418999999999997</v>
      </c>
      <c r="T82" s="540">
        <f t="shared" si="59"/>
        <v>665.42300000000057</v>
      </c>
    </row>
    <row r="83" spans="17:20" x14ac:dyDescent="0.25">
      <c r="Q83" s="527">
        <v>2003</v>
      </c>
      <c r="R83" s="540">
        <f t="shared" si="57"/>
        <v>735.41300000000035</v>
      </c>
      <c r="S83" s="540">
        <f t="shared" si="58"/>
        <v>70.043999999999983</v>
      </c>
      <c r="T83" s="540">
        <f t="shared" si="59"/>
        <v>665.36900000000037</v>
      </c>
    </row>
    <row r="84" spans="17:20" x14ac:dyDescent="0.25">
      <c r="Q84" s="527">
        <v>2004</v>
      </c>
      <c r="R84" s="540">
        <f t="shared" si="57"/>
        <v>760.64400000000035</v>
      </c>
      <c r="S84" s="540">
        <f t="shared" si="58"/>
        <v>67.731999999999999</v>
      </c>
      <c r="T84" s="540">
        <f t="shared" si="59"/>
        <v>692.91200000000038</v>
      </c>
    </row>
    <row r="85" spans="17:20" x14ac:dyDescent="0.25">
      <c r="Q85" s="527">
        <v>2005</v>
      </c>
      <c r="R85" s="540">
        <f t="shared" si="57"/>
        <v>812.2620000000004</v>
      </c>
      <c r="S85" s="540">
        <f t="shared" si="58"/>
        <v>70.430000000000007</v>
      </c>
      <c r="T85" s="540">
        <f t="shared" si="59"/>
        <v>741.83200000000033</v>
      </c>
    </row>
    <row r="86" spans="17:20" x14ac:dyDescent="0.25">
      <c r="Q86" s="527">
        <v>2006</v>
      </c>
      <c r="R86" s="540">
        <f t="shared" si="57"/>
        <v>809.03800000000001</v>
      </c>
      <c r="S86" s="540">
        <f t="shared" si="58"/>
        <v>69.355999999999995</v>
      </c>
      <c r="T86" s="540">
        <f t="shared" si="59"/>
        <v>739.68200000000002</v>
      </c>
    </row>
    <row r="87" spans="17:20" x14ac:dyDescent="0.25">
      <c r="Q87" s="555">
        <v>2007</v>
      </c>
      <c r="R87" s="540">
        <f t="shared" si="57"/>
        <v>819.15900000000011</v>
      </c>
      <c r="S87" s="540">
        <f t="shared" si="58"/>
        <v>73.710999999999984</v>
      </c>
      <c r="T87" s="540">
        <f t="shared" si="59"/>
        <v>745.44800000000009</v>
      </c>
    </row>
    <row r="88" spans="17:20" x14ac:dyDescent="0.25">
      <c r="Q88" s="527">
        <v>2008</v>
      </c>
      <c r="R88" s="540">
        <f t="shared" si="57"/>
        <v>904.72799999999995</v>
      </c>
      <c r="S88" s="540">
        <f t="shared" si="58"/>
        <v>74.780999999999977</v>
      </c>
      <c r="T88" s="540">
        <f t="shared" si="59"/>
        <v>829.947</v>
      </c>
    </row>
    <row r="89" spans="17:20" x14ac:dyDescent="0.25">
      <c r="Q89" s="527">
        <v>2009</v>
      </c>
      <c r="R89" s="540">
        <f t="shared" si="57"/>
        <v>1009.9380000000001</v>
      </c>
      <c r="S89" s="540">
        <f t="shared" si="58"/>
        <v>78.605999999999995</v>
      </c>
      <c r="T89" s="540">
        <f t="shared" si="59"/>
        <v>931.33200000000011</v>
      </c>
    </row>
    <row r="90" spans="17:20" x14ac:dyDescent="0.25">
      <c r="Q90" s="555">
        <v>2010</v>
      </c>
      <c r="R90" s="527">
        <f t="shared" si="57"/>
        <v>1125.3490000000004</v>
      </c>
      <c r="S90" s="527">
        <f t="shared" si="58"/>
        <v>80.083999999999961</v>
      </c>
      <c r="T90" s="527">
        <f t="shared" si="59"/>
        <v>1045.2650000000003</v>
      </c>
    </row>
    <row r="91" spans="17:20" x14ac:dyDescent="0.25">
      <c r="Q91" s="527">
        <v>2011</v>
      </c>
      <c r="R91" s="527">
        <f t="shared" si="57"/>
        <v>1177.6990000000001</v>
      </c>
      <c r="S91" s="527">
        <f t="shared" si="58"/>
        <v>81.98899999999999</v>
      </c>
      <c r="T91" s="527">
        <f t="shared" si="59"/>
        <v>1095.71</v>
      </c>
    </row>
    <row r="92" spans="17:20" x14ac:dyDescent="0.25">
      <c r="Q92" s="555">
        <v>2012</v>
      </c>
      <c r="R92" s="527">
        <f t="shared" si="57"/>
        <v>1184.352000000001</v>
      </c>
      <c r="S92" s="527">
        <f t="shared" si="58"/>
        <v>89.538999999999987</v>
      </c>
      <c r="T92" s="527">
        <f t="shared" si="59"/>
        <v>1094.813000000001</v>
      </c>
    </row>
    <row r="93" spans="17:20" x14ac:dyDescent="0.25">
      <c r="Q93" s="555">
        <v>2013</v>
      </c>
      <c r="R93" s="527">
        <f t="shared" si="57"/>
        <v>1204.8509999999999</v>
      </c>
      <c r="S93" s="527">
        <f t="shared" si="58"/>
        <v>77.371999999999971</v>
      </c>
      <c r="T93" s="527">
        <f t="shared" si="59"/>
        <v>1127.4789999999998</v>
      </c>
    </row>
    <row r="94" spans="17:20" x14ac:dyDescent="0.25">
      <c r="Q94" s="555">
        <v>2014</v>
      </c>
      <c r="R94" s="527">
        <f t="shared" si="57"/>
        <v>1186.5419999999997</v>
      </c>
      <c r="S94" s="527">
        <f t="shared" si="58"/>
        <v>91.34699999999998</v>
      </c>
      <c r="T94" s="527">
        <f t="shared" si="59"/>
        <v>1095.1949999999997</v>
      </c>
    </row>
    <row r="95" spans="17:20" x14ac:dyDescent="0.25">
      <c r="Q95" s="555">
        <v>2015</v>
      </c>
      <c r="R95" s="527">
        <f t="shared" si="57"/>
        <v>1202.1560000000002</v>
      </c>
      <c r="S95" s="527">
        <f t="shared" si="58"/>
        <v>91.72699999999999</v>
      </c>
      <c r="T95" s="527">
        <f t="shared" si="59"/>
        <v>1110.4290000000001</v>
      </c>
    </row>
    <row r="96" spans="17:20" x14ac:dyDescent="0.25">
      <c r="Q96" s="555">
        <v>2016</v>
      </c>
      <c r="R96" s="527">
        <f t="shared" si="57"/>
        <v>1191.7981000000004</v>
      </c>
      <c r="S96" s="527">
        <f t="shared" si="58"/>
        <v>102.35899999999998</v>
      </c>
      <c r="T96" s="527">
        <f t="shared" si="59"/>
        <v>1089.4391000000005</v>
      </c>
    </row>
    <row r="97" spans="17:20" x14ac:dyDescent="0.25">
      <c r="Q97" s="555">
        <v>2017</v>
      </c>
      <c r="R97" s="527">
        <f t="shared" si="57"/>
        <v>1220.8440999999996</v>
      </c>
      <c r="S97" s="527">
        <f t="shared" si="58"/>
        <v>116.578</v>
      </c>
      <c r="T97" s="527">
        <f t="shared" si="59"/>
        <v>1104.2660999999996</v>
      </c>
    </row>
    <row r="98" spans="17:20" x14ac:dyDescent="0.25">
      <c r="Q98" s="527">
        <v>2018</v>
      </c>
      <c r="R98" s="527">
        <f t="shared" si="57"/>
        <v>1220.6601000000005</v>
      </c>
      <c r="S98" s="527">
        <f t="shared" si="58"/>
        <v>117.36399999999998</v>
      </c>
      <c r="T98" s="527">
        <f t="shared" si="59"/>
        <v>1103.2961000000005</v>
      </c>
    </row>
    <row r="99" spans="17:20" x14ac:dyDescent="0.25">
      <c r="Q99" s="527">
        <v>2019</v>
      </c>
      <c r="R99" s="527">
        <f t="shared" ref="R99:T99" si="60">M31</f>
        <v>1219.6461000000011</v>
      </c>
      <c r="S99" s="527">
        <f t="shared" si="60"/>
        <v>118.37999999999997</v>
      </c>
      <c r="T99" s="527">
        <f t="shared" si="60"/>
        <v>1101.2661000000012</v>
      </c>
    </row>
    <row r="100" spans="17:20" x14ac:dyDescent="0.25">
      <c r="Q100" s="527">
        <v>2020</v>
      </c>
      <c r="R100" s="527">
        <f t="shared" ref="R100:T100" si="61">M32</f>
        <v>1222.0651000000014</v>
      </c>
      <c r="S100" s="527">
        <f t="shared" si="61"/>
        <v>118.35799999999998</v>
      </c>
      <c r="T100" s="527">
        <f t="shared" si="61"/>
        <v>1103.7071000000014</v>
      </c>
    </row>
    <row r="101" spans="17:20" x14ac:dyDescent="0.25">
      <c r="Q101" s="527">
        <v>2021</v>
      </c>
      <c r="R101" s="527">
        <f t="shared" ref="R101:R103" si="62">M33</f>
        <v>1240.292100000001</v>
      </c>
      <c r="S101" s="527">
        <f t="shared" ref="S101:S103" si="63">N33</f>
        <v>117.23199999999999</v>
      </c>
      <c r="T101" s="527">
        <f t="shared" ref="T101:T103" si="64">O33</f>
        <v>1123.0601000000011</v>
      </c>
    </row>
    <row r="102" spans="17:20" x14ac:dyDescent="0.25">
      <c r="Q102" s="527">
        <v>2022</v>
      </c>
      <c r="R102" s="527">
        <f t="shared" si="62"/>
        <v>1278.6921000000007</v>
      </c>
      <c r="S102" s="527">
        <f t="shared" si="63"/>
        <v>116.39599999999997</v>
      </c>
      <c r="T102" s="527">
        <f t="shared" si="64"/>
        <v>1162.2961000000007</v>
      </c>
    </row>
    <row r="103" spans="17:20" x14ac:dyDescent="0.25">
      <c r="Q103" s="527">
        <v>2023</v>
      </c>
      <c r="R103" s="527">
        <f t="shared" si="62"/>
        <v>1273.7503000000008</v>
      </c>
      <c r="S103" s="527">
        <f t="shared" si="63"/>
        <v>117.14099999999998</v>
      </c>
      <c r="T103" s="527">
        <f t="shared" si="64"/>
        <v>1156.6093000000008</v>
      </c>
    </row>
  </sheetData>
  <mergeCells count="2">
    <mergeCell ref="B4:B5"/>
    <mergeCell ref="C4:C5"/>
  </mergeCells>
  <printOptions horizontalCentered="1" verticalCentered="1"/>
  <pageMargins left="0.51181102362204722" right="0.39370078740157483" top="0.39370078740157483" bottom="0.31496062992125984" header="0" footer="0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AF68"/>
  <sheetViews>
    <sheetView showGridLines="0" view="pageBreakPreview" zoomScale="90" zoomScaleNormal="85" zoomScaleSheetLayoutView="90" workbookViewId="0">
      <selection activeCell="S14" sqref="S14"/>
    </sheetView>
  </sheetViews>
  <sheetFormatPr baseColWidth="10" defaultRowHeight="13.5" x14ac:dyDescent="0.25"/>
  <cols>
    <col min="1" max="1" width="4.5703125" style="437" customWidth="1"/>
    <col min="2" max="2" width="11.7109375" style="437" customWidth="1"/>
    <col min="3" max="14" width="11.42578125" style="437"/>
    <col min="15" max="15" width="9.85546875" style="437" customWidth="1"/>
    <col min="16" max="16" width="4.85546875" style="437" customWidth="1"/>
    <col min="17" max="32" width="11" style="437" customWidth="1"/>
    <col min="33" max="16384" width="11.42578125" style="437"/>
  </cols>
  <sheetData>
    <row r="1" spans="1:32" ht="15.75" x14ac:dyDescent="0.25">
      <c r="A1" s="576" t="s">
        <v>47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7"/>
      <c r="P1" s="577"/>
    </row>
    <row r="2" spans="1:32" x14ac:dyDescent="0.25">
      <c r="A2" s="577"/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</row>
    <row r="3" spans="1:32" ht="14.25" thickBot="1" x14ac:dyDescent="0.3">
      <c r="A3" s="577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</row>
    <row r="4" spans="1:32" s="583" customFormat="1" ht="15" customHeight="1" x14ac:dyDescent="0.25">
      <c r="A4" s="578"/>
      <c r="B4" s="579"/>
      <c r="C4" s="580" t="s">
        <v>34</v>
      </c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2"/>
      <c r="P4" s="578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</row>
    <row r="5" spans="1:32" s="583" customFormat="1" ht="15" customHeight="1" x14ac:dyDescent="0.25">
      <c r="A5" s="578"/>
      <c r="B5" s="584" t="s">
        <v>18</v>
      </c>
      <c r="C5" s="585" t="s">
        <v>14</v>
      </c>
      <c r="D5" s="586"/>
      <c r="E5" s="586"/>
      <c r="F5" s="586"/>
      <c r="G5" s="587"/>
      <c r="H5" s="585" t="s">
        <v>15</v>
      </c>
      <c r="I5" s="586"/>
      <c r="J5" s="587"/>
      <c r="K5" s="585" t="s">
        <v>33</v>
      </c>
      <c r="L5" s="586"/>
      <c r="M5" s="586"/>
      <c r="N5" s="586"/>
      <c r="O5" s="588"/>
      <c r="P5" s="578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</row>
    <row r="6" spans="1:32" s="583" customFormat="1" ht="15" customHeight="1" x14ac:dyDescent="0.25">
      <c r="A6" s="578"/>
      <c r="B6" s="589"/>
      <c r="C6" s="590" t="s">
        <v>4</v>
      </c>
      <c r="D6" s="590" t="s">
        <v>5</v>
      </c>
      <c r="E6" s="591" t="s">
        <v>57</v>
      </c>
      <c r="F6" s="591" t="s">
        <v>6</v>
      </c>
      <c r="G6" s="590" t="s">
        <v>0</v>
      </c>
      <c r="H6" s="592" t="s">
        <v>4</v>
      </c>
      <c r="I6" s="590" t="s">
        <v>5</v>
      </c>
      <c r="J6" s="590" t="s">
        <v>0</v>
      </c>
      <c r="K6" s="592" t="s">
        <v>4</v>
      </c>
      <c r="L6" s="590" t="s">
        <v>5</v>
      </c>
      <c r="M6" s="591" t="s">
        <v>57</v>
      </c>
      <c r="N6" s="591" t="s">
        <v>6</v>
      </c>
      <c r="O6" s="593" t="s">
        <v>0</v>
      </c>
      <c r="P6" s="578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</row>
    <row r="7" spans="1:32" x14ac:dyDescent="0.25">
      <c r="A7" s="577"/>
      <c r="B7" s="594">
        <v>1960</v>
      </c>
      <c r="C7" s="595">
        <v>221.8</v>
      </c>
      <c r="D7" s="595">
        <v>126.6</v>
      </c>
      <c r="E7" s="596"/>
      <c r="F7" s="596"/>
      <c r="G7" s="595">
        <f t="shared" ref="G7:G12" si="0">+SUM(C7:F7)</f>
        <v>348.4</v>
      </c>
      <c r="H7" s="597">
        <v>193.7</v>
      </c>
      <c r="I7" s="595">
        <v>236.6</v>
      </c>
      <c r="J7" s="595">
        <f>+SUM(H7:I7)</f>
        <v>430.29999999999995</v>
      </c>
      <c r="K7" s="597">
        <v>415.5</v>
      </c>
      <c r="L7" s="595">
        <v>363.2</v>
      </c>
      <c r="M7" s="596"/>
      <c r="N7" s="596"/>
      <c r="O7" s="598">
        <v>778.7</v>
      </c>
      <c r="P7" s="577"/>
    </row>
    <row r="8" spans="1:32" x14ac:dyDescent="0.25">
      <c r="A8" s="577"/>
      <c r="B8" s="594">
        <v>1970</v>
      </c>
      <c r="C8" s="595">
        <v>681.1</v>
      </c>
      <c r="D8" s="595">
        <v>181.5</v>
      </c>
      <c r="E8" s="596"/>
      <c r="F8" s="596"/>
      <c r="G8" s="595">
        <f t="shared" si="0"/>
        <v>862.6</v>
      </c>
      <c r="H8" s="597">
        <v>241.5</v>
      </c>
      <c r="I8" s="595">
        <v>573</v>
      </c>
      <c r="J8" s="595">
        <f t="shared" ref="J8:J14" si="1">+SUM(H8:I8)</f>
        <v>814.5</v>
      </c>
      <c r="K8" s="597">
        <v>922.6</v>
      </c>
      <c r="L8" s="595">
        <v>754.5</v>
      </c>
      <c r="M8" s="596"/>
      <c r="N8" s="596"/>
      <c r="O8" s="598">
        <v>1677.1</v>
      </c>
      <c r="P8" s="577"/>
    </row>
    <row r="9" spans="1:32" x14ac:dyDescent="0.25">
      <c r="A9" s="577"/>
      <c r="B9" s="594">
        <v>1980</v>
      </c>
      <c r="C9" s="595">
        <v>1613.1</v>
      </c>
      <c r="D9" s="595">
        <v>410.1</v>
      </c>
      <c r="E9" s="596"/>
      <c r="F9" s="596"/>
      <c r="G9" s="595">
        <f t="shared" si="0"/>
        <v>2023.1999999999998</v>
      </c>
      <c r="H9" s="597">
        <v>254.5</v>
      </c>
      <c r="I9" s="595">
        <v>862.5</v>
      </c>
      <c r="J9" s="595">
        <f t="shared" si="1"/>
        <v>1117</v>
      </c>
      <c r="K9" s="597">
        <v>1867.6</v>
      </c>
      <c r="L9" s="595">
        <v>1272.5999999999999</v>
      </c>
      <c r="M9" s="596"/>
      <c r="N9" s="596"/>
      <c r="O9" s="598">
        <v>3140.2</v>
      </c>
      <c r="P9" s="577"/>
    </row>
    <row r="10" spans="1:32" x14ac:dyDescent="0.25">
      <c r="A10" s="577"/>
      <c r="B10" s="594">
        <v>1990</v>
      </c>
      <c r="C10" s="595">
        <v>2119</v>
      </c>
      <c r="D10" s="595">
        <v>722.8</v>
      </c>
      <c r="E10" s="596"/>
      <c r="F10" s="596"/>
      <c r="G10" s="595">
        <f t="shared" si="0"/>
        <v>2841.8</v>
      </c>
      <c r="H10" s="597">
        <v>280.8</v>
      </c>
      <c r="I10" s="595">
        <v>1020.8</v>
      </c>
      <c r="J10" s="595">
        <f t="shared" si="1"/>
        <v>1301.5999999999999</v>
      </c>
      <c r="K10" s="597">
        <v>2399.8000000000002</v>
      </c>
      <c r="L10" s="595">
        <v>1743.6</v>
      </c>
      <c r="M10" s="596"/>
      <c r="N10" s="596"/>
      <c r="O10" s="598">
        <v>4143.3999999999996</v>
      </c>
      <c r="P10" s="577"/>
    </row>
    <row r="11" spans="1:32" x14ac:dyDescent="0.25">
      <c r="A11" s="577"/>
      <c r="B11" s="594">
        <v>2000</v>
      </c>
      <c r="C11" s="595">
        <v>2779.26</v>
      </c>
      <c r="D11" s="595">
        <v>2368.8910000000001</v>
      </c>
      <c r="E11" s="596"/>
      <c r="F11" s="596"/>
      <c r="G11" s="595">
        <f t="shared" si="0"/>
        <v>5148.1509999999998</v>
      </c>
      <c r="H11" s="597">
        <v>77.564999999999998</v>
      </c>
      <c r="I11" s="595">
        <v>839.77300000000014</v>
      </c>
      <c r="J11" s="595">
        <f t="shared" si="1"/>
        <v>917.33800000000019</v>
      </c>
      <c r="K11" s="597">
        <v>2856.8250000000003</v>
      </c>
      <c r="L11" s="595">
        <v>3208.6640000000002</v>
      </c>
      <c r="M11" s="596"/>
      <c r="N11" s="596"/>
      <c r="O11" s="598">
        <v>6066.1890000000003</v>
      </c>
      <c r="P11" s="577"/>
    </row>
    <row r="12" spans="1:32" x14ac:dyDescent="0.25">
      <c r="A12" s="577"/>
      <c r="B12" s="594">
        <v>2010</v>
      </c>
      <c r="C12" s="595">
        <v>3344.7949999999996</v>
      </c>
      <c r="D12" s="595">
        <v>3963.6709999999966</v>
      </c>
      <c r="E12" s="596"/>
      <c r="F12" s="596">
        <v>0.7</v>
      </c>
      <c r="G12" s="595">
        <f t="shared" si="0"/>
        <v>7309.1659999999965</v>
      </c>
      <c r="H12" s="597">
        <v>92.806999999999974</v>
      </c>
      <c r="I12" s="595">
        <v>1210.5840000000007</v>
      </c>
      <c r="J12" s="595">
        <f t="shared" si="1"/>
        <v>1303.3910000000008</v>
      </c>
      <c r="K12" s="597">
        <v>3437.6019999999994</v>
      </c>
      <c r="L12" s="595">
        <v>5174.2549999999974</v>
      </c>
      <c r="M12" s="596"/>
      <c r="N12" s="596">
        <v>0.7</v>
      </c>
      <c r="O12" s="598">
        <v>8612.5569999999971</v>
      </c>
      <c r="P12" s="577"/>
    </row>
    <row r="13" spans="1:32" x14ac:dyDescent="0.25">
      <c r="A13" s="577"/>
      <c r="B13" s="594">
        <v>2020</v>
      </c>
      <c r="C13" s="595">
        <v>5285.680000000003</v>
      </c>
      <c r="D13" s="595">
        <v>7740.3440000000073</v>
      </c>
      <c r="E13" s="596">
        <v>289.03399999999999</v>
      </c>
      <c r="F13" s="596">
        <v>408.98999999999995</v>
      </c>
      <c r="G13" s="595">
        <f>+SUM(C13:F13)</f>
        <v>13724.04800000001</v>
      </c>
      <c r="H13" s="597">
        <v>130.90299999999999</v>
      </c>
      <c r="I13" s="595">
        <v>1332.0190000000009</v>
      </c>
      <c r="J13" s="595">
        <f>+SUM(H13:I13)</f>
        <v>1462.9220000000009</v>
      </c>
      <c r="K13" s="597">
        <f>C13+H13</f>
        <v>5416.5830000000033</v>
      </c>
      <c r="L13" s="595">
        <f>D13+I13</f>
        <v>9072.3630000000085</v>
      </c>
      <c r="M13" s="596">
        <f>+E13</f>
        <v>289.03399999999999</v>
      </c>
      <c r="N13" s="596">
        <f>+F13</f>
        <v>408.98999999999995</v>
      </c>
      <c r="O13" s="598">
        <f>+SUM(K13:N13)</f>
        <v>15186.97000000001</v>
      </c>
      <c r="P13" s="577"/>
    </row>
    <row r="14" spans="1:32" ht="14.25" thickBot="1" x14ac:dyDescent="0.3">
      <c r="A14" s="577"/>
      <c r="B14" s="599">
        <v>2023</v>
      </c>
      <c r="C14" s="600">
        <f>+'10.1 P Inst'!I35</f>
        <v>5399.7990000000109</v>
      </c>
      <c r="D14" s="600">
        <f>+'10.1 P Inst'!J35</f>
        <v>8025.8799999999947</v>
      </c>
      <c r="E14" s="601">
        <f>+'10.1 P Inst'!K35</f>
        <v>401.4409999999998</v>
      </c>
      <c r="F14" s="601">
        <f>+'10.1 P Inst'!L35</f>
        <v>1015.6900000000012</v>
      </c>
      <c r="G14" s="600">
        <f>+SUM(C14:F14)</f>
        <v>14842.810000000007</v>
      </c>
      <c r="H14" s="602">
        <f>+'10.1 P Inst'!N35</f>
        <v>129.90299999999999</v>
      </c>
      <c r="I14" s="600">
        <f>+'10.1 P Inst'!O35</f>
        <v>1390.7390000000064</v>
      </c>
      <c r="J14" s="600">
        <f t="shared" si="1"/>
        <v>1520.6420000000064</v>
      </c>
      <c r="K14" s="602">
        <f>C14+H14</f>
        <v>5529.7020000000111</v>
      </c>
      <c r="L14" s="600">
        <f>D14+I14</f>
        <v>9416.6190000000006</v>
      </c>
      <c r="M14" s="601">
        <f>+E14</f>
        <v>401.4409999999998</v>
      </c>
      <c r="N14" s="601">
        <f>+F14</f>
        <v>1015.6900000000012</v>
      </c>
      <c r="O14" s="603">
        <f>+SUM(K14:N14)</f>
        <v>16363.45200000001</v>
      </c>
      <c r="P14" s="577"/>
      <c r="R14" s="604">
        <f>+O14-'10.1 P Inst'!C35</f>
        <v>0</v>
      </c>
    </row>
    <row r="15" spans="1:32" x14ac:dyDescent="0.25">
      <c r="A15" s="577"/>
      <c r="B15" s="605"/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606"/>
      <c r="O15" s="606"/>
      <c r="P15" s="577"/>
    </row>
    <row r="16" spans="1:32" x14ac:dyDescent="0.25">
      <c r="A16" s="577"/>
      <c r="B16" s="577"/>
      <c r="C16" s="607"/>
      <c r="D16" s="607"/>
      <c r="E16" s="607"/>
      <c r="F16" s="607"/>
      <c r="G16" s="577"/>
      <c r="H16" s="608"/>
      <c r="I16" s="607"/>
      <c r="J16" s="577"/>
      <c r="K16" s="577"/>
      <c r="L16" s="577"/>
      <c r="M16" s="577"/>
      <c r="N16" s="577"/>
      <c r="O16" s="577"/>
      <c r="P16" s="577"/>
    </row>
    <row r="17" spans="1:16" ht="14.25" thickBot="1" x14ac:dyDescent="0.3">
      <c r="A17" s="577"/>
      <c r="B17" s="577"/>
      <c r="C17" s="577"/>
      <c r="D17" s="577"/>
      <c r="E17" s="577"/>
      <c r="F17" s="577"/>
      <c r="G17" s="577"/>
      <c r="H17" s="577"/>
      <c r="I17" s="577"/>
      <c r="J17" s="577"/>
      <c r="K17" s="577"/>
      <c r="L17" s="577"/>
      <c r="M17" s="577"/>
      <c r="N17" s="577"/>
      <c r="O17" s="577"/>
      <c r="P17" s="577"/>
    </row>
    <row r="18" spans="1:16" s="583" customFormat="1" ht="15" customHeight="1" x14ac:dyDescent="0.2">
      <c r="A18" s="578"/>
      <c r="B18" s="579"/>
      <c r="C18" s="580" t="s">
        <v>35</v>
      </c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2"/>
      <c r="P18" s="578"/>
    </row>
    <row r="19" spans="1:16" s="583" customFormat="1" ht="15" customHeight="1" x14ac:dyDescent="0.2">
      <c r="A19" s="578"/>
      <c r="B19" s="584" t="s">
        <v>29</v>
      </c>
      <c r="C19" s="585" t="s">
        <v>14</v>
      </c>
      <c r="D19" s="586"/>
      <c r="E19" s="586"/>
      <c r="F19" s="586"/>
      <c r="G19" s="587"/>
      <c r="H19" s="585" t="s">
        <v>15</v>
      </c>
      <c r="I19" s="586"/>
      <c r="J19" s="587"/>
      <c r="K19" s="585" t="s">
        <v>33</v>
      </c>
      <c r="L19" s="586"/>
      <c r="M19" s="586"/>
      <c r="N19" s="586"/>
      <c r="O19" s="588"/>
      <c r="P19" s="578"/>
    </row>
    <row r="20" spans="1:16" s="583" customFormat="1" ht="15" customHeight="1" x14ac:dyDescent="0.2">
      <c r="B20" s="609"/>
      <c r="C20" s="590" t="s">
        <v>4</v>
      </c>
      <c r="D20" s="590" t="s">
        <v>5</v>
      </c>
      <c r="E20" s="591" t="s">
        <v>57</v>
      </c>
      <c r="F20" s="591" t="s">
        <v>6</v>
      </c>
      <c r="G20" s="610" t="s">
        <v>0</v>
      </c>
      <c r="H20" s="592" t="s">
        <v>4</v>
      </c>
      <c r="I20" s="590" t="s">
        <v>5</v>
      </c>
      <c r="J20" s="610" t="s">
        <v>0</v>
      </c>
      <c r="K20" s="592" t="s">
        <v>4</v>
      </c>
      <c r="L20" s="590" t="s">
        <v>5</v>
      </c>
      <c r="M20" s="591" t="s">
        <v>57</v>
      </c>
      <c r="N20" s="591" t="s">
        <v>6</v>
      </c>
      <c r="O20" s="611" t="s">
        <v>0</v>
      </c>
      <c r="P20" s="578"/>
    </row>
    <row r="21" spans="1:16" x14ac:dyDescent="0.25">
      <c r="A21" s="577"/>
      <c r="B21" s="612" t="s">
        <v>218</v>
      </c>
      <c r="C21" s="613">
        <f>((C14/C7)-1)*100</f>
        <v>2334.5351668169569</v>
      </c>
      <c r="D21" s="613">
        <f>((D14/D7)-1)*100</f>
        <v>6239.5576619273261</v>
      </c>
      <c r="E21" s="613"/>
      <c r="F21" s="613"/>
      <c r="G21" s="613">
        <f>((G14/G7)-1)*100</f>
        <v>4160.2784156142388</v>
      </c>
      <c r="H21" s="613">
        <f t="shared" ref="H21:L21" si="2">((H14/H7)-1)*100</f>
        <v>-32.935983479607643</v>
      </c>
      <c r="I21" s="613">
        <f t="shared" si="2"/>
        <v>487.80177514793166</v>
      </c>
      <c r="J21" s="613">
        <f t="shared" si="2"/>
        <v>253.39112247269503</v>
      </c>
      <c r="K21" s="614">
        <f t="shared" si="2"/>
        <v>1230.8548736462121</v>
      </c>
      <c r="L21" s="613">
        <f t="shared" si="2"/>
        <v>2492.6814427312779</v>
      </c>
      <c r="M21" s="613"/>
      <c r="N21" s="613"/>
      <c r="O21" s="613">
        <f>((O14/O7)-1)*100</f>
        <v>2001.3807628098125</v>
      </c>
      <c r="P21" s="577"/>
    </row>
    <row r="22" spans="1:16" x14ac:dyDescent="0.25">
      <c r="A22" s="577"/>
      <c r="B22" s="615" t="s">
        <v>30</v>
      </c>
      <c r="C22" s="595">
        <f t="shared" ref="C22:F28" si="3">((C8/C7)-1)*100</f>
        <v>207.07844905320107</v>
      </c>
      <c r="D22" s="595">
        <f t="shared" si="3"/>
        <v>43.364928909952603</v>
      </c>
      <c r="E22" s="595"/>
      <c r="F22" s="595"/>
      <c r="G22" s="595">
        <f t="shared" ref="G22:L27" si="4">((G8/G7)-1)*100</f>
        <v>147.58897818599314</v>
      </c>
      <c r="H22" s="595">
        <f t="shared" si="4"/>
        <v>24.677336086732062</v>
      </c>
      <c r="I22" s="595">
        <f t="shared" si="4"/>
        <v>142.18089602704987</v>
      </c>
      <c r="J22" s="595">
        <f t="shared" si="4"/>
        <v>89.286544271438558</v>
      </c>
      <c r="K22" s="595">
        <f t="shared" si="4"/>
        <v>122.04572803850783</v>
      </c>
      <c r="L22" s="595">
        <f t="shared" si="4"/>
        <v>107.73678414096919</v>
      </c>
      <c r="M22" s="595"/>
      <c r="N22" s="595"/>
      <c r="O22" s="595">
        <f t="shared" ref="O22:O28" si="5">((O8/O7)-1)*100</f>
        <v>115.3717734686015</v>
      </c>
      <c r="P22" s="577"/>
    </row>
    <row r="23" spans="1:16" x14ac:dyDescent="0.25">
      <c r="A23" s="577"/>
      <c r="B23" s="615" t="s">
        <v>31</v>
      </c>
      <c r="C23" s="595">
        <f t="shared" si="3"/>
        <v>136.83746880046979</v>
      </c>
      <c r="D23" s="595">
        <f t="shared" si="3"/>
        <v>125.95041322314052</v>
      </c>
      <c r="E23" s="595"/>
      <c r="F23" s="595"/>
      <c r="G23" s="595">
        <f t="shared" si="4"/>
        <v>134.54671922095986</v>
      </c>
      <c r="H23" s="595">
        <f t="shared" si="4"/>
        <v>5.3830227743271175</v>
      </c>
      <c r="I23" s="595">
        <f t="shared" si="4"/>
        <v>50.523560209424076</v>
      </c>
      <c r="J23" s="595">
        <f t="shared" si="4"/>
        <v>37.139349294045431</v>
      </c>
      <c r="K23" s="595">
        <f t="shared" si="4"/>
        <v>102.42792109256449</v>
      </c>
      <c r="L23" s="595">
        <f t="shared" si="4"/>
        <v>68.667992047713696</v>
      </c>
      <c r="M23" s="595"/>
      <c r="N23" s="595"/>
      <c r="O23" s="595">
        <f t="shared" si="5"/>
        <v>87.239878361457272</v>
      </c>
      <c r="P23" s="577"/>
    </row>
    <row r="24" spans="1:16" x14ac:dyDescent="0.25">
      <c r="A24" s="577"/>
      <c r="B24" s="615" t="s">
        <v>32</v>
      </c>
      <c r="C24" s="595">
        <f t="shared" si="3"/>
        <v>31.361973839191638</v>
      </c>
      <c r="D24" s="595">
        <f t="shared" si="3"/>
        <v>76.249695196293573</v>
      </c>
      <c r="E24" s="595"/>
      <c r="F24" s="595"/>
      <c r="G24" s="595">
        <f t="shared" si="4"/>
        <v>40.460656385923308</v>
      </c>
      <c r="H24" s="595">
        <f t="shared" si="4"/>
        <v>10.333988212180746</v>
      </c>
      <c r="I24" s="595">
        <f t="shared" si="4"/>
        <v>18.353623188405788</v>
      </c>
      <c r="J24" s="595">
        <f t="shared" si="4"/>
        <v>16.52641002685764</v>
      </c>
      <c r="K24" s="595">
        <f t="shared" si="4"/>
        <v>28.496466052687964</v>
      </c>
      <c r="L24" s="595">
        <f t="shared" si="4"/>
        <v>37.010843941537019</v>
      </c>
      <c r="M24" s="595"/>
      <c r="N24" s="595"/>
      <c r="O24" s="595">
        <f t="shared" si="5"/>
        <v>31.947009744602251</v>
      </c>
      <c r="P24" s="577"/>
    </row>
    <row r="25" spans="1:16" x14ac:dyDescent="0.25">
      <c r="A25" s="577"/>
      <c r="B25" s="615" t="s">
        <v>37</v>
      </c>
      <c r="C25" s="595">
        <f t="shared" si="3"/>
        <v>31.15903728173668</v>
      </c>
      <c r="D25" s="595">
        <f t="shared" si="3"/>
        <v>227.73810182623134</v>
      </c>
      <c r="E25" s="595"/>
      <c r="F25" s="595"/>
      <c r="G25" s="595">
        <f t="shared" si="4"/>
        <v>81.158104018579749</v>
      </c>
      <c r="H25" s="595">
        <f t="shared" si="4"/>
        <v>-72.377136752136749</v>
      </c>
      <c r="I25" s="595">
        <f t="shared" si="4"/>
        <v>-17.733836206896537</v>
      </c>
      <c r="J25" s="595">
        <f t="shared" si="4"/>
        <v>-29.522280270436362</v>
      </c>
      <c r="K25" s="595">
        <f t="shared" si="4"/>
        <v>19.044295357946496</v>
      </c>
      <c r="L25" s="595">
        <f t="shared" si="4"/>
        <v>84.025235145675637</v>
      </c>
      <c r="M25" s="595"/>
      <c r="N25" s="595"/>
      <c r="O25" s="595">
        <f t="shared" si="5"/>
        <v>46.406067480812887</v>
      </c>
      <c r="P25" s="577"/>
    </row>
    <row r="26" spans="1:16" x14ac:dyDescent="0.25">
      <c r="A26" s="577"/>
      <c r="B26" s="615" t="s">
        <v>55</v>
      </c>
      <c r="C26" s="595">
        <f t="shared" si="3"/>
        <v>20.348402092643347</v>
      </c>
      <c r="D26" s="595">
        <f t="shared" si="3"/>
        <v>67.32179741490836</v>
      </c>
      <c r="E26" s="595"/>
      <c r="F26" s="595"/>
      <c r="G26" s="595">
        <f t="shared" si="4"/>
        <v>41.976527106528081</v>
      </c>
      <c r="H26" s="595">
        <f t="shared" si="4"/>
        <v>19.650615612711885</v>
      </c>
      <c r="I26" s="595">
        <f t="shared" si="4"/>
        <v>44.156099326841968</v>
      </c>
      <c r="J26" s="595">
        <f t="shared" si="4"/>
        <v>42.084051897991849</v>
      </c>
      <c r="K26" s="595">
        <f t="shared" si="4"/>
        <v>20.329456652052503</v>
      </c>
      <c r="L26" s="595">
        <f t="shared" si="4"/>
        <v>61.258860385506139</v>
      </c>
      <c r="M26" s="595"/>
      <c r="N26" s="595"/>
      <c r="O26" s="595">
        <f t="shared" si="5"/>
        <v>41.976403966312233</v>
      </c>
      <c r="P26" s="577"/>
    </row>
    <row r="27" spans="1:16" x14ac:dyDescent="0.25">
      <c r="A27" s="577"/>
      <c r="B27" s="615" t="s">
        <v>313</v>
      </c>
      <c r="C27" s="595">
        <f t="shared" si="3"/>
        <v>58.027024077708901</v>
      </c>
      <c r="D27" s="595">
        <f t="shared" si="3"/>
        <v>95.282201777090322</v>
      </c>
      <c r="E27" s="616" t="s">
        <v>74</v>
      </c>
      <c r="F27" s="616" t="s">
        <v>74</v>
      </c>
      <c r="G27" s="595">
        <f t="shared" si="4"/>
        <v>87.764896843224193</v>
      </c>
      <c r="H27" s="595">
        <f t="shared" si="4"/>
        <v>41.048627797472207</v>
      </c>
      <c r="I27" s="595">
        <f t="shared" si="4"/>
        <v>10.031108952373401</v>
      </c>
      <c r="J27" s="595">
        <f t="shared" si="4"/>
        <v>12.239688627587576</v>
      </c>
      <c r="K27" s="595">
        <f t="shared" si="4"/>
        <v>57.568648144840616</v>
      </c>
      <c r="L27" s="595">
        <f t="shared" si="4"/>
        <v>75.336604013524905</v>
      </c>
      <c r="M27" s="616" t="s">
        <v>74</v>
      </c>
      <c r="N27" s="616" t="s">
        <v>74</v>
      </c>
      <c r="O27" s="595">
        <f t="shared" si="5"/>
        <v>76.335204515918036</v>
      </c>
      <c r="P27" s="577"/>
    </row>
    <row r="28" spans="1:16" ht="14.25" thickBot="1" x14ac:dyDescent="0.3">
      <c r="A28" s="577"/>
      <c r="B28" s="617" t="s">
        <v>330</v>
      </c>
      <c r="C28" s="600">
        <f>((C14/C13)-1)*100</f>
        <v>2.1590221125760145</v>
      </c>
      <c r="D28" s="600">
        <f t="shared" si="3"/>
        <v>3.6889316547169981</v>
      </c>
      <c r="E28" s="601">
        <f t="shared" si="3"/>
        <v>38.890580346948745</v>
      </c>
      <c r="F28" s="601">
        <f t="shared" si="3"/>
        <v>148.34103523313561</v>
      </c>
      <c r="G28" s="600">
        <f>((G14/G13)-1)*100</f>
        <v>8.151836834146863</v>
      </c>
      <c r="H28" s="600">
        <f t="shared" ref="H28:N28" si="6">((H14/H13)-1)*100</f>
        <v>-0.7639244325951311</v>
      </c>
      <c r="I28" s="600">
        <f t="shared" si="6"/>
        <v>4.4083455266032523</v>
      </c>
      <c r="J28" s="600">
        <f t="shared" si="6"/>
        <v>3.9455281963088673</v>
      </c>
      <c r="K28" s="600">
        <f t="shared" si="6"/>
        <v>2.0883830267164338</v>
      </c>
      <c r="L28" s="600">
        <f t="shared" si="6"/>
        <v>3.7945571622298502</v>
      </c>
      <c r="M28" s="601">
        <f t="shared" si="6"/>
        <v>38.890580346948745</v>
      </c>
      <c r="N28" s="601">
        <f t="shared" si="6"/>
        <v>148.34103523313561</v>
      </c>
      <c r="O28" s="600">
        <f t="shared" si="5"/>
        <v>7.7466538749994207</v>
      </c>
      <c r="P28" s="577"/>
    </row>
    <row r="29" spans="1:16" x14ac:dyDescent="0.25">
      <c r="A29" s="577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</row>
    <row r="30" spans="1:16" ht="14.25" thickBot="1" x14ac:dyDescent="0.3">
      <c r="A30" s="577"/>
      <c r="B30" s="577"/>
      <c r="C30" s="577"/>
      <c r="D30" s="577"/>
      <c r="E30" s="577"/>
      <c r="F30" s="577"/>
      <c r="G30" s="577"/>
      <c r="H30" s="577"/>
      <c r="I30" s="577"/>
      <c r="J30" s="577"/>
      <c r="K30" s="577"/>
      <c r="L30" s="577"/>
      <c r="M30" s="577"/>
      <c r="N30" s="577"/>
      <c r="O30" s="577"/>
      <c r="P30" s="577"/>
    </row>
    <row r="31" spans="1:16" s="583" customFormat="1" ht="15" customHeight="1" x14ac:dyDescent="0.2">
      <c r="A31" s="578"/>
      <c r="B31" s="579"/>
      <c r="C31" s="580" t="s">
        <v>36</v>
      </c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2"/>
      <c r="P31" s="578"/>
    </row>
    <row r="32" spans="1:16" s="583" customFormat="1" ht="15" customHeight="1" x14ac:dyDescent="0.2">
      <c r="A32" s="578"/>
      <c r="B32" s="584" t="s">
        <v>29</v>
      </c>
      <c r="C32" s="585" t="s">
        <v>14</v>
      </c>
      <c r="D32" s="586"/>
      <c r="E32" s="586"/>
      <c r="F32" s="586"/>
      <c r="G32" s="587"/>
      <c r="H32" s="585" t="s">
        <v>15</v>
      </c>
      <c r="I32" s="586"/>
      <c r="J32" s="587"/>
      <c r="K32" s="585" t="s">
        <v>33</v>
      </c>
      <c r="L32" s="586"/>
      <c r="M32" s="586"/>
      <c r="N32" s="586"/>
      <c r="O32" s="588"/>
      <c r="P32" s="578"/>
    </row>
    <row r="33" spans="1:16" s="583" customFormat="1" ht="15" customHeight="1" x14ac:dyDescent="0.2">
      <c r="B33" s="589"/>
      <c r="C33" s="590" t="s">
        <v>4</v>
      </c>
      <c r="D33" s="590" t="s">
        <v>5</v>
      </c>
      <c r="E33" s="591"/>
      <c r="F33" s="591"/>
      <c r="G33" s="590" t="s">
        <v>0</v>
      </c>
      <c r="H33" s="592" t="s">
        <v>4</v>
      </c>
      <c r="I33" s="590" t="s">
        <v>5</v>
      </c>
      <c r="J33" s="590" t="s">
        <v>0</v>
      </c>
      <c r="K33" s="592" t="s">
        <v>4</v>
      </c>
      <c r="L33" s="590" t="s">
        <v>5</v>
      </c>
      <c r="M33" s="591" t="s">
        <v>57</v>
      </c>
      <c r="N33" s="591" t="s">
        <v>6</v>
      </c>
      <c r="O33" s="593" t="s">
        <v>0</v>
      </c>
      <c r="P33" s="578"/>
    </row>
    <row r="34" spans="1:16" x14ac:dyDescent="0.25">
      <c r="A34" s="577"/>
      <c r="B34" s="612" t="s">
        <v>218</v>
      </c>
      <c r="C34" s="613">
        <f>(((C14/C7)^(1/54))-1)*100</f>
        <v>6.089980928623473</v>
      </c>
      <c r="D34" s="613">
        <f>(((D14/D7)^(1/54))-1)*100</f>
        <v>7.986996519381595</v>
      </c>
      <c r="E34" s="613"/>
      <c r="F34" s="613"/>
      <c r="G34" s="613">
        <f t="shared" ref="G34:L34" si="7">(((G14/G7)^(1/54))-1)*100</f>
        <v>7.1950614174888017</v>
      </c>
      <c r="H34" s="613">
        <f t="shared" si="7"/>
        <v>-0.73712637691906169</v>
      </c>
      <c r="I34" s="613">
        <f t="shared" si="7"/>
        <v>3.3344224638658826</v>
      </c>
      <c r="J34" s="613">
        <f t="shared" si="7"/>
        <v>2.3653279517420911</v>
      </c>
      <c r="K34" s="614">
        <f t="shared" si="7"/>
        <v>4.9100840991890493</v>
      </c>
      <c r="L34" s="613">
        <f t="shared" si="7"/>
        <v>6.2137005006596135</v>
      </c>
      <c r="M34" s="613"/>
      <c r="N34" s="613"/>
      <c r="O34" s="613">
        <f>(((O14/O7)^(1/54))-1)*100</f>
        <v>5.8012573076546836</v>
      </c>
      <c r="P34" s="577"/>
    </row>
    <row r="35" spans="1:16" x14ac:dyDescent="0.25">
      <c r="A35" s="577"/>
      <c r="B35" s="615" t="s">
        <v>30</v>
      </c>
      <c r="C35" s="595">
        <f t="shared" ref="C35:D40" si="8">(((C8/C7)^(1/10))-1)*100</f>
        <v>11.87290971639332</v>
      </c>
      <c r="D35" s="595">
        <f t="shared" si="8"/>
        <v>3.6678979101702813</v>
      </c>
      <c r="E35" s="595"/>
      <c r="F35" s="595"/>
      <c r="G35" s="595">
        <f t="shared" ref="G35:L40" si="9">(((G8/G7)^(1/10))-1)*100</f>
        <v>9.4896659493988835</v>
      </c>
      <c r="H35" s="595">
        <f t="shared" si="9"/>
        <v>2.2300919546113018</v>
      </c>
      <c r="I35" s="595">
        <f t="shared" si="9"/>
        <v>9.2481240329476133</v>
      </c>
      <c r="J35" s="595">
        <f t="shared" si="9"/>
        <v>6.5888985160151847</v>
      </c>
      <c r="K35" s="595">
        <f t="shared" si="9"/>
        <v>8.3039365235490372</v>
      </c>
      <c r="L35" s="595">
        <f t="shared" si="9"/>
        <v>7.5849049304861138</v>
      </c>
      <c r="M35" s="595"/>
      <c r="N35" s="595"/>
      <c r="O35" s="595">
        <f t="shared" ref="O35:O40" si="10">(((O8/O7)^(1/10))-1)*100</f>
        <v>7.9739224058927194</v>
      </c>
      <c r="P35" s="577"/>
    </row>
    <row r="36" spans="1:16" x14ac:dyDescent="0.25">
      <c r="A36" s="577"/>
      <c r="B36" s="615" t="s">
        <v>31</v>
      </c>
      <c r="C36" s="595">
        <f t="shared" si="8"/>
        <v>9.0046540922604112</v>
      </c>
      <c r="D36" s="595">
        <f t="shared" si="8"/>
        <v>8.4928990025219022</v>
      </c>
      <c r="E36" s="595"/>
      <c r="F36" s="595"/>
      <c r="G36" s="595">
        <f t="shared" si="9"/>
        <v>8.8987604161468568</v>
      </c>
      <c r="H36" s="595">
        <f t="shared" si="9"/>
        <v>0.52569055831139799</v>
      </c>
      <c r="I36" s="595">
        <f t="shared" si="9"/>
        <v>4.1742657666295147</v>
      </c>
      <c r="J36" s="595">
        <f t="shared" si="9"/>
        <v>3.2086763931798545</v>
      </c>
      <c r="K36" s="595">
        <f t="shared" si="9"/>
        <v>7.3067499776836131</v>
      </c>
      <c r="L36" s="595">
        <f t="shared" si="9"/>
        <v>5.3666730617605518</v>
      </c>
      <c r="M36" s="616"/>
      <c r="N36" s="616"/>
      <c r="O36" s="595">
        <f t="shared" si="10"/>
        <v>6.4730843466311416</v>
      </c>
      <c r="P36" s="577"/>
    </row>
    <row r="37" spans="1:16" x14ac:dyDescent="0.25">
      <c r="A37" s="577"/>
      <c r="B37" s="615" t="s">
        <v>32</v>
      </c>
      <c r="C37" s="595">
        <f t="shared" si="8"/>
        <v>2.7654117229987563</v>
      </c>
      <c r="D37" s="595">
        <f t="shared" si="8"/>
        <v>5.8309848071778081</v>
      </c>
      <c r="E37" s="595"/>
      <c r="F37" s="595"/>
      <c r="G37" s="595">
        <f t="shared" si="9"/>
        <v>3.4559491234440909</v>
      </c>
      <c r="H37" s="595">
        <f t="shared" si="9"/>
        <v>0.98826981028465877</v>
      </c>
      <c r="I37" s="595">
        <f t="shared" si="9"/>
        <v>1.699344983130735</v>
      </c>
      <c r="J37" s="595">
        <f t="shared" si="9"/>
        <v>1.5412339370527661</v>
      </c>
      <c r="K37" s="595">
        <f t="shared" si="9"/>
        <v>2.5390095992125161</v>
      </c>
      <c r="L37" s="595">
        <f t="shared" si="9"/>
        <v>3.1990012246224886</v>
      </c>
      <c r="M37" s="616"/>
      <c r="N37" s="616"/>
      <c r="O37" s="595">
        <f t="shared" si="10"/>
        <v>2.8110880337577582</v>
      </c>
      <c r="P37" s="577"/>
    </row>
    <row r="38" spans="1:16" x14ac:dyDescent="0.25">
      <c r="A38" s="577"/>
      <c r="B38" s="615" t="s">
        <v>37</v>
      </c>
      <c r="C38" s="595">
        <f t="shared" si="8"/>
        <v>2.7495248034067998</v>
      </c>
      <c r="D38" s="595">
        <f t="shared" si="8"/>
        <v>12.603708387038349</v>
      </c>
      <c r="E38" s="595"/>
      <c r="F38" s="595"/>
      <c r="G38" s="595">
        <f t="shared" si="9"/>
        <v>6.1220856397987911</v>
      </c>
      <c r="H38" s="595">
        <f t="shared" si="9"/>
        <v>-12.072065905708151</v>
      </c>
      <c r="I38" s="595">
        <f t="shared" si="9"/>
        <v>-1.9331728027822681</v>
      </c>
      <c r="J38" s="595">
        <f t="shared" si="9"/>
        <v>-3.4382374388462811</v>
      </c>
      <c r="K38" s="595">
        <f t="shared" si="9"/>
        <v>1.7585380421311969</v>
      </c>
      <c r="L38" s="595">
        <f t="shared" si="9"/>
        <v>6.2888573267164682</v>
      </c>
      <c r="M38" s="616"/>
      <c r="N38" s="616"/>
      <c r="O38" s="595">
        <f t="shared" si="10"/>
        <v>3.8857327879979531</v>
      </c>
      <c r="P38" s="577"/>
    </row>
    <row r="39" spans="1:16" x14ac:dyDescent="0.25">
      <c r="A39" s="577"/>
      <c r="B39" s="615" t="s">
        <v>55</v>
      </c>
      <c r="C39" s="595">
        <f t="shared" si="8"/>
        <v>1.8694667612960458</v>
      </c>
      <c r="D39" s="595">
        <f t="shared" si="8"/>
        <v>5.2822728830636434</v>
      </c>
      <c r="E39" s="595"/>
      <c r="F39" s="595"/>
      <c r="G39" s="595">
        <f t="shared" si="9"/>
        <v>3.5670616546810141</v>
      </c>
      <c r="H39" s="595">
        <f t="shared" si="9"/>
        <v>1.8102476241656174</v>
      </c>
      <c r="I39" s="595">
        <f t="shared" si="9"/>
        <v>3.7249662608955347</v>
      </c>
      <c r="J39" s="595">
        <f t="shared" si="9"/>
        <v>3.5749025517304522</v>
      </c>
      <c r="K39" s="595">
        <f t="shared" si="9"/>
        <v>1.867863002019976</v>
      </c>
      <c r="L39" s="595">
        <f t="shared" si="9"/>
        <v>4.8944134072639978</v>
      </c>
      <c r="M39" s="616"/>
      <c r="N39" s="616"/>
      <c r="O39" s="595">
        <f t="shared" si="10"/>
        <v>3.5670526720163576</v>
      </c>
      <c r="P39" s="577"/>
    </row>
    <row r="40" spans="1:16" x14ac:dyDescent="0.25">
      <c r="A40" s="577"/>
      <c r="B40" s="615" t="s">
        <v>313</v>
      </c>
      <c r="C40" s="595">
        <f t="shared" si="8"/>
        <v>4.6822711005887196</v>
      </c>
      <c r="D40" s="595">
        <f t="shared" si="8"/>
        <v>6.9218012128178685</v>
      </c>
      <c r="E40" s="595"/>
      <c r="F40" s="595"/>
      <c r="G40" s="595">
        <f t="shared" si="9"/>
        <v>6.5029016739167611</v>
      </c>
      <c r="H40" s="595">
        <f t="shared" si="9"/>
        <v>3.4991746503681753</v>
      </c>
      <c r="I40" s="595">
        <f t="shared" si="9"/>
        <v>0.96051308437834493</v>
      </c>
      <c r="J40" s="595">
        <f t="shared" si="9"/>
        <v>1.1613567417215753</v>
      </c>
      <c r="K40" s="595">
        <f t="shared" si="9"/>
        <v>4.6518670722357713</v>
      </c>
      <c r="L40" s="595">
        <f t="shared" si="9"/>
        <v>5.7760290455197261</v>
      </c>
      <c r="M40" s="616"/>
      <c r="N40" s="616"/>
      <c r="O40" s="595">
        <f t="shared" si="10"/>
        <v>5.8361181836581233</v>
      </c>
      <c r="P40" s="577"/>
    </row>
    <row r="41" spans="1:16" ht="14.25" thickBot="1" x14ac:dyDescent="0.3">
      <c r="A41" s="577"/>
      <c r="B41" s="617" t="s">
        <v>330</v>
      </c>
      <c r="C41" s="600">
        <f t="shared" ref="C41:O41" si="11">(((C14/C13)^(1/2))-1)*100</f>
        <v>1.0737463996343788</v>
      </c>
      <c r="D41" s="600">
        <f t="shared" si="11"/>
        <v>1.8277622530894044</v>
      </c>
      <c r="E41" s="601">
        <f t="shared" si="11"/>
        <v>17.851847820451571</v>
      </c>
      <c r="F41" s="601">
        <f t="shared" si="11"/>
        <v>57.588399075926787</v>
      </c>
      <c r="G41" s="600">
        <f t="shared" si="11"/>
        <v>3.9960753269789873</v>
      </c>
      <c r="H41" s="600">
        <f t="shared" si="11"/>
        <v>-0.38269449166732361</v>
      </c>
      <c r="I41" s="600">
        <f t="shared" si="11"/>
        <v>2.1804019989172252</v>
      </c>
      <c r="J41" s="600">
        <f t="shared" si="11"/>
        <v>1.9536797748413104</v>
      </c>
      <c r="K41" s="600">
        <f t="shared" si="11"/>
        <v>1.0387960274252483</v>
      </c>
      <c r="L41" s="600">
        <f t="shared" si="11"/>
        <v>1.8796138401740548</v>
      </c>
      <c r="M41" s="601">
        <f t="shared" si="11"/>
        <v>17.851847820451571</v>
      </c>
      <c r="N41" s="601">
        <f t="shared" si="11"/>
        <v>57.588399075926787</v>
      </c>
      <c r="O41" s="600">
        <f t="shared" si="11"/>
        <v>3.8010856759212341</v>
      </c>
      <c r="P41" s="577"/>
    </row>
    <row r="42" spans="1:16" x14ac:dyDescent="0.25">
      <c r="A42" s="577"/>
      <c r="B42" s="577"/>
      <c r="C42" s="577"/>
      <c r="D42" s="577"/>
      <c r="E42" s="577"/>
      <c r="F42" s="577"/>
      <c r="G42" s="577"/>
      <c r="H42" s="577"/>
      <c r="I42" s="577"/>
      <c r="J42" s="577"/>
      <c r="K42" s="577"/>
      <c r="L42" s="577"/>
      <c r="M42" s="577"/>
      <c r="N42" s="577"/>
      <c r="O42" s="577"/>
      <c r="P42" s="577"/>
    </row>
    <row r="43" spans="1:16" x14ac:dyDescent="0.25">
      <c r="A43" s="577"/>
      <c r="B43" s="577"/>
      <c r="C43" s="577"/>
      <c r="D43" s="577"/>
      <c r="E43" s="577"/>
      <c r="F43" s="577"/>
      <c r="G43" s="577"/>
      <c r="H43" s="577"/>
      <c r="I43" s="577"/>
      <c r="J43" s="577"/>
      <c r="K43" s="577"/>
      <c r="L43" s="577"/>
      <c r="M43" s="577"/>
      <c r="N43" s="577"/>
      <c r="O43" s="577"/>
      <c r="P43" s="577"/>
    </row>
    <row r="44" spans="1:16" x14ac:dyDescent="0.25">
      <c r="A44" s="577"/>
      <c r="B44" s="577"/>
      <c r="C44" s="577"/>
      <c r="D44" s="577"/>
      <c r="E44" s="577"/>
      <c r="F44" s="577"/>
      <c r="G44" s="577"/>
      <c r="H44" s="577"/>
      <c r="I44" s="577"/>
      <c r="J44" s="577"/>
      <c r="K44" s="577"/>
      <c r="L44" s="577"/>
      <c r="M44" s="577"/>
      <c r="N44" s="577"/>
      <c r="O44" s="577"/>
      <c r="P44" s="577"/>
    </row>
    <row r="45" spans="1:16" x14ac:dyDescent="0.25">
      <c r="A45" s="577"/>
      <c r="B45" s="577"/>
      <c r="C45" s="577"/>
      <c r="D45" s="577"/>
      <c r="E45" s="577"/>
      <c r="F45" s="577"/>
      <c r="G45" s="577"/>
      <c r="H45" s="577"/>
      <c r="I45" s="577"/>
      <c r="J45" s="577"/>
      <c r="K45" s="577"/>
      <c r="L45" s="577"/>
      <c r="M45" s="577"/>
      <c r="N45" s="577"/>
      <c r="O45" s="577"/>
      <c r="P45" s="577"/>
    </row>
    <row r="46" spans="1:16" x14ac:dyDescent="0.25">
      <c r="A46" s="577"/>
      <c r="B46" s="577"/>
      <c r="C46" s="577"/>
      <c r="D46" s="577"/>
      <c r="E46" s="577"/>
      <c r="F46" s="577"/>
      <c r="G46" s="577"/>
      <c r="H46" s="577"/>
      <c r="I46" s="577"/>
      <c r="J46" s="577"/>
      <c r="K46" s="577"/>
      <c r="L46" s="577"/>
      <c r="M46" s="577"/>
      <c r="N46" s="577"/>
      <c r="O46" s="577"/>
      <c r="P46" s="577"/>
    </row>
    <row r="47" spans="1:16" x14ac:dyDescent="0.25">
      <c r="A47" s="577"/>
      <c r="B47" s="577"/>
      <c r="C47" s="577"/>
      <c r="D47" s="577"/>
      <c r="E47" s="577"/>
      <c r="F47" s="577"/>
      <c r="G47" s="577"/>
      <c r="H47" s="577"/>
      <c r="I47" s="577"/>
      <c r="J47" s="577"/>
      <c r="K47" s="577"/>
      <c r="L47" s="577"/>
      <c r="M47" s="577"/>
      <c r="N47" s="577"/>
      <c r="O47" s="577"/>
      <c r="P47" s="577"/>
    </row>
    <row r="48" spans="1:16" x14ac:dyDescent="0.25">
      <c r="A48" s="577"/>
      <c r="B48" s="577"/>
      <c r="C48" s="577"/>
      <c r="D48" s="577"/>
      <c r="E48" s="577"/>
      <c r="F48" s="577"/>
      <c r="G48" s="577"/>
      <c r="H48" s="577"/>
      <c r="I48" s="577"/>
      <c r="J48" s="577"/>
      <c r="K48" s="577"/>
      <c r="L48" s="577"/>
      <c r="M48" s="577"/>
      <c r="N48" s="577"/>
      <c r="O48" s="577"/>
      <c r="P48" s="577"/>
    </row>
    <row r="49" spans="1:16" x14ac:dyDescent="0.25">
      <c r="A49" s="577"/>
      <c r="B49" s="577"/>
      <c r="C49" s="577"/>
      <c r="D49" s="577"/>
      <c r="E49" s="577"/>
      <c r="F49" s="577"/>
      <c r="G49" s="577"/>
      <c r="H49" s="577"/>
      <c r="I49" s="577"/>
      <c r="J49" s="577"/>
      <c r="K49" s="577"/>
      <c r="L49" s="577"/>
      <c r="M49" s="577"/>
      <c r="N49" s="577"/>
      <c r="O49" s="577"/>
      <c r="P49" s="577"/>
    </row>
    <row r="50" spans="1:16" x14ac:dyDescent="0.25">
      <c r="A50" s="577"/>
      <c r="B50" s="577"/>
      <c r="C50" s="577"/>
      <c r="D50" s="577"/>
      <c r="E50" s="577"/>
      <c r="F50" s="577"/>
      <c r="G50" s="577"/>
      <c r="H50" s="577"/>
      <c r="I50" s="577"/>
      <c r="J50" s="577"/>
      <c r="K50" s="577"/>
      <c r="L50" s="577"/>
      <c r="M50" s="577"/>
      <c r="N50" s="577"/>
      <c r="O50" s="577"/>
      <c r="P50" s="577"/>
    </row>
    <row r="51" spans="1:16" x14ac:dyDescent="0.25">
      <c r="A51" s="577"/>
      <c r="B51" s="577"/>
      <c r="C51" s="577"/>
      <c r="D51" s="577"/>
      <c r="E51" s="577"/>
      <c r="F51" s="577"/>
      <c r="G51" s="577"/>
      <c r="H51" s="577"/>
      <c r="I51" s="577"/>
      <c r="J51" s="577"/>
      <c r="K51" s="577"/>
      <c r="L51" s="577"/>
      <c r="M51" s="577"/>
      <c r="N51" s="577"/>
      <c r="O51" s="577"/>
      <c r="P51" s="577"/>
    </row>
    <row r="52" spans="1:16" x14ac:dyDescent="0.25">
      <c r="A52" s="577"/>
      <c r="B52" s="577"/>
      <c r="C52" s="577"/>
      <c r="D52" s="577"/>
      <c r="E52" s="577"/>
      <c r="F52" s="577"/>
      <c r="G52" s="577"/>
      <c r="H52" s="577"/>
      <c r="I52" s="577"/>
      <c r="J52" s="577"/>
      <c r="K52" s="577"/>
      <c r="L52" s="577"/>
      <c r="M52" s="577"/>
      <c r="N52" s="577"/>
      <c r="O52" s="577"/>
      <c r="P52" s="577"/>
    </row>
    <row r="53" spans="1:16" x14ac:dyDescent="0.25">
      <c r="A53" s="577"/>
      <c r="B53" s="577"/>
      <c r="C53" s="577"/>
      <c r="D53" s="577"/>
      <c r="E53" s="577"/>
      <c r="F53" s="577"/>
      <c r="G53" s="577"/>
      <c r="H53" s="577"/>
      <c r="I53" s="577"/>
      <c r="J53" s="577"/>
      <c r="K53" s="577"/>
      <c r="L53" s="577"/>
      <c r="M53" s="577"/>
      <c r="N53" s="577"/>
      <c r="O53" s="577"/>
      <c r="P53" s="577"/>
    </row>
    <row r="54" spans="1:16" x14ac:dyDescent="0.25">
      <c r="A54" s="577"/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7"/>
      <c r="N54" s="577"/>
      <c r="O54" s="577"/>
      <c r="P54" s="577"/>
    </row>
    <row r="55" spans="1:16" x14ac:dyDescent="0.25">
      <c r="A55" s="577"/>
      <c r="B55" s="577"/>
      <c r="C55" s="577"/>
      <c r="D55" s="577"/>
      <c r="E55" s="577"/>
      <c r="F55" s="577"/>
      <c r="G55" s="577"/>
      <c r="H55" s="577"/>
      <c r="I55" s="577"/>
      <c r="J55" s="577"/>
      <c r="K55" s="577"/>
      <c r="L55" s="577"/>
      <c r="M55" s="577"/>
      <c r="N55" s="577"/>
      <c r="O55" s="577"/>
      <c r="P55" s="577"/>
    </row>
    <row r="56" spans="1:16" x14ac:dyDescent="0.25">
      <c r="A56" s="577"/>
      <c r="B56" s="577"/>
      <c r="C56" s="577"/>
      <c r="D56" s="577"/>
      <c r="E56" s="577"/>
      <c r="F56" s="577"/>
      <c r="G56" s="577"/>
      <c r="H56" s="577"/>
      <c r="I56" s="577"/>
      <c r="J56" s="577"/>
      <c r="K56" s="577"/>
      <c r="L56" s="577"/>
      <c r="M56" s="577"/>
      <c r="N56" s="577"/>
      <c r="O56" s="577"/>
      <c r="P56" s="577"/>
    </row>
    <row r="57" spans="1:16" x14ac:dyDescent="0.25">
      <c r="A57" s="577"/>
      <c r="B57" s="577"/>
      <c r="C57" s="577"/>
      <c r="D57" s="577"/>
      <c r="E57" s="577"/>
      <c r="F57" s="577"/>
      <c r="G57" s="577"/>
      <c r="H57" s="577"/>
      <c r="I57" s="577"/>
      <c r="J57" s="577"/>
      <c r="K57" s="577"/>
      <c r="L57" s="577"/>
      <c r="M57" s="577"/>
      <c r="N57" s="577"/>
      <c r="O57" s="577"/>
      <c r="P57" s="577"/>
    </row>
    <row r="58" spans="1:16" x14ac:dyDescent="0.25">
      <c r="A58" s="577"/>
      <c r="B58" s="577"/>
      <c r="C58" s="577"/>
      <c r="D58" s="577"/>
      <c r="E58" s="577"/>
      <c r="F58" s="577"/>
      <c r="G58" s="577"/>
      <c r="H58" s="577"/>
      <c r="I58" s="577"/>
      <c r="J58" s="577"/>
      <c r="K58" s="577"/>
      <c r="L58" s="577"/>
      <c r="M58" s="577"/>
      <c r="N58" s="577"/>
      <c r="O58" s="577"/>
      <c r="P58" s="577"/>
    </row>
    <row r="59" spans="1:16" x14ac:dyDescent="0.25">
      <c r="A59" s="577"/>
      <c r="B59" s="577"/>
      <c r="C59" s="577"/>
      <c r="D59" s="577"/>
      <c r="E59" s="577"/>
      <c r="F59" s="577"/>
      <c r="G59" s="577"/>
      <c r="H59" s="577"/>
      <c r="I59" s="577"/>
      <c r="J59" s="577"/>
      <c r="K59" s="577"/>
      <c r="L59" s="577"/>
      <c r="M59" s="577"/>
      <c r="N59" s="577"/>
      <c r="O59" s="577"/>
      <c r="P59" s="577"/>
    </row>
    <row r="60" spans="1:16" x14ac:dyDescent="0.25">
      <c r="A60" s="577"/>
      <c r="B60" s="577"/>
      <c r="C60" s="577"/>
      <c r="D60" s="577"/>
      <c r="E60" s="577"/>
      <c r="F60" s="577"/>
      <c r="G60" s="577"/>
      <c r="H60" s="577"/>
      <c r="I60" s="577"/>
      <c r="J60" s="577"/>
      <c r="K60" s="577"/>
      <c r="L60" s="577"/>
      <c r="M60" s="577"/>
      <c r="N60" s="577"/>
      <c r="O60" s="577"/>
      <c r="P60" s="577"/>
    </row>
    <row r="61" spans="1:16" x14ac:dyDescent="0.25">
      <c r="A61" s="577"/>
      <c r="B61" s="577"/>
      <c r="C61" s="577"/>
      <c r="D61" s="577"/>
      <c r="E61" s="577"/>
      <c r="F61" s="577"/>
      <c r="G61" s="577"/>
      <c r="H61" s="577"/>
      <c r="I61" s="577"/>
      <c r="J61" s="577"/>
      <c r="K61" s="577"/>
      <c r="L61" s="577"/>
      <c r="M61" s="577"/>
      <c r="N61" s="577"/>
      <c r="O61" s="577"/>
      <c r="P61" s="577"/>
    </row>
    <row r="62" spans="1:16" x14ac:dyDescent="0.25">
      <c r="A62" s="577"/>
      <c r="B62" s="577"/>
      <c r="C62" s="577"/>
      <c r="D62" s="577"/>
      <c r="E62" s="577"/>
      <c r="F62" s="577"/>
      <c r="G62" s="577"/>
      <c r="H62" s="577"/>
      <c r="I62" s="577"/>
      <c r="J62" s="577"/>
      <c r="K62" s="577"/>
      <c r="L62" s="577"/>
      <c r="M62" s="577"/>
      <c r="N62" s="577"/>
      <c r="O62" s="577"/>
      <c r="P62" s="577"/>
    </row>
    <row r="63" spans="1:16" x14ac:dyDescent="0.25">
      <c r="A63" s="577"/>
      <c r="B63" s="577"/>
      <c r="C63" s="577"/>
      <c r="D63" s="577"/>
      <c r="E63" s="577"/>
      <c r="F63" s="577"/>
      <c r="G63" s="577"/>
      <c r="H63" s="577"/>
      <c r="I63" s="577"/>
      <c r="J63" s="577"/>
      <c r="K63" s="577"/>
      <c r="L63" s="577"/>
      <c r="M63" s="577"/>
      <c r="N63" s="577"/>
      <c r="O63" s="577"/>
      <c r="P63" s="577"/>
    </row>
    <row r="64" spans="1:16" x14ac:dyDescent="0.25">
      <c r="A64" s="577"/>
      <c r="B64" s="577"/>
      <c r="C64" s="577"/>
      <c r="D64" s="577"/>
      <c r="E64" s="577"/>
      <c r="F64" s="577"/>
      <c r="G64" s="577"/>
      <c r="H64" s="577"/>
      <c r="I64" s="577"/>
      <c r="J64" s="577"/>
      <c r="K64" s="577"/>
      <c r="L64" s="577"/>
      <c r="M64" s="577"/>
      <c r="N64" s="577"/>
      <c r="O64" s="577"/>
      <c r="P64" s="577"/>
    </row>
    <row r="65" spans="1:16" x14ac:dyDescent="0.25">
      <c r="A65" s="577"/>
      <c r="B65" s="577"/>
      <c r="C65" s="577"/>
      <c r="D65" s="577"/>
      <c r="E65" s="577"/>
      <c r="F65" s="577"/>
      <c r="G65" s="577"/>
      <c r="H65" s="577"/>
      <c r="I65" s="577"/>
      <c r="J65" s="577"/>
      <c r="K65" s="577"/>
      <c r="L65" s="577"/>
      <c r="M65" s="577"/>
      <c r="N65" s="577"/>
      <c r="O65" s="577"/>
      <c r="P65" s="577"/>
    </row>
    <row r="66" spans="1:16" x14ac:dyDescent="0.25">
      <c r="A66" s="577"/>
      <c r="B66" s="577"/>
      <c r="C66" s="577"/>
      <c r="D66" s="577"/>
      <c r="E66" s="577"/>
      <c r="F66" s="577"/>
      <c r="G66" s="577"/>
      <c r="H66" s="577"/>
      <c r="I66" s="577"/>
      <c r="J66" s="577"/>
      <c r="K66" s="577"/>
      <c r="L66" s="577"/>
      <c r="M66" s="577"/>
      <c r="N66" s="577"/>
      <c r="O66" s="577"/>
      <c r="P66" s="577"/>
    </row>
    <row r="67" spans="1:16" x14ac:dyDescent="0.25">
      <c r="A67" s="577"/>
      <c r="B67" s="577"/>
      <c r="C67" s="577"/>
      <c r="D67" s="577"/>
      <c r="E67" s="577"/>
      <c r="F67" s="577"/>
      <c r="G67" s="577"/>
      <c r="H67" s="577"/>
      <c r="I67" s="577"/>
      <c r="J67" s="577"/>
      <c r="K67" s="577"/>
      <c r="L67" s="577"/>
      <c r="M67" s="577"/>
      <c r="N67" s="577"/>
      <c r="O67" s="577"/>
      <c r="P67" s="577"/>
    </row>
    <row r="68" spans="1:16" x14ac:dyDescent="0.25">
      <c r="A68" s="577"/>
      <c r="B68" s="577"/>
      <c r="C68" s="577"/>
      <c r="D68" s="577"/>
      <c r="E68" s="577"/>
      <c r="F68" s="577"/>
      <c r="G68" s="577"/>
      <c r="H68" s="577"/>
      <c r="I68" s="577"/>
      <c r="J68" s="577"/>
      <c r="K68" s="577"/>
      <c r="L68" s="577"/>
      <c r="M68" s="577"/>
      <c r="N68" s="577"/>
      <c r="O68" s="577"/>
      <c r="P68" s="577"/>
    </row>
  </sheetData>
  <mergeCells count="13">
    <mergeCell ref="C32:G32"/>
    <mergeCell ref="H32:J32"/>
    <mergeCell ref="K32:O32"/>
    <mergeCell ref="H5:J5"/>
    <mergeCell ref="K5:O5"/>
    <mergeCell ref="C5:G5"/>
    <mergeCell ref="A1:N1"/>
    <mergeCell ref="C4:O4"/>
    <mergeCell ref="C18:O18"/>
    <mergeCell ref="C31:O31"/>
    <mergeCell ref="C19:G19"/>
    <mergeCell ref="H19:J19"/>
    <mergeCell ref="K19:O19"/>
  </mergeCells>
  <phoneticPr fontId="0" type="noConversion"/>
  <pageMargins left="0.87" right="0.75" top="0.78" bottom="1" header="0" footer="0"/>
  <pageSetup paperSize="9" scale="51" orientation="portrait" r:id="rId1"/>
  <headerFooter alignWithMargins="0"/>
  <ignoredErrors>
    <ignoredError sqref="G13:G14 G7:G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14"/>
  <sheetViews>
    <sheetView showGridLines="0" view="pageBreakPreview" zoomScale="90" zoomScaleNormal="85" zoomScaleSheetLayoutView="90" workbookViewId="0">
      <selection activeCell="A32" sqref="A32:XFD32"/>
    </sheetView>
  </sheetViews>
  <sheetFormatPr baseColWidth="10" defaultColWidth="11.42578125" defaultRowHeight="13.5" x14ac:dyDescent="0.25"/>
  <cols>
    <col min="1" max="1" width="2.85546875" style="526" customWidth="1"/>
    <col min="2" max="2" width="22.140625" style="526" customWidth="1"/>
    <col min="3" max="3" width="10.5703125" style="526" customWidth="1"/>
    <col min="4" max="4" width="9.7109375" style="526" customWidth="1"/>
    <col min="5" max="6" width="9.5703125" style="526" customWidth="1"/>
    <col min="7" max="7" width="8.7109375" style="526" customWidth="1"/>
    <col min="8" max="8" width="9.85546875" style="526" bestFit="1" customWidth="1"/>
    <col min="9" max="9" width="10.85546875" style="526" customWidth="1"/>
    <col min="10" max="10" width="9.85546875" style="526" bestFit="1" customWidth="1"/>
    <col min="11" max="11" width="9.28515625" style="526" customWidth="1"/>
    <col min="12" max="13" width="8.7109375" style="526" bestFit="1" customWidth="1"/>
    <col min="14" max="14" width="9.5703125" style="526" customWidth="1"/>
    <col min="15" max="15" width="8.85546875" style="526" customWidth="1"/>
    <col min="16" max="17" width="11.42578125" style="527"/>
    <col min="18" max="18" width="13.7109375" style="527" bestFit="1" customWidth="1"/>
    <col min="19" max="19" width="14.28515625" style="527" bestFit="1" customWidth="1"/>
    <col min="20" max="20" width="13.7109375" style="527" bestFit="1" customWidth="1"/>
    <col min="21" max="22" width="11.5703125" style="527" customWidth="1"/>
    <col min="23" max="23" width="11.42578125" style="527"/>
    <col min="24" max="24" width="11.42578125" style="526"/>
    <col min="25" max="25" width="17" style="526" bestFit="1" customWidth="1"/>
    <col min="26" max="26" width="13.42578125" style="526" bestFit="1" customWidth="1"/>
    <col min="27" max="16384" width="11.42578125" style="526"/>
  </cols>
  <sheetData>
    <row r="1" spans="1:25" ht="15.75" x14ac:dyDescent="0.25">
      <c r="A1" s="618" t="s">
        <v>48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</row>
    <row r="2" spans="1:25" ht="15" customHeight="1" x14ac:dyDescent="0.3">
      <c r="A2" s="619"/>
      <c r="B2" s="620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</row>
    <row r="3" spans="1:25" ht="11.25" customHeight="1" thickBot="1" x14ac:dyDescent="0.3">
      <c r="A3" s="619"/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</row>
    <row r="4" spans="1:25" ht="15" customHeight="1" x14ac:dyDescent="0.25">
      <c r="A4" s="619"/>
      <c r="B4" s="439" t="s">
        <v>18</v>
      </c>
      <c r="C4" s="440" t="s">
        <v>0</v>
      </c>
      <c r="D4" s="621" t="s">
        <v>0</v>
      </c>
      <c r="E4" s="622"/>
      <c r="F4" s="622"/>
      <c r="G4" s="623"/>
      <c r="H4" s="622" t="s">
        <v>14</v>
      </c>
      <c r="I4" s="622"/>
      <c r="J4" s="624"/>
      <c r="K4" s="624"/>
      <c r="L4" s="625"/>
      <c r="M4" s="621" t="s">
        <v>15</v>
      </c>
      <c r="N4" s="624"/>
      <c r="O4" s="626"/>
    </row>
    <row r="5" spans="1:25" ht="14.25" thickBot="1" x14ac:dyDescent="0.3">
      <c r="A5" s="619"/>
      <c r="B5" s="447"/>
      <c r="C5" s="448"/>
      <c r="D5" s="627" t="s">
        <v>4</v>
      </c>
      <c r="E5" s="628" t="s">
        <v>5</v>
      </c>
      <c r="F5" s="629" t="s">
        <v>57</v>
      </c>
      <c r="G5" s="629" t="s">
        <v>6</v>
      </c>
      <c r="H5" s="629" t="s">
        <v>0</v>
      </c>
      <c r="I5" s="628" t="s">
        <v>4</v>
      </c>
      <c r="J5" s="628" t="s">
        <v>5</v>
      </c>
      <c r="K5" s="628" t="s">
        <v>57</v>
      </c>
      <c r="L5" s="628" t="s">
        <v>6</v>
      </c>
      <c r="M5" s="627" t="s">
        <v>0</v>
      </c>
      <c r="N5" s="630" t="s">
        <v>4</v>
      </c>
      <c r="O5" s="628" t="s">
        <v>5</v>
      </c>
      <c r="W5" s="631"/>
      <c r="X5" s="632"/>
      <c r="Y5" s="632"/>
    </row>
    <row r="6" spans="1:25" x14ac:dyDescent="0.25">
      <c r="A6" s="619"/>
      <c r="B6" s="633"/>
      <c r="C6" s="634"/>
      <c r="D6" s="635"/>
      <c r="E6" s="636"/>
      <c r="F6" s="637"/>
      <c r="G6" s="638"/>
      <c r="H6" s="639"/>
      <c r="I6" s="544"/>
      <c r="J6" s="544"/>
      <c r="K6" s="544"/>
      <c r="L6" s="545"/>
      <c r="M6" s="544"/>
      <c r="N6" s="544"/>
      <c r="O6" s="640"/>
      <c r="W6" s="631"/>
      <c r="X6" s="632"/>
      <c r="Y6" s="632"/>
    </row>
    <row r="7" spans="1:25" x14ac:dyDescent="0.25">
      <c r="A7" s="619"/>
      <c r="B7" s="641">
        <v>1995</v>
      </c>
      <c r="C7" s="642">
        <f t="shared" ref="C7:C12" si="0">SUM(D7:G7)</f>
        <v>16880.114601000001</v>
      </c>
      <c r="D7" s="643">
        <f t="shared" ref="D7:E12" si="1">(I7+N7)</f>
        <v>12937.553461</v>
      </c>
      <c r="E7" s="644">
        <f t="shared" si="1"/>
        <v>3942.5611400000003</v>
      </c>
      <c r="F7" s="645"/>
      <c r="G7" s="646" t="s">
        <v>7</v>
      </c>
      <c r="H7" s="647">
        <f t="shared" ref="H7:H25" si="2">SUM(I7:L7)</f>
        <v>13106.313096999998</v>
      </c>
      <c r="I7" s="648">
        <v>11540.590328999999</v>
      </c>
      <c r="J7" s="648">
        <v>1565.7227680000001</v>
      </c>
      <c r="K7" s="648"/>
      <c r="L7" s="649" t="s">
        <v>193</v>
      </c>
      <c r="M7" s="648">
        <f t="shared" ref="M7:M25" si="3">SUM(N7:O7)</f>
        <v>3773.801504</v>
      </c>
      <c r="N7" s="648">
        <v>1396.9631319999999</v>
      </c>
      <c r="O7" s="650">
        <v>2376.8383720000002</v>
      </c>
      <c r="S7" s="527" t="s">
        <v>4</v>
      </c>
      <c r="T7" s="527" t="s">
        <v>5</v>
      </c>
      <c r="U7" s="651" t="s">
        <v>57</v>
      </c>
      <c r="V7" s="651" t="s">
        <v>6</v>
      </c>
      <c r="W7" s="652"/>
      <c r="X7" s="653"/>
      <c r="Y7" s="654"/>
    </row>
    <row r="8" spans="1:25" x14ac:dyDescent="0.25">
      <c r="A8" s="619"/>
      <c r="B8" s="655">
        <v>1996</v>
      </c>
      <c r="C8" s="656">
        <f t="shared" si="0"/>
        <v>17279.812292999999</v>
      </c>
      <c r="D8" s="657">
        <f t="shared" si="1"/>
        <v>13323.572077999999</v>
      </c>
      <c r="E8" s="658">
        <f t="shared" si="1"/>
        <v>3955.8302150000004</v>
      </c>
      <c r="F8" s="659"/>
      <c r="G8" s="659">
        <f>+L8</f>
        <v>0.41</v>
      </c>
      <c r="H8" s="659">
        <f t="shared" si="2"/>
        <v>13307.577020999999</v>
      </c>
      <c r="I8" s="660">
        <v>11847.925377</v>
      </c>
      <c r="J8" s="660">
        <v>1459.2416440000002</v>
      </c>
      <c r="K8" s="660"/>
      <c r="L8" s="661">
        <v>0.41</v>
      </c>
      <c r="M8" s="662">
        <f t="shared" si="3"/>
        <v>3972.2352720000004</v>
      </c>
      <c r="N8" s="660">
        <v>1475.6467010000001</v>
      </c>
      <c r="O8" s="662">
        <v>2496.5885710000002</v>
      </c>
      <c r="R8" s="527">
        <v>1995</v>
      </c>
      <c r="S8" s="663">
        <f t="shared" ref="S8:S28" si="4">D7</f>
        <v>12937.553461</v>
      </c>
      <c r="T8" s="663">
        <f t="shared" ref="T8:T29" si="5">E7</f>
        <v>3942.5611400000003</v>
      </c>
      <c r="W8" s="652"/>
      <c r="X8" s="653"/>
      <c r="Y8" s="654"/>
    </row>
    <row r="9" spans="1:25" x14ac:dyDescent="0.25">
      <c r="A9" s="619"/>
      <c r="B9" s="641">
        <v>1997</v>
      </c>
      <c r="C9" s="664">
        <f t="shared" si="0"/>
        <v>17953.407575000001</v>
      </c>
      <c r="D9" s="643">
        <f t="shared" si="1"/>
        <v>13214.529482000002</v>
      </c>
      <c r="E9" s="644">
        <f t="shared" si="1"/>
        <v>4738.3224370000007</v>
      </c>
      <c r="F9" s="645"/>
      <c r="G9" s="645">
        <f t="shared" ref="G9:G22" si="6">+L9</f>
        <v>0.55565599999999993</v>
      </c>
      <c r="H9" s="647">
        <f t="shared" si="2"/>
        <v>15348.556876000002</v>
      </c>
      <c r="I9" s="648">
        <v>12264.791790000001</v>
      </c>
      <c r="J9" s="648">
        <v>3083.2094300000008</v>
      </c>
      <c r="K9" s="648"/>
      <c r="L9" s="650">
        <v>0.55565599999999993</v>
      </c>
      <c r="M9" s="648">
        <f t="shared" si="3"/>
        <v>2604.8506989999996</v>
      </c>
      <c r="N9" s="648">
        <v>949.73769199999992</v>
      </c>
      <c r="O9" s="650">
        <v>1655.1130069999999</v>
      </c>
      <c r="R9" s="527">
        <v>1996</v>
      </c>
      <c r="S9" s="663">
        <f t="shared" si="4"/>
        <v>13323.572077999999</v>
      </c>
      <c r="T9" s="663">
        <f t="shared" si="5"/>
        <v>3955.8302150000004</v>
      </c>
      <c r="W9" s="652"/>
      <c r="X9" s="653"/>
      <c r="Y9" s="654"/>
    </row>
    <row r="10" spans="1:25" x14ac:dyDescent="0.25">
      <c r="A10" s="619"/>
      <c r="B10" s="655">
        <v>1998</v>
      </c>
      <c r="C10" s="665">
        <f t="shared" si="0"/>
        <v>18582.538846000003</v>
      </c>
      <c r="D10" s="657">
        <f t="shared" si="1"/>
        <v>13808.285138000003</v>
      </c>
      <c r="E10" s="658">
        <f t="shared" si="1"/>
        <v>4773.7272680000005</v>
      </c>
      <c r="F10" s="659"/>
      <c r="G10" s="659">
        <f t="shared" si="6"/>
        <v>0.52644000000000002</v>
      </c>
      <c r="H10" s="666">
        <f t="shared" si="2"/>
        <v>16815.936847000004</v>
      </c>
      <c r="I10" s="660">
        <v>13367.193777000002</v>
      </c>
      <c r="J10" s="660">
        <v>3448.2166299999999</v>
      </c>
      <c r="K10" s="660"/>
      <c r="L10" s="662">
        <v>0.52644000000000002</v>
      </c>
      <c r="M10" s="660">
        <f t="shared" si="3"/>
        <v>1766.6019990000002</v>
      </c>
      <c r="N10" s="660">
        <v>441.09136100000001</v>
      </c>
      <c r="O10" s="662">
        <v>1325.5106380000002</v>
      </c>
      <c r="R10" s="527">
        <v>1997</v>
      </c>
      <c r="S10" s="663">
        <f t="shared" si="4"/>
        <v>13214.529482000002</v>
      </c>
      <c r="T10" s="663">
        <f t="shared" si="5"/>
        <v>4738.3224370000007</v>
      </c>
      <c r="W10" s="652"/>
      <c r="X10" s="653"/>
      <c r="Y10" s="654"/>
    </row>
    <row r="11" spans="1:25" x14ac:dyDescent="0.25">
      <c r="A11" s="619"/>
      <c r="B11" s="641">
        <v>1999</v>
      </c>
      <c r="C11" s="664">
        <f t="shared" si="0"/>
        <v>19049.617396999998</v>
      </c>
      <c r="D11" s="643">
        <f t="shared" si="1"/>
        <v>14540.581285</v>
      </c>
      <c r="E11" s="644">
        <f t="shared" si="1"/>
        <v>4508.4115320000001</v>
      </c>
      <c r="F11" s="645"/>
      <c r="G11" s="645">
        <f t="shared" si="6"/>
        <v>0.62458000000000002</v>
      </c>
      <c r="H11" s="647">
        <f t="shared" si="2"/>
        <v>17366.221878</v>
      </c>
      <c r="I11" s="648">
        <v>14110.592026</v>
      </c>
      <c r="J11" s="648">
        <v>3255.0052719999999</v>
      </c>
      <c r="K11" s="648"/>
      <c r="L11" s="650">
        <v>0.62458000000000002</v>
      </c>
      <c r="M11" s="648">
        <f t="shared" si="3"/>
        <v>1683.3955190000001</v>
      </c>
      <c r="N11" s="648">
        <v>429.98925900000006</v>
      </c>
      <c r="O11" s="650">
        <v>1253.40626</v>
      </c>
      <c r="R11" s="527">
        <v>1998</v>
      </c>
      <c r="S11" s="663">
        <f t="shared" si="4"/>
        <v>13808.285138000003</v>
      </c>
      <c r="T11" s="663">
        <f t="shared" si="5"/>
        <v>4773.7272680000005</v>
      </c>
      <c r="W11" s="652"/>
      <c r="X11" s="653"/>
      <c r="Y11" s="654"/>
    </row>
    <row r="12" spans="1:25" x14ac:dyDescent="0.25">
      <c r="A12" s="619"/>
      <c r="B12" s="655">
        <v>2000</v>
      </c>
      <c r="C12" s="656">
        <f t="shared" si="0"/>
        <v>19922.697338000002</v>
      </c>
      <c r="D12" s="657">
        <f t="shared" si="1"/>
        <v>16176.051366</v>
      </c>
      <c r="E12" s="658">
        <f t="shared" si="1"/>
        <v>3745.8002719999995</v>
      </c>
      <c r="F12" s="659"/>
      <c r="G12" s="659">
        <f t="shared" si="6"/>
        <v>0.84570000000000001</v>
      </c>
      <c r="H12" s="666">
        <f t="shared" si="2"/>
        <v>18327.897719000001</v>
      </c>
      <c r="I12" s="660">
        <v>15747.323264999999</v>
      </c>
      <c r="J12" s="660">
        <v>2579.7287539999998</v>
      </c>
      <c r="K12" s="660"/>
      <c r="L12" s="662">
        <v>0.84570000000000001</v>
      </c>
      <c r="M12" s="660">
        <f t="shared" si="3"/>
        <v>1594.7996189999994</v>
      </c>
      <c r="N12" s="660">
        <v>428.72810099999998</v>
      </c>
      <c r="O12" s="662">
        <v>1166.0715179999995</v>
      </c>
      <c r="R12" s="527">
        <v>1999</v>
      </c>
      <c r="S12" s="663">
        <f t="shared" si="4"/>
        <v>14540.581285</v>
      </c>
      <c r="T12" s="663">
        <f t="shared" si="5"/>
        <v>4508.4115320000001</v>
      </c>
      <c r="W12" s="652"/>
      <c r="X12" s="653"/>
      <c r="Y12" s="654"/>
    </row>
    <row r="13" spans="1:25" x14ac:dyDescent="0.25">
      <c r="A13" s="619"/>
      <c r="B13" s="559">
        <v>2001</v>
      </c>
      <c r="C13" s="642">
        <f t="shared" ref="C13:C25" si="7">SUM(D13:G13)</f>
        <v>20785.936717</v>
      </c>
      <c r="D13" s="643">
        <f>(I13+N13)</f>
        <v>17614.960199999998</v>
      </c>
      <c r="E13" s="644">
        <f>(J13+O13)</f>
        <v>3169.7501170000032</v>
      </c>
      <c r="F13" s="645"/>
      <c r="G13" s="645">
        <f t="shared" si="6"/>
        <v>1.2264000000000002</v>
      </c>
      <c r="H13" s="647">
        <f t="shared" si="2"/>
        <v>19214.706641999997</v>
      </c>
      <c r="I13" s="648">
        <v>17188.530773999999</v>
      </c>
      <c r="J13" s="648">
        <v>2024.9494680000003</v>
      </c>
      <c r="K13" s="648"/>
      <c r="L13" s="650">
        <v>1.2264000000000002</v>
      </c>
      <c r="M13" s="648">
        <f t="shared" si="3"/>
        <v>1571.2300750000034</v>
      </c>
      <c r="N13" s="648">
        <v>426.42942600000009</v>
      </c>
      <c r="O13" s="650">
        <v>1144.8006490000032</v>
      </c>
      <c r="R13" s="527">
        <v>2000</v>
      </c>
      <c r="S13" s="663">
        <f t="shared" si="4"/>
        <v>16176.051366</v>
      </c>
      <c r="T13" s="663">
        <f t="shared" si="5"/>
        <v>3745.8002719999995</v>
      </c>
      <c r="X13" s="653"/>
      <c r="Y13" s="654"/>
    </row>
    <row r="14" spans="1:25" x14ac:dyDescent="0.25">
      <c r="A14" s="619"/>
      <c r="B14" s="552">
        <v>2002</v>
      </c>
      <c r="C14" s="656">
        <f t="shared" si="7"/>
        <v>21982.323172000008</v>
      </c>
      <c r="D14" s="657">
        <f t="shared" ref="D14:E26" si="8">SUM(I14,N14)</f>
        <v>18040.127915000005</v>
      </c>
      <c r="E14" s="658">
        <f t="shared" si="8"/>
        <v>3940.9688570000035</v>
      </c>
      <c r="F14" s="658"/>
      <c r="G14" s="658">
        <f t="shared" si="6"/>
        <v>1.2264000000000002</v>
      </c>
      <c r="H14" s="659">
        <f t="shared" si="2"/>
        <v>20419.508673000004</v>
      </c>
      <c r="I14" s="662">
        <v>17638.158238000004</v>
      </c>
      <c r="J14" s="662">
        <v>2780.1240350000003</v>
      </c>
      <c r="K14" s="662"/>
      <c r="L14" s="662">
        <v>1.2264000000000002</v>
      </c>
      <c r="M14" s="660">
        <f t="shared" si="3"/>
        <v>1562.8144990000035</v>
      </c>
      <c r="N14" s="660">
        <v>401.9696770000001</v>
      </c>
      <c r="O14" s="662">
        <v>1160.8448220000034</v>
      </c>
      <c r="R14" s="527">
        <v>2001</v>
      </c>
      <c r="S14" s="663">
        <f t="shared" si="4"/>
        <v>17614.960199999998</v>
      </c>
      <c r="T14" s="663">
        <f t="shared" si="5"/>
        <v>3169.7501170000032</v>
      </c>
      <c r="W14" s="652"/>
      <c r="X14" s="653"/>
      <c r="Y14" s="654"/>
    </row>
    <row r="15" spans="1:25" x14ac:dyDescent="0.25">
      <c r="A15" s="619"/>
      <c r="B15" s="559">
        <v>2003</v>
      </c>
      <c r="C15" s="642">
        <f t="shared" si="7"/>
        <v>22923.353873999997</v>
      </c>
      <c r="D15" s="643">
        <f t="shared" si="8"/>
        <v>18533.720860999994</v>
      </c>
      <c r="E15" s="644">
        <f t="shared" si="8"/>
        <v>4388.4066130000028</v>
      </c>
      <c r="F15" s="644"/>
      <c r="G15" s="644">
        <f t="shared" si="6"/>
        <v>1.2264000000000002</v>
      </c>
      <c r="H15" s="645">
        <f t="shared" si="2"/>
        <v>21361.462929999994</v>
      </c>
      <c r="I15" s="650">
        <v>18118.333137999995</v>
      </c>
      <c r="J15" s="650">
        <v>3241.9033919999997</v>
      </c>
      <c r="K15" s="650"/>
      <c r="L15" s="650">
        <v>1.2264000000000002</v>
      </c>
      <c r="M15" s="648">
        <f t="shared" si="3"/>
        <v>1561.8909440000034</v>
      </c>
      <c r="N15" s="648">
        <v>415.38772300000005</v>
      </c>
      <c r="O15" s="650">
        <v>1146.5032210000034</v>
      </c>
      <c r="R15" s="527">
        <v>2002</v>
      </c>
      <c r="S15" s="663">
        <f t="shared" si="4"/>
        <v>18040.127915000005</v>
      </c>
      <c r="T15" s="663">
        <f t="shared" si="5"/>
        <v>3940.9688570000035</v>
      </c>
      <c r="W15" s="652"/>
      <c r="X15" s="653"/>
      <c r="Y15" s="654"/>
    </row>
    <row r="16" spans="1:25" x14ac:dyDescent="0.25">
      <c r="A16" s="619"/>
      <c r="B16" s="552">
        <v>2004</v>
      </c>
      <c r="C16" s="656">
        <f t="shared" si="7"/>
        <v>24267.012071000005</v>
      </c>
      <c r="D16" s="657">
        <f t="shared" si="8"/>
        <v>17525.338961000005</v>
      </c>
      <c r="E16" s="658">
        <f t="shared" si="8"/>
        <v>6740.4467100000011</v>
      </c>
      <c r="F16" s="658"/>
      <c r="G16" s="658">
        <f t="shared" si="6"/>
        <v>1.2264000000000002</v>
      </c>
      <c r="H16" s="659">
        <f t="shared" si="2"/>
        <v>22619.938791000004</v>
      </c>
      <c r="I16" s="662">
        <v>17100.664633000004</v>
      </c>
      <c r="J16" s="662">
        <v>5518.0477580000006</v>
      </c>
      <c r="K16" s="662"/>
      <c r="L16" s="662">
        <v>1.2264000000000002</v>
      </c>
      <c r="M16" s="660">
        <f t="shared" si="3"/>
        <v>1647.0732800000003</v>
      </c>
      <c r="N16" s="660">
        <v>424.674328</v>
      </c>
      <c r="O16" s="662">
        <v>1222.3989520000002</v>
      </c>
      <c r="R16" s="527">
        <v>2003</v>
      </c>
      <c r="S16" s="663">
        <f t="shared" si="4"/>
        <v>18533.720860999994</v>
      </c>
      <c r="T16" s="663">
        <f t="shared" si="5"/>
        <v>4388.4066130000028</v>
      </c>
      <c r="W16" s="652"/>
      <c r="X16" s="653"/>
      <c r="Y16" s="654"/>
    </row>
    <row r="17" spans="1:25" x14ac:dyDescent="0.25">
      <c r="A17" s="619"/>
      <c r="B17" s="559">
        <v>2005</v>
      </c>
      <c r="C17" s="642">
        <f t="shared" si="7"/>
        <v>25509.736815000004</v>
      </c>
      <c r="D17" s="643">
        <f t="shared" si="8"/>
        <v>17976.993336</v>
      </c>
      <c r="E17" s="644">
        <f t="shared" si="8"/>
        <v>7531.5170790000029</v>
      </c>
      <c r="F17" s="644"/>
      <c r="G17" s="644">
        <f t="shared" si="6"/>
        <v>1.2264000000000002</v>
      </c>
      <c r="H17" s="645">
        <f t="shared" si="2"/>
        <v>23810.874944792748</v>
      </c>
      <c r="I17" s="650">
        <v>17567.105377792748</v>
      </c>
      <c r="J17" s="650">
        <v>6242.5431669999998</v>
      </c>
      <c r="K17" s="650"/>
      <c r="L17" s="650">
        <v>1.2264000000000002</v>
      </c>
      <c r="M17" s="648">
        <f t="shared" si="3"/>
        <v>1698.8618702072531</v>
      </c>
      <c r="N17" s="648">
        <v>409.88795820724977</v>
      </c>
      <c r="O17" s="650">
        <v>1288.9739120000033</v>
      </c>
      <c r="R17" s="527">
        <v>2004</v>
      </c>
      <c r="S17" s="663">
        <f t="shared" si="4"/>
        <v>17525.338961000005</v>
      </c>
      <c r="T17" s="663">
        <f t="shared" si="5"/>
        <v>6740.4467100000011</v>
      </c>
      <c r="W17" s="652"/>
      <c r="X17" s="653"/>
      <c r="Y17" s="654"/>
    </row>
    <row r="18" spans="1:25" x14ac:dyDescent="0.25">
      <c r="A18" s="619"/>
      <c r="B18" s="552">
        <v>2006</v>
      </c>
      <c r="C18" s="656">
        <f>SUM(D18:G18)</f>
        <v>27369.828727579996</v>
      </c>
      <c r="D18" s="657">
        <f t="shared" si="8"/>
        <v>19594.347163999995</v>
      </c>
      <c r="E18" s="658">
        <f t="shared" si="8"/>
        <v>7774.255163580001</v>
      </c>
      <c r="F18" s="658"/>
      <c r="G18" s="658">
        <f t="shared" si="6"/>
        <v>1.2264000000000002</v>
      </c>
      <c r="H18" s="659">
        <f t="shared" si="2"/>
        <v>25613.763789958582</v>
      </c>
      <c r="I18" s="662">
        <v>19160.751642958581</v>
      </c>
      <c r="J18" s="662">
        <v>6451.7857470000008</v>
      </c>
      <c r="K18" s="662"/>
      <c r="L18" s="662">
        <v>1.2264000000000002</v>
      </c>
      <c r="M18" s="660">
        <f t="shared" si="3"/>
        <v>1756.0649376214139</v>
      </c>
      <c r="N18" s="660">
        <v>433.59552104141386</v>
      </c>
      <c r="O18" s="662">
        <v>1322.4694165800001</v>
      </c>
      <c r="R18" s="527">
        <v>2005</v>
      </c>
      <c r="S18" s="663">
        <f t="shared" si="4"/>
        <v>17976.993336</v>
      </c>
      <c r="T18" s="663">
        <f t="shared" si="5"/>
        <v>7531.5170790000029</v>
      </c>
      <c r="W18" s="652"/>
      <c r="X18" s="653"/>
      <c r="Y18" s="654"/>
    </row>
    <row r="19" spans="1:25" x14ac:dyDescent="0.25">
      <c r="A19" s="619"/>
      <c r="B19" s="559">
        <v>2007</v>
      </c>
      <c r="C19" s="664">
        <f t="shared" si="7"/>
        <v>29943.047142000003</v>
      </c>
      <c r="D19" s="643">
        <f t="shared" si="8"/>
        <v>19548.782020000002</v>
      </c>
      <c r="E19" s="643">
        <f t="shared" si="8"/>
        <v>10393.038722000001</v>
      </c>
      <c r="F19" s="643"/>
      <c r="G19" s="644">
        <f t="shared" si="6"/>
        <v>1.2264000000000002</v>
      </c>
      <c r="H19" s="645">
        <f t="shared" si="2"/>
        <v>28200.491090340001</v>
      </c>
      <c r="I19" s="650">
        <v>19107.193966340001</v>
      </c>
      <c r="J19" s="650">
        <v>9092.0707240000011</v>
      </c>
      <c r="K19" s="650"/>
      <c r="L19" s="650">
        <v>1.2264000000000002</v>
      </c>
      <c r="M19" s="648">
        <f t="shared" si="3"/>
        <v>1742.5560516600003</v>
      </c>
      <c r="N19" s="648">
        <v>441.58805366000001</v>
      </c>
      <c r="O19" s="650">
        <v>1300.9679980000003</v>
      </c>
      <c r="R19" s="527">
        <v>2006</v>
      </c>
      <c r="S19" s="663">
        <f t="shared" si="4"/>
        <v>19594.347163999995</v>
      </c>
      <c r="T19" s="663">
        <f t="shared" si="5"/>
        <v>7774.255163580001</v>
      </c>
      <c r="W19" s="652"/>
      <c r="X19" s="653"/>
      <c r="Y19" s="654"/>
    </row>
    <row r="20" spans="1:25" x14ac:dyDescent="0.25">
      <c r="A20" s="619"/>
      <c r="B20" s="557">
        <v>2008</v>
      </c>
      <c r="C20" s="667">
        <f t="shared" si="7"/>
        <v>32463.106283000001</v>
      </c>
      <c r="D20" s="668">
        <f t="shared" si="8"/>
        <v>19059.617749000001</v>
      </c>
      <c r="E20" s="668">
        <f t="shared" si="8"/>
        <v>13402.262134000001</v>
      </c>
      <c r="F20" s="668"/>
      <c r="G20" s="669">
        <f t="shared" si="6"/>
        <v>1.2264000000000004</v>
      </c>
      <c r="H20" s="670">
        <f t="shared" si="2"/>
        <v>30574.711256000002</v>
      </c>
      <c r="I20" s="671">
        <v>18607.792107000001</v>
      </c>
      <c r="J20" s="671">
        <v>11965.692749</v>
      </c>
      <c r="K20" s="671"/>
      <c r="L20" s="671">
        <v>1.2264000000000004</v>
      </c>
      <c r="M20" s="672">
        <f t="shared" si="3"/>
        <v>1888.395027</v>
      </c>
      <c r="N20" s="672">
        <v>451.82564200000002</v>
      </c>
      <c r="O20" s="671">
        <v>1436.569385</v>
      </c>
      <c r="R20" s="555">
        <v>2007</v>
      </c>
      <c r="S20" s="663">
        <f t="shared" si="4"/>
        <v>19548.782020000002</v>
      </c>
      <c r="T20" s="663">
        <f t="shared" si="5"/>
        <v>10393.038722000001</v>
      </c>
      <c r="W20" s="652"/>
      <c r="X20" s="653"/>
      <c r="Y20" s="654"/>
    </row>
    <row r="21" spans="1:25" x14ac:dyDescent="0.25">
      <c r="A21" s="619"/>
      <c r="B21" s="559">
        <v>2009</v>
      </c>
      <c r="C21" s="664">
        <f t="shared" si="7"/>
        <v>32944.735821000009</v>
      </c>
      <c r="D21" s="643">
        <f t="shared" si="8"/>
        <v>19903.776404000011</v>
      </c>
      <c r="E21" s="643">
        <f t="shared" si="8"/>
        <v>13039.733016999997</v>
      </c>
      <c r="F21" s="643"/>
      <c r="G21" s="644">
        <f t="shared" si="6"/>
        <v>1.2264000000000002</v>
      </c>
      <c r="H21" s="645">
        <f t="shared" si="2"/>
        <v>30921.902783000009</v>
      </c>
      <c r="I21" s="650">
        <v>19419.221612000012</v>
      </c>
      <c r="J21" s="650">
        <v>11501.454770999997</v>
      </c>
      <c r="K21" s="650"/>
      <c r="L21" s="650">
        <v>1.2264000000000002</v>
      </c>
      <c r="M21" s="648">
        <f t="shared" si="3"/>
        <v>2022.8330379999998</v>
      </c>
      <c r="N21" s="648">
        <v>484.55479200000002</v>
      </c>
      <c r="O21" s="650">
        <v>1538.2782459999999</v>
      </c>
      <c r="R21" s="527">
        <v>2008</v>
      </c>
      <c r="S21" s="663">
        <f t="shared" si="4"/>
        <v>19059.617749000001</v>
      </c>
      <c r="T21" s="663">
        <f t="shared" si="5"/>
        <v>13402.262134000001</v>
      </c>
      <c r="W21" s="652"/>
      <c r="X21" s="653"/>
      <c r="Y21" s="654"/>
    </row>
    <row r="22" spans="1:25" x14ac:dyDescent="0.25">
      <c r="A22" s="619"/>
      <c r="B22" s="557">
        <v>2010</v>
      </c>
      <c r="C22" s="667">
        <f t="shared" si="7"/>
        <v>35908.007941199998</v>
      </c>
      <c r="D22" s="668">
        <f t="shared" si="8"/>
        <v>20052.129280199999</v>
      </c>
      <c r="E22" s="668">
        <f t="shared" si="8"/>
        <v>15854.652260999999</v>
      </c>
      <c r="F22" s="668"/>
      <c r="G22" s="669">
        <f t="shared" si="6"/>
        <v>1.2264000000000002</v>
      </c>
      <c r="H22" s="670">
        <f t="shared" si="2"/>
        <v>33545.815807199993</v>
      </c>
      <c r="I22" s="671">
        <v>19567.404609199999</v>
      </c>
      <c r="J22" s="672">
        <v>13977.184797999998</v>
      </c>
      <c r="K22" s="672"/>
      <c r="L22" s="671">
        <v>1.2264000000000002</v>
      </c>
      <c r="M22" s="672">
        <f t="shared" si="3"/>
        <v>2362.1921339999999</v>
      </c>
      <c r="N22" s="672">
        <v>484.72467099999994</v>
      </c>
      <c r="O22" s="671">
        <v>1877.467463</v>
      </c>
      <c r="R22" s="527">
        <v>2009</v>
      </c>
      <c r="S22" s="663">
        <f t="shared" si="4"/>
        <v>19903.776404000011</v>
      </c>
      <c r="T22" s="663">
        <f t="shared" si="5"/>
        <v>13039.733016999997</v>
      </c>
      <c r="W22" s="652"/>
      <c r="X22" s="653"/>
      <c r="Y22" s="654"/>
    </row>
    <row r="23" spans="1:25" x14ac:dyDescent="0.25">
      <c r="A23" s="619"/>
      <c r="B23" s="559">
        <v>2011</v>
      </c>
      <c r="C23" s="664">
        <f t="shared" si="7"/>
        <v>38806.460602785191</v>
      </c>
      <c r="D23" s="643">
        <f t="shared" si="8"/>
        <v>21557.326716785199</v>
      </c>
      <c r="E23" s="643">
        <f t="shared" si="8"/>
        <v>17247.907485999993</v>
      </c>
      <c r="F23" s="643"/>
      <c r="G23" s="644">
        <f t="shared" ref="G23:G28" si="9">+L23</f>
        <v>1.2264000000000004</v>
      </c>
      <c r="H23" s="645">
        <f>SUM(I23:L23)</f>
        <v>36248.532290235191</v>
      </c>
      <c r="I23" s="650">
        <v>21027.418404235199</v>
      </c>
      <c r="J23" s="648">
        <v>15219.887485999994</v>
      </c>
      <c r="K23" s="648"/>
      <c r="L23" s="650">
        <v>1.2264000000000004</v>
      </c>
      <c r="M23" s="648">
        <f>SUM(N23:O23)</f>
        <v>2557.9283125500001</v>
      </c>
      <c r="N23" s="648">
        <v>529.90831255000012</v>
      </c>
      <c r="O23" s="650">
        <v>2028.02</v>
      </c>
      <c r="R23" s="527">
        <v>2010</v>
      </c>
      <c r="S23" s="663">
        <f t="shared" si="4"/>
        <v>20052.129280199999</v>
      </c>
      <c r="T23" s="663">
        <f t="shared" si="5"/>
        <v>15854.652260999999</v>
      </c>
      <c r="W23" s="652"/>
      <c r="X23" s="653"/>
      <c r="Y23" s="654"/>
    </row>
    <row r="24" spans="1:25" x14ac:dyDescent="0.25">
      <c r="A24" s="619"/>
      <c r="B24" s="557">
        <v>2012</v>
      </c>
      <c r="C24" s="667">
        <f t="shared" si="7"/>
        <v>41020.027595562482</v>
      </c>
      <c r="D24" s="668">
        <f t="shared" si="8"/>
        <v>22044.041061560612</v>
      </c>
      <c r="E24" s="668">
        <f t="shared" si="8"/>
        <v>18919.176767202309</v>
      </c>
      <c r="F24" s="669">
        <f t="shared" ref="F24:F29" si="10">+K24</f>
        <v>55.583366799563997</v>
      </c>
      <c r="G24" s="669">
        <f t="shared" si="9"/>
        <v>1.2264000000000004</v>
      </c>
      <c r="H24" s="670">
        <f t="shared" si="2"/>
        <v>38352.70088515454</v>
      </c>
      <c r="I24" s="671">
        <v>21489.314383560613</v>
      </c>
      <c r="J24" s="672">
        <v>16806.576734794362</v>
      </c>
      <c r="K24" s="672">
        <v>55.583366799563997</v>
      </c>
      <c r="L24" s="671">
        <v>1.2264000000000004</v>
      </c>
      <c r="M24" s="672">
        <f t="shared" si="3"/>
        <v>2667.3267104079459</v>
      </c>
      <c r="N24" s="672">
        <v>554.72667799999999</v>
      </c>
      <c r="O24" s="671">
        <v>2112.6000324079459</v>
      </c>
      <c r="R24" s="527">
        <v>2011</v>
      </c>
      <c r="S24" s="663">
        <f t="shared" si="4"/>
        <v>21557.326716785199</v>
      </c>
      <c r="T24" s="663">
        <f t="shared" si="5"/>
        <v>17247.907485999993</v>
      </c>
      <c r="W24" s="652"/>
      <c r="X24" s="653"/>
      <c r="Y24" s="654"/>
    </row>
    <row r="25" spans="1:25" x14ac:dyDescent="0.25">
      <c r="A25" s="619"/>
      <c r="B25" s="559">
        <v>2013</v>
      </c>
      <c r="C25" s="664">
        <f t="shared" si="7"/>
        <v>43330.175490485351</v>
      </c>
      <c r="D25" s="643">
        <f t="shared" si="8"/>
        <v>22319.562549982984</v>
      </c>
      <c r="E25" s="643">
        <f t="shared" si="8"/>
        <v>20812.458660502365</v>
      </c>
      <c r="F25" s="644">
        <f t="shared" si="10"/>
        <v>196.92788000000002</v>
      </c>
      <c r="G25" s="644">
        <f t="shared" si="9"/>
        <v>1.2264000000000002</v>
      </c>
      <c r="H25" s="645">
        <f t="shared" si="2"/>
        <v>40664.666419178946</v>
      </c>
      <c r="I25" s="650">
        <v>21709.384683427117</v>
      </c>
      <c r="J25" s="648">
        <v>18757.127455751826</v>
      </c>
      <c r="K25" s="648">
        <v>196.92788000000002</v>
      </c>
      <c r="L25" s="650">
        <v>1.2264000000000002</v>
      </c>
      <c r="M25" s="648">
        <f t="shared" si="3"/>
        <v>2665.5090713064064</v>
      </c>
      <c r="N25" s="648">
        <v>610.17786655586588</v>
      </c>
      <c r="O25" s="650">
        <v>2055.3312047505406</v>
      </c>
      <c r="R25" s="527">
        <v>2012</v>
      </c>
      <c r="S25" s="663">
        <f t="shared" si="4"/>
        <v>22044.041061560612</v>
      </c>
      <c r="T25" s="663">
        <f t="shared" si="5"/>
        <v>18919.176767202309</v>
      </c>
      <c r="U25" s="663">
        <f t="shared" ref="U25:U30" si="11">F24</f>
        <v>55.583366799563997</v>
      </c>
      <c r="V25" s="663"/>
      <c r="W25" s="652"/>
      <c r="X25" s="653"/>
      <c r="Y25" s="654"/>
    </row>
    <row r="26" spans="1:25" x14ac:dyDescent="0.25">
      <c r="A26" s="619"/>
      <c r="B26" s="557">
        <v>2014</v>
      </c>
      <c r="C26" s="667">
        <f>SUM(D26:G26)</f>
        <v>45549.819572254804</v>
      </c>
      <c r="D26" s="668">
        <f t="shared" si="8"/>
        <v>22210.659487894649</v>
      </c>
      <c r="E26" s="668">
        <f t="shared" si="8"/>
        <v>22882.315829837717</v>
      </c>
      <c r="F26" s="669">
        <f t="shared" si="10"/>
        <v>199.30359694553749</v>
      </c>
      <c r="G26" s="669">
        <f t="shared" si="9"/>
        <v>257.5406575769008</v>
      </c>
      <c r="H26" s="670">
        <f>SUM(I26:L26)</f>
        <v>42846.247729121009</v>
      </c>
      <c r="I26" s="671">
        <v>21610.924675940143</v>
      </c>
      <c r="J26" s="672">
        <v>20778.478798658423</v>
      </c>
      <c r="K26" s="672">
        <v>199.30359694553749</v>
      </c>
      <c r="L26" s="671">
        <v>257.5406575769008</v>
      </c>
      <c r="M26" s="672">
        <f t="shared" ref="M26:M34" si="12">SUM(N26:O26)</f>
        <v>2703.5718431337973</v>
      </c>
      <c r="N26" s="672">
        <v>599.73481195450518</v>
      </c>
      <c r="O26" s="671">
        <v>2103.8370311792924</v>
      </c>
      <c r="R26" s="527">
        <v>2013</v>
      </c>
      <c r="S26" s="663">
        <f t="shared" si="4"/>
        <v>22319.562549982984</v>
      </c>
      <c r="T26" s="663">
        <f t="shared" si="5"/>
        <v>20812.458660502365</v>
      </c>
      <c r="U26" s="663">
        <f t="shared" si="11"/>
        <v>196.92788000000002</v>
      </c>
      <c r="V26" s="663"/>
      <c r="W26" s="652"/>
      <c r="X26" s="653"/>
      <c r="Y26" s="654"/>
    </row>
    <row r="27" spans="1:25" x14ac:dyDescent="0.25">
      <c r="A27" s="619"/>
      <c r="B27" s="559">
        <v>2015</v>
      </c>
      <c r="C27" s="664">
        <f>SUM(D27:G27)</f>
        <v>48270.404057715845</v>
      </c>
      <c r="D27" s="643">
        <f t="shared" ref="D27:E29" si="13">SUM(I27,N27)</f>
        <v>23722.747563457589</v>
      </c>
      <c r="E27" s="643">
        <f t="shared" si="13"/>
        <v>23721.80061976959</v>
      </c>
      <c r="F27" s="644">
        <f t="shared" si="10"/>
        <v>230.25534300000001</v>
      </c>
      <c r="G27" s="644">
        <f t="shared" si="9"/>
        <v>595.60053148867007</v>
      </c>
      <c r="H27" s="645">
        <f>SUM(I27:L27)</f>
        <v>45711.387877385678</v>
      </c>
      <c r="I27" s="650">
        <v>23127.103615596498</v>
      </c>
      <c r="J27" s="648">
        <v>21758.428387300512</v>
      </c>
      <c r="K27" s="648">
        <v>230.25534300000001</v>
      </c>
      <c r="L27" s="650">
        <v>595.60053148867007</v>
      </c>
      <c r="M27" s="648">
        <f t="shared" si="12"/>
        <v>2559.0161803301708</v>
      </c>
      <c r="N27" s="648">
        <v>595.6439478610921</v>
      </c>
      <c r="O27" s="650">
        <v>1963.3722324690784</v>
      </c>
      <c r="R27" s="527">
        <v>2014</v>
      </c>
      <c r="S27" s="663">
        <f t="shared" si="4"/>
        <v>22210.659487894649</v>
      </c>
      <c r="T27" s="663">
        <f t="shared" si="5"/>
        <v>22882.315829837717</v>
      </c>
      <c r="U27" s="663">
        <f t="shared" si="11"/>
        <v>199.30359694553749</v>
      </c>
      <c r="V27" s="663">
        <f>G26</f>
        <v>257.5406575769008</v>
      </c>
      <c r="W27" s="652"/>
      <c r="X27" s="653"/>
      <c r="Y27" s="654"/>
    </row>
    <row r="28" spans="1:25" x14ac:dyDescent="0.25">
      <c r="A28" s="619"/>
      <c r="B28" s="561">
        <v>2016</v>
      </c>
      <c r="C28" s="673">
        <f>SUM(D28:G28)</f>
        <v>51699.973931207234</v>
      </c>
      <c r="D28" s="674">
        <f t="shared" si="13"/>
        <v>24171.687750762623</v>
      </c>
      <c r="E28" s="674">
        <f t="shared" si="13"/>
        <v>26223.448536038155</v>
      </c>
      <c r="F28" s="675">
        <f t="shared" si="10"/>
        <v>241.00855899999999</v>
      </c>
      <c r="G28" s="675">
        <f t="shared" si="9"/>
        <v>1063.8290854064542</v>
      </c>
      <c r="H28" s="676">
        <f>SUM(I28:L28)</f>
        <v>49534.080910786703</v>
      </c>
      <c r="I28" s="677">
        <v>23652.579328757882</v>
      </c>
      <c r="J28" s="678">
        <v>24576.663937622368</v>
      </c>
      <c r="K28" s="678">
        <v>241.00855899999999</v>
      </c>
      <c r="L28" s="677">
        <v>1063.8290854064542</v>
      </c>
      <c r="M28" s="678">
        <f t="shared" si="12"/>
        <v>2165.8930204205285</v>
      </c>
      <c r="N28" s="678">
        <v>519.10842200474076</v>
      </c>
      <c r="O28" s="677">
        <v>1646.7845984157877</v>
      </c>
      <c r="R28" s="527">
        <v>2015</v>
      </c>
      <c r="S28" s="663">
        <f t="shared" si="4"/>
        <v>23722.747563457589</v>
      </c>
      <c r="T28" s="663">
        <f t="shared" si="5"/>
        <v>23721.80061976959</v>
      </c>
      <c r="U28" s="663">
        <f t="shared" si="11"/>
        <v>230.25534300000001</v>
      </c>
      <c r="V28" s="663">
        <f>G27</f>
        <v>595.60053148867007</v>
      </c>
      <c r="W28" s="652"/>
      <c r="X28" s="653"/>
      <c r="Y28" s="654"/>
    </row>
    <row r="29" spans="1:25" x14ac:dyDescent="0.25">
      <c r="A29" s="619"/>
      <c r="B29" s="559">
        <v>2017</v>
      </c>
      <c r="C29" s="664">
        <f>SUM(D29:G29)</f>
        <v>52700.053320272818</v>
      </c>
      <c r="D29" s="643">
        <f t="shared" si="13"/>
        <v>29074.513497615771</v>
      </c>
      <c r="E29" s="643">
        <f t="shared" si="13"/>
        <v>22264.907211657053</v>
      </c>
      <c r="F29" s="644">
        <f t="shared" si="10"/>
        <v>287.20034299999998</v>
      </c>
      <c r="G29" s="644">
        <f>+L29</f>
        <v>1073.432268</v>
      </c>
      <c r="H29" s="645">
        <f>SUM(I29:L29)</f>
        <v>50344.862184776517</v>
      </c>
      <c r="I29" s="650">
        <v>28393.01122177652</v>
      </c>
      <c r="J29" s="648">
        <v>20591.218352000004</v>
      </c>
      <c r="K29" s="648">
        <v>287.20034299999998</v>
      </c>
      <c r="L29" s="650">
        <v>1073.432268</v>
      </c>
      <c r="M29" s="648">
        <f t="shared" si="12"/>
        <v>2355.1911354963013</v>
      </c>
      <c r="N29" s="648">
        <v>681.50227583925141</v>
      </c>
      <c r="O29" s="650">
        <v>1673.6888596570498</v>
      </c>
      <c r="R29" s="527">
        <v>2016</v>
      </c>
      <c r="S29" s="663">
        <f>D28</f>
        <v>24171.687750762623</v>
      </c>
      <c r="T29" s="663">
        <f t="shared" si="5"/>
        <v>26223.448536038155</v>
      </c>
      <c r="U29" s="663">
        <f t="shared" si="11"/>
        <v>241.00855899999999</v>
      </c>
      <c r="V29" s="663">
        <f>G28</f>
        <v>1063.8290854064542</v>
      </c>
      <c r="W29" s="652"/>
      <c r="X29" s="653"/>
      <c r="Y29" s="654"/>
    </row>
    <row r="30" spans="1:25" x14ac:dyDescent="0.25">
      <c r="A30" s="619"/>
      <c r="B30" s="561">
        <v>2018</v>
      </c>
      <c r="C30" s="673">
        <f>SUM(D30:G30)</f>
        <v>54893.157159426482</v>
      </c>
      <c r="D30" s="674">
        <f>SUM(I30,N30)</f>
        <v>30737.457609388162</v>
      </c>
      <c r="E30" s="674">
        <f>SUM(J30,O30)</f>
        <v>21907.860842221646</v>
      </c>
      <c r="F30" s="675">
        <f>+K30</f>
        <v>745.40054000000009</v>
      </c>
      <c r="G30" s="675">
        <f>+L30</f>
        <v>1502.4381678166665</v>
      </c>
      <c r="H30" s="676">
        <f>SUM(I30:L30)</f>
        <v>52362.394586699433</v>
      </c>
      <c r="I30" s="677">
        <v>29989.333366932755</v>
      </c>
      <c r="J30" s="678">
        <v>20125.222511950011</v>
      </c>
      <c r="K30" s="678">
        <v>745.40054000000009</v>
      </c>
      <c r="L30" s="677">
        <v>1502.4381678166665</v>
      </c>
      <c r="M30" s="678">
        <f t="shared" si="12"/>
        <v>2530.7625727270442</v>
      </c>
      <c r="N30" s="678">
        <v>748.12424245540808</v>
      </c>
      <c r="O30" s="677">
        <v>1782.6383302716361</v>
      </c>
      <c r="R30" s="527">
        <v>2017</v>
      </c>
      <c r="S30" s="663">
        <f>D29</f>
        <v>29074.513497615771</v>
      </c>
      <c r="T30" s="663">
        <f>E29</f>
        <v>22264.907211657053</v>
      </c>
      <c r="U30" s="663">
        <f t="shared" si="11"/>
        <v>287.20034299999998</v>
      </c>
      <c r="V30" s="663">
        <f>G29</f>
        <v>1073.432268</v>
      </c>
      <c r="W30" s="652"/>
      <c r="X30" s="653"/>
      <c r="Y30" s="654"/>
    </row>
    <row r="31" spans="1:25" x14ac:dyDescent="0.25">
      <c r="A31" s="619"/>
      <c r="B31" s="559">
        <v>2019</v>
      </c>
      <c r="C31" s="664">
        <f t="shared" ref="C31:C32" si="14">SUM(D31:G31)</f>
        <v>56968.504122236824</v>
      </c>
      <c r="D31" s="643">
        <f t="shared" ref="D31:D32" si="15">SUM(I31,N31)</f>
        <v>31462.088372515347</v>
      </c>
      <c r="E31" s="643">
        <f t="shared" ref="E31:E32" si="16">SUM(J31,O31)</f>
        <v>23088.318116721472</v>
      </c>
      <c r="F31" s="644">
        <f t="shared" ref="F31:F32" si="17">+K31</f>
        <v>763.05863999999997</v>
      </c>
      <c r="G31" s="644">
        <f t="shared" ref="G31:G32" si="18">+L31</f>
        <v>1655.0389929999999</v>
      </c>
      <c r="H31" s="645">
        <f t="shared" ref="H31:H34" si="19">SUM(I31:L31)</f>
        <v>54448.591958633806</v>
      </c>
      <c r="I31" s="650">
        <v>30769.211305633791</v>
      </c>
      <c r="J31" s="648">
        <v>21261.283020000013</v>
      </c>
      <c r="K31" s="648">
        <v>763.05863999999997</v>
      </c>
      <c r="L31" s="650">
        <v>1655.0389929999999</v>
      </c>
      <c r="M31" s="648">
        <f t="shared" si="12"/>
        <v>2519.9121636030127</v>
      </c>
      <c r="N31" s="648">
        <v>692.87706688155458</v>
      </c>
      <c r="O31" s="650">
        <v>1827.0350967214581</v>
      </c>
      <c r="R31" s="527">
        <v>2018</v>
      </c>
      <c r="S31" s="663">
        <f t="shared" ref="S31:S32" si="20">D30</f>
        <v>30737.457609388162</v>
      </c>
      <c r="T31" s="663">
        <f t="shared" ref="T31:T32" si="21">E30</f>
        <v>21907.860842221646</v>
      </c>
      <c r="U31" s="663">
        <f t="shared" ref="U31:U32" si="22">F30</f>
        <v>745.40054000000009</v>
      </c>
      <c r="V31" s="663">
        <f t="shared" ref="V31:V32" si="23">G30</f>
        <v>1502.4381678166665</v>
      </c>
      <c r="W31" s="652"/>
      <c r="X31" s="653"/>
      <c r="Y31" s="654"/>
    </row>
    <row r="32" spans="1:25" x14ac:dyDescent="0.25">
      <c r="A32" s="619"/>
      <c r="B32" s="561">
        <v>2020</v>
      </c>
      <c r="C32" s="673">
        <f t="shared" si="14"/>
        <v>52743.710685599581</v>
      </c>
      <c r="D32" s="674">
        <f t="shared" si="15"/>
        <v>30510.304202127463</v>
      </c>
      <c r="E32" s="674">
        <f t="shared" si="16"/>
        <v>19641.098247472124</v>
      </c>
      <c r="F32" s="675">
        <f t="shared" si="17"/>
        <v>778.20613200000003</v>
      </c>
      <c r="G32" s="675">
        <f t="shared" si="18"/>
        <v>1814.1021039999998</v>
      </c>
      <c r="H32" s="676">
        <f t="shared" si="19"/>
        <v>50657.021359539751</v>
      </c>
      <c r="I32" s="677">
        <v>29895.459940539771</v>
      </c>
      <c r="J32" s="678">
        <v>18169.253182999986</v>
      </c>
      <c r="K32" s="678">
        <v>778.20613200000003</v>
      </c>
      <c r="L32" s="677">
        <v>1814.1021039999998</v>
      </c>
      <c r="M32" s="678">
        <f t="shared" ref="M32:M35" si="24">SUM(N32:O32)</f>
        <v>2086.6893260598281</v>
      </c>
      <c r="N32" s="678">
        <v>614.84426158769088</v>
      </c>
      <c r="O32" s="677">
        <v>1471.845064472137</v>
      </c>
      <c r="R32" s="527">
        <v>2019</v>
      </c>
      <c r="S32" s="663">
        <f t="shared" si="20"/>
        <v>31462.088372515347</v>
      </c>
      <c r="T32" s="663">
        <f t="shared" si="21"/>
        <v>23088.318116721472</v>
      </c>
      <c r="U32" s="663">
        <f t="shared" si="22"/>
        <v>763.05863999999997</v>
      </c>
      <c r="V32" s="663">
        <f t="shared" si="23"/>
        <v>1655.0389929999999</v>
      </c>
      <c r="W32" s="652"/>
      <c r="X32" s="653"/>
      <c r="Y32" s="654"/>
    </row>
    <row r="33" spans="1:27" x14ac:dyDescent="0.25">
      <c r="A33" s="619"/>
      <c r="B33" s="559">
        <v>2021</v>
      </c>
      <c r="C33" s="664">
        <f t="shared" ref="C33:C35" si="25">SUM(D33:G33)</f>
        <v>57397.015803761693</v>
      </c>
      <c r="D33" s="643">
        <f t="shared" ref="D33:D35" si="26">SUM(I33,N33)</f>
        <v>31925.680936000019</v>
      </c>
      <c r="E33" s="643">
        <f t="shared" ref="E33:E35" si="27">SUM(J33,O33)</f>
        <v>22847.062425761673</v>
      </c>
      <c r="F33" s="644">
        <f t="shared" ref="F33:F35" si="28">+K33</f>
        <v>801.697453</v>
      </c>
      <c r="G33" s="644">
        <f t="shared" ref="G33:G35" si="29">+L33</f>
        <v>1822.574989</v>
      </c>
      <c r="H33" s="645">
        <f t="shared" si="19"/>
        <v>55537.755878000025</v>
      </c>
      <c r="I33" s="650">
        <v>31293.61100400002</v>
      </c>
      <c r="J33" s="648">
        <v>21619.872432000004</v>
      </c>
      <c r="K33" s="648">
        <v>801.697453</v>
      </c>
      <c r="L33" s="650">
        <v>1822.574989</v>
      </c>
      <c r="M33" s="648">
        <f t="shared" si="12"/>
        <v>1859.2599257616707</v>
      </c>
      <c r="N33" s="648">
        <v>632.06993199999999</v>
      </c>
      <c r="O33" s="650">
        <v>1227.1899937616706</v>
      </c>
      <c r="R33" s="527">
        <v>2020</v>
      </c>
      <c r="S33" s="663">
        <f t="shared" ref="S33:S36" si="30">D32</f>
        <v>30510.304202127463</v>
      </c>
      <c r="T33" s="663">
        <f t="shared" ref="T33:T36" si="31">E32</f>
        <v>19641.098247472124</v>
      </c>
      <c r="U33" s="663">
        <f t="shared" ref="U33:U36" si="32">F32</f>
        <v>778.20613200000003</v>
      </c>
      <c r="V33" s="663">
        <f t="shared" ref="V33:V36" si="33">G32</f>
        <v>1814.1021039999998</v>
      </c>
      <c r="W33" s="652"/>
      <c r="X33" s="653"/>
      <c r="Y33" s="654"/>
    </row>
    <row r="34" spans="1:27" x14ac:dyDescent="0.25">
      <c r="A34" s="619"/>
      <c r="B34" s="561">
        <v>2022</v>
      </c>
      <c r="C34" s="673">
        <f t="shared" ref="C34" si="34">SUM(D34:G34)</f>
        <v>59712.573961987284</v>
      </c>
      <c r="D34" s="674">
        <f t="shared" ref="D34" si="35">SUM(I34,N34)</f>
        <v>29743.804973672322</v>
      </c>
      <c r="E34" s="674">
        <f t="shared" ref="E34" si="36">SUM(J34,O34)</f>
        <v>27215.911490314953</v>
      </c>
      <c r="F34" s="675">
        <f t="shared" ref="F34" si="37">+K34</f>
        <v>820.98820499999999</v>
      </c>
      <c r="G34" s="675">
        <f t="shared" ref="G34" si="38">+L34</f>
        <v>1931.8692930000004</v>
      </c>
      <c r="H34" s="676">
        <f t="shared" si="19"/>
        <v>57814.458084760008</v>
      </c>
      <c r="I34" s="677">
        <v>29164.347417939985</v>
      </c>
      <c r="J34" s="678">
        <v>25897.253168820014</v>
      </c>
      <c r="K34" s="678">
        <v>820.98820499999999</v>
      </c>
      <c r="L34" s="677">
        <v>1931.8692930000004</v>
      </c>
      <c r="M34" s="678">
        <f t="shared" si="12"/>
        <v>1898.1158772272759</v>
      </c>
      <c r="N34" s="678">
        <v>579.45755573233851</v>
      </c>
      <c r="O34" s="677">
        <v>1318.6583214949374</v>
      </c>
      <c r="R34" s="527">
        <v>2021</v>
      </c>
      <c r="S34" s="663">
        <f t="shared" si="30"/>
        <v>31925.680936000019</v>
      </c>
      <c r="T34" s="663">
        <f t="shared" si="31"/>
        <v>22847.062425761673</v>
      </c>
      <c r="U34" s="663">
        <f t="shared" si="32"/>
        <v>801.697453</v>
      </c>
      <c r="V34" s="663">
        <f t="shared" si="33"/>
        <v>1822.574989</v>
      </c>
      <c r="W34" s="652"/>
      <c r="X34" s="653"/>
      <c r="Y34" s="654"/>
    </row>
    <row r="35" spans="1:27" x14ac:dyDescent="0.25">
      <c r="A35" s="619"/>
      <c r="B35" s="564">
        <v>2023</v>
      </c>
      <c r="C35" s="664">
        <f t="shared" si="25"/>
        <v>62067.351257363531</v>
      </c>
      <c r="D35" s="643">
        <f t="shared" si="26"/>
        <v>29087.635195111347</v>
      </c>
      <c r="E35" s="643">
        <f t="shared" si="27"/>
        <v>29667.712447252179</v>
      </c>
      <c r="F35" s="644">
        <f t="shared" si="28"/>
        <v>956.68685799999992</v>
      </c>
      <c r="G35" s="644">
        <f t="shared" si="29"/>
        <v>2355.3167570000001</v>
      </c>
      <c r="H35" s="645">
        <f t="shared" ref="H35" si="39">SUM(I35:L35)</f>
        <v>60144.182058878556</v>
      </c>
      <c r="I35" s="650">
        <v>28509.425688878564</v>
      </c>
      <c r="J35" s="648">
        <v>28322.752754999994</v>
      </c>
      <c r="K35" s="648">
        <v>956.68685799999992</v>
      </c>
      <c r="L35" s="650">
        <v>2355.3167570000001</v>
      </c>
      <c r="M35" s="648">
        <f t="shared" si="24"/>
        <v>1923.1691984849688</v>
      </c>
      <c r="N35" s="648">
        <v>578.20950623278304</v>
      </c>
      <c r="O35" s="650">
        <v>1344.9596922521857</v>
      </c>
      <c r="R35" s="527">
        <v>2022</v>
      </c>
      <c r="S35" s="663">
        <f t="shared" si="30"/>
        <v>29743.804973672322</v>
      </c>
      <c r="T35" s="663">
        <f t="shared" si="31"/>
        <v>27215.911490314953</v>
      </c>
      <c r="U35" s="663">
        <f t="shared" si="32"/>
        <v>820.98820499999999</v>
      </c>
      <c r="V35" s="663">
        <f t="shared" si="33"/>
        <v>1931.8692930000004</v>
      </c>
      <c r="W35" s="652"/>
      <c r="X35" s="653"/>
      <c r="Y35" s="654"/>
    </row>
    <row r="36" spans="1:27" s="689" customFormat="1" ht="14.25" thickBot="1" x14ac:dyDescent="0.3">
      <c r="A36" s="619"/>
      <c r="B36" s="679"/>
      <c r="C36" s="680"/>
      <c r="D36" s="681"/>
      <c r="E36" s="681"/>
      <c r="F36" s="681"/>
      <c r="G36" s="682"/>
      <c r="H36" s="683"/>
      <c r="I36" s="684"/>
      <c r="J36" s="685"/>
      <c r="K36" s="685"/>
      <c r="L36" s="686"/>
      <c r="M36" s="687"/>
      <c r="N36" s="687"/>
      <c r="O36" s="688"/>
      <c r="P36" s="527"/>
      <c r="Q36" s="527"/>
      <c r="R36" s="527">
        <v>2023</v>
      </c>
      <c r="S36" s="663">
        <f t="shared" si="30"/>
        <v>29087.635195111347</v>
      </c>
      <c r="T36" s="663">
        <f t="shared" si="31"/>
        <v>29667.712447252179</v>
      </c>
      <c r="U36" s="663">
        <f t="shared" si="32"/>
        <v>956.68685799999992</v>
      </c>
      <c r="V36" s="663">
        <f t="shared" si="33"/>
        <v>2355.3167570000001</v>
      </c>
      <c r="W36" s="652"/>
      <c r="X36" s="653"/>
      <c r="Y36" s="654"/>
      <c r="Z36" s="526"/>
      <c r="AA36" s="526"/>
    </row>
    <row r="37" spans="1:27" ht="12.75" customHeight="1" x14ac:dyDescent="0.25">
      <c r="A37" s="619"/>
      <c r="B37" s="508" t="s">
        <v>326</v>
      </c>
      <c r="C37" s="690">
        <f>(C35/C34)-1</f>
        <v>3.9435199977734703E-2</v>
      </c>
      <c r="D37" s="691">
        <f t="shared" ref="D37:O37" si="40">(D35/D34)-1</f>
        <v>-2.2060720850670679E-2</v>
      </c>
      <c r="E37" s="691">
        <f t="shared" si="40"/>
        <v>9.0087041832485504E-2</v>
      </c>
      <c r="F37" s="691">
        <f t="shared" si="40"/>
        <v>0.16528697023119832</v>
      </c>
      <c r="G37" s="691">
        <f t="shared" si="40"/>
        <v>0.21919053506069663</v>
      </c>
      <c r="H37" s="691">
        <f t="shared" si="40"/>
        <v>4.0296563373525274E-2</v>
      </c>
      <c r="I37" s="691">
        <f t="shared" si="40"/>
        <v>-2.2456244937562264E-2</v>
      </c>
      <c r="J37" s="691">
        <f t="shared" si="40"/>
        <v>9.3658565654378023E-2</v>
      </c>
      <c r="K37" s="691">
        <f t="shared" si="40"/>
        <v>0.16528697023119832</v>
      </c>
      <c r="L37" s="691">
        <f t="shared" si="40"/>
        <v>0.21919053506069663</v>
      </c>
      <c r="M37" s="691">
        <f t="shared" si="40"/>
        <v>1.3199047307001166E-2</v>
      </c>
      <c r="N37" s="691">
        <f t="shared" si="40"/>
        <v>-2.1538238430218737E-3</v>
      </c>
      <c r="O37" s="691">
        <f t="shared" si="40"/>
        <v>1.9945553998727217E-2</v>
      </c>
      <c r="S37" s="663"/>
      <c r="T37" s="663"/>
      <c r="U37" s="663"/>
      <c r="V37" s="663"/>
    </row>
    <row r="38" spans="1:27" ht="12.75" customHeight="1" x14ac:dyDescent="0.25">
      <c r="A38" s="619"/>
      <c r="B38" s="513" t="s">
        <v>327</v>
      </c>
      <c r="C38" s="692">
        <f>((C35/C30)^(1/5))-1</f>
        <v>2.487051874920243E-2</v>
      </c>
      <c r="D38" s="693">
        <f t="shared" ref="D38:O38" si="41">((D35/D30)^(1/5))-1</f>
        <v>-1.0973121608052971E-2</v>
      </c>
      <c r="E38" s="693">
        <f t="shared" si="41"/>
        <v>6.2519275498690519E-2</v>
      </c>
      <c r="F38" s="693">
        <f t="shared" si="41"/>
        <v>5.1177414276537991E-2</v>
      </c>
      <c r="G38" s="693">
        <f t="shared" si="41"/>
        <v>9.4083687362269464E-2</v>
      </c>
      <c r="H38" s="693">
        <f t="shared" si="41"/>
        <v>2.8098735007636044E-2</v>
      </c>
      <c r="I38" s="693">
        <f t="shared" si="41"/>
        <v>-1.0070352090192469E-2</v>
      </c>
      <c r="J38" s="693">
        <f t="shared" si="41"/>
        <v>7.0727492771305078E-2</v>
      </c>
      <c r="K38" s="693">
        <f t="shared" si="41"/>
        <v>5.1177414276537991E-2</v>
      </c>
      <c r="L38" s="693">
        <f t="shared" si="41"/>
        <v>9.4083687362269464E-2</v>
      </c>
      <c r="M38" s="693">
        <f t="shared" si="41"/>
        <v>-5.3428948942622512E-2</v>
      </c>
      <c r="N38" s="693">
        <f t="shared" si="41"/>
        <v>-5.0221575194731694E-2</v>
      </c>
      <c r="O38" s="693">
        <f t="shared" si="41"/>
        <v>-5.4788045520593798E-2</v>
      </c>
    </row>
    <row r="39" spans="1:27" ht="12.75" customHeight="1" x14ac:dyDescent="0.25">
      <c r="A39" s="619"/>
      <c r="B39" s="516" t="s">
        <v>328</v>
      </c>
      <c r="C39" s="694">
        <f>(C35/C25)-1</f>
        <v>0.43242787629587554</v>
      </c>
      <c r="D39" s="695">
        <f t="shared" ref="D39:O39" si="42">(D35/D25)-1</f>
        <v>0.30323500426909233</v>
      </c>
      <c r="E39" s="695">
        <f t="shared" si="42"/>
        <v>0.42547850454378122</v>
      </c>
      <c r="F39" s="695"/>
      <c r="G39" s="695"/>
      <c r="H39" s="695">
        <f t="shared" si="42"/>
        <v>0.47902804461497706</v>
      </c>
      <c r="I39" s="695">
        <f t="shared" si="42"/>
        <v>0.31323048094691419</v>
      </c>
      <c r="J39" s="695">
        <f t="shared" si="42"/>
        <v>0.5099728261597376</v>
      </c>
      <c r="K39" s="695"/>
      <c r="L39" s="695"/>
      <c r="M39" s="695">
        <f t="shared" si="42"/>
        <v>-0.278498347956327</v>
      </c>
      <c r="N39" s="695">
        <f t="shared" si="42"/>
        <v>-5.2391871412064583E-2</v>
      </c>
      <c r="O39" s="695">
        <f t="shared" si="42"/>
        <v>-0.34562386386021615</v>
      </c>
    </row>
    <row r="40" spans="1:27" ht="12.75" customHeight="1" thickBot="1" x14ac:dyDescent="0.3">
      <c r="A40" s="619"/>
      <c r="B40" s="519" t="s">
        <v>329</v>
      </c>
      <c r="C40" s="520">
        <f>((C35/C25)^(1/10))-1</f>
        <v>3.659062425134163E-2</v>
      </c>
      <c r="D40" s="521">
        <f t="shared" ref="D40:O40" si="43">((D35/D25)^(1/10))-1</f>
        <v>2.6838807411262211E-2</v>
      </c>
      <c r="E40" s="521">
        <f t="shared" si="43"/>
        <v>3.6086624787694976E-2</v>
      </c>
      <c r="F40" s="521"/>
      <c r="G40" s="521"/>
      <c r="H40" s="521">
        <f t="shared" si="43"/>
        <v>3.9914516958143853E-2</v>
      </c>
      <c r="I40" s="521">
        <f t="shared" si="43"/>
        <v>2.7623661280244516E-2</v>
      </c>
      <c r="J40" s="521">
        <f t="shared" si="43"/>
        <v>4.2070047827617474E-2</v>
      </c>
      <c r="K40" s="521"/>
      <c r="L40" s="521"/>
      <c r="M40" s="521">
        <f t="shared" si="43"/>
        <v>-3.2115058738686919E-2</v>
      </c>
      <c r="N40" s="521">
        <f t="shared" si="43"/>
        <v>-5.3669689486414152E-3</v>
      </c>
      <c r="O40" s="521">
        <f t="shared" si="43"/>
        <v>-4.1520683840026607E-2</v>
      </c>
    </row>
    <row r="41" spans="1:27" ht="8.25" customHeight="1" x14ac:dyDescent="0.25">
      <c r="A41" s="619"/>
      <c r="B41" s="696"/>
      <c r="C41" s="697"/>
      <c r="D41" s="697"/>
      <c r="E41" s="697"/>
      <c r="F41" s="697"/>
      <c r="G41" s="698"/>
      <c r="H41" s="697"/>
      <c r="I41" s="697"/>
      <c r="J41" s="697"/>
      <c r="K41" s="697"/>
      <c r="L41" s="698"/>
      <c r="M41" s="697"/>
      <c r="N41" s="697"/>
      <c r="O41" s="697"/>
    </row>
    <row r="42" spans="1:27" ht="14.25" x14ac:dyDescent="0.3">
      <c r="A42" s="619"/>
      <c r="B42" s="699"/>
      <c r="C42" s="700"/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</row>
    <row r="43" spans="1:27" ht="14.25" x14ac:dyDescent="0.3">
      <c r="A43" s="619"/>
      <c r="B43" s="701"/>
      <c r="C43" s="700"/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</row>
    <row r="44" spans="1:27" x14ac:dyDescent="0.25">
      <c r="A44" s="619"/>
      <c r="B44" s="702"/>
      <c r="C44" s="700"/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</row>
    <row r="45" spans="1:27" ht="14.25" x14ac:dyDescent="0.3">
      <c r="A45" s="619"/>
      <c r="B45" s="701"/>
      <c r="C45" s="619"/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</row>
    <row r="46" spans="1:27" x14ac:dyDescent="0.25">
      <c r="A46" s="619"/>
      <c r="B46" s="619"/>
      <c r="C46" s="619"/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</row>
    <row r="47" spans="1:27" x14ac:dyDescent="0.25">
      <c r="A47" s="619"/>
      <c r="B47" s="619"/>
      <c r="C47" s="619"/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</row>
    <row r="48" spans="1:27" x14ac:dyDescent="0.25">
      <c r="A48" s="619"/>
      <c r="B48" s="619"/>
      <c r="C48" s="619"/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</row>
    <row r="49" spans="1:26" x14ac:dyDescent="0.25">
      <c r="A49" s="619"/>
      <c r="B49" s="619"/>
      <c r="C49" s="619"/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</row>
    <row r="50" spans="1:26" x14ac:dyDescent="0.25">
      <c r="A50" s="619"/>
      <c r="B50" s="619"/>
      <c r="C50" s="619"/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</row>
    <row r="51" spans="1:26" x14ac:dyDescent="0.25">
      <c r="A51" s="619"/>
      <c r="B51" s="619"/>
      <c r="C51" s="619"/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S51" s="527" t="s">
        <v>192</v>
      </c>
    </row>
    <row r="52" spans="1:26" x14ac:dyDescent="0.25">
      <c r="A52" s="619"/>
      <c r="B52" s="619"/>
      <c r="C52" s="619"/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S52" s="527" t="s">
        <v>4</v>
      </c>
      <c r="T52" s="527" t="s">
        <v>5</v>
      </c>
      <c r="U52" s="527" t="s">
        <v>57</v>
      </c>
      <c r="V52" s="527" t="s">
        <v>6</v>
      </c>
    </row>
    <row r="53" spans="1:26" x14ac:dyDescent="0.25">
      <c r="A53" s="619"/>
      <c r="B53" s="619"/>
      <c r="C53" s="619"/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R53" s="527">
        <v>1995</v>
      </c>
      <c r="S53" s="663">
        <f t="shared" ref="S53:S77" si="44">I7</f>
        <v>11540.590328999999</v>
      </c>
      <c r="T53" s="663">
        <f t="shared" ref="T53:T77" si="45">J7</f>
        <v>1565.7227680000001</v>
      </c>
      <c r="W53" s="703"/>
      <c r="X53" s="703"/>
      <c r="Y53" s="703"/>
      <c r="Z53" s="703"/>
    </row>
    <row r="54" spans="1:26" x14ac:dyDescent="0.25">
      <c r="A54" s="619"/>
      <c r="B54" s="619"/>
      <c r="C54" s="619"/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R54" s="527">
        <v>1996</v>
      </c>
      <c r="S54" s="663">
        <f t="shared" si="44"/>
        <v>11847.925377</v>
      </c>
      <c r="T54" s="663">
        <f t="shared" si="45"/>
        <v>1459.2416440000002</v>
      </c>
    </row>
    <row r="55" spans="1:26" x14ac:dyDescent="0.25">
      <c r="A55" s="619"/>
      <c r="B55" s="619"/>
      <c r="C55" s="619"/>
      <c r="D55" s="619"/>
      <c r="E55" s="619"/>
      <c r="F55" s="619"/>
      <c r="G55" s="619"/>
      <c r="H55" s="619"/>
      <c r="I55" s="619"/>
      <c r="J55" s="619"/>
      <c r="K55" s="619"/>
      <c r="L55" s="619"/>
      <c r="M55" s="619"/>
      <c r="N55" s="619"/>
      <c r="O55" s="619"/>
      <c r="R55" s="527">
        <v>1997</v>
      </c>
      <c r="S55" s="663">
        <f t="shared" si="44"/>
        <v>12264.791790000001</v>
      </c>
      <c r="T55" s="663">
        <f t="shared" si="45"/>
        <v>3083.2094300000008</v>
      </c>
    </row>
    <row r="56" spans="1:26" x14ac:dyDescent="0.25">
      <c r="A56" s="619"/>
      <c r="B56" s="619"/>
      <c r="C56" s="619"/>
      <c r="D56" s="619"/>
      <c r="E56" s="619"/>
      <c r="F56" s="619"/>
      <c r="G56" s="619"/>
      <c r="H56" s="619"/>
      <c r="I56" s="619"/>
      <c r="J56" s="619"/>
      <c r="K56" s="619"/>
      <c r="L56" s="619"/>
      <c r="M56" s="619"/>
      <c r="N56" s="619"/>
      <c r="O56" s="619"/>
      <c r="R56" s="527">
        <v>1998</v>
      </c>
      <c r="S56" s="663">
        <f t="shared" si="44"/>
        <v>13367.193777000002</v>
      </c>
      <c r="T56" s="663">
        <f t="shared" si="45"/>
        <v>3448.2166299999999</v>
      </c>
      <c r="W56" s="631"/>
    </row>
    <row r="57" spans="1:26" x14ac:dyDescent="0.25">
      <c r="A57" s="619"/>
      <c r="B57" s="619"/>
      <c r="C57" s="619"/>
      <c r="D57" s="619"/>
      <c r="E57" s="619"/>
      <c r="F57" s="619"/>
      <c r="G57" s="619"/>
      <c r="H57" s="619"/>
      <c r="I57" s="619"/>
      <c r="J57" s="619"/>
      <c r="K57" s="619"/>
      <c r="L57" s="619"/>
      <c r="M57" s="619"/>
      <c r="N57" s="619"/>
      <c r="O57" s="619"/>
      <c r="R57" s="527">
        <v>1999</v>
      </c>
      <c r="S57" s="663">
        <f t="shared" si="44"/>
        <v>14110.592026</v>
      </c>
      <c r="T57" s="663">
        <f t="shared" si="45"/>
        <v>3255.0052719999999</v>
      </c>
      <c r="W57" s="631"/>
    </row>
    <row r="58" spans="1:26" x14ac:dyDescent="0.25">
      <c r="A58" s="619"/>
      <c r="B58" s="619"/>
      <c r="C58" s="619"/>
      <c r="D58" s="619"/>
      <c r="E58" s="619"/>
      <c r="F58" s="619"/>
      <c r="G58" s="619"/>
      <c r="H58" s="619"/>
      <c r="I58" s="619"/>
      <c r="J58" s="619"/>
      <c r="K58" s="619"/>
      <c r="L58" s="619"/>
      <c r="M58" s="619"/>
      <c r="N58" s="619"/>
      <c r="O58" s="619"/>
      <c r="R58" s="527">
        <v>2000</v>
      </c>
      <c r="S58" s="663">
        <f t="shared" si="44"/>
        <v>15747.323264999999</v>
      </c>
      <c r="T58" s="663">
        <f t="shared" si="45"/>
        <v>2579.7287539999998</v>
      </c>
      <c r="W58" s="631"/>
    </row>
    <row r="59" spans="1:26" x14ac:dyDescent="0.25">
      <c r="A59" s="619"/>
      <c r="B59" s="619"/>
      <c r="C59" s="619"/>
      <c r="D59" s="619"/>
      <c r="E59" s="619"/>
      <c r="F59" s="619"/>
      <c r="G59" s="619"/>
      <c r="H59" s="619"/>
      <c r="I59" s="619"/>
      <c r="J59" s="619"/>
      <c r="K59" s="619"/>
      <c r="L59" s="619"/>
      <c r="M59" s="619"/>
      <c r="N59" s="619"/>
      <c r="O59" s="619"/>
      <c r="R59" s="527">
        <v>2001</v>
      </c>
      <c r="S59" s="663">
        <f t="shared" si="44"/>
        <v>17188.530773999999</v>
      </c>
      <c r="T59" s="663">
        <f t="shared" si="45"/>
        <v>2024.9494680000003</v>
      </c>
    </row>
    <row r="60" spans="1:26" x14ac:dyDescent="0.25">
      <c r="A60" s="619"/>
      <c r="B60" s="619"/>
      <c r="C60" s="619"/>
      <c r="D60" s="619"/>
      <c r="E60" s="619"/>
      <c r="F60" s="619"/>
      <c r="G60" s="619"/>
      <c r="H60" s="619"/>
      <c r="I60" s="619"/>
      <c r="J60" s="619"/>
      <c r="K60" s="619"/>
      <c r="L60" s="619"/>
      <c r="M60" s="619"/>
      <c r="N60" s="619"/>
      <c r="O60" s="619"/>
      <c r="R60" s="527">
        <v>2002</v>
      </c>
      <c r="S60" s="663">
        <f t="shared" si="44"/>
        <v>17638.158238000004</v>
      </c>
      <c r="T60" s="663">
        <f t="shared" si="45"/>
        <v>2780.1240350000003</v>
      </c>
    </row>
    <row r="61" spans="1:26" x14ac:dyDescent="0.25">
      <c r="A61" s="619"/>
      <c r="B61" s="619"/>
      <c r="C61" s="619"/>
      <c r="D61" s="619"/>
      <c r="E61" s="619"/>
      <c r="F61" s="619"/>
      <c r="G61" s="619"/>
      <c r="H61" s="619"/>
      <c r="I61" s="619"/>
      <c r="J61" s="619"/>
      <c r="K61" s="619"/>
      <c r="L61" s="619"/>
      <c r="M61" s="619"/>
      <c r="N61" s="619"/>
      <c r="O61" s="619"/>
      <c r="R61" s="527">
        <v>2003</v>
      </c>
      <c r="S61" s="663">
        <f t="shared" si="44"/>
        <v>18118.333137999995</v>
      </c>
      <c r="T61" s="663">
        <f t="shared" si="45"/>
        <v>3241.9033919999997</v>
      </c>
    </row>
    <row r="62" spans="1:26" x14ac:dyDescent="0.25">
      <c r="A62" s="619"/>
      <c r="B62" s="619"/>
      <c r="C62" s="619"/>
      <c r="D62" s="619"/>
      <c r="E62" s="619"/>
      <c r="F62" s="619"/>
      <c r="G62" s="619"/>
      <c r="H62" s="619"/>
      <c r="I62" s="619"/>
      <c r="J62" s="619"/>
      <c r="K62" s="619"/>
      <c r="L62" s="619"/>
      <c r="M62" s="619"/>
      <c r="N62" s="619"/>
      <c r="O62" s="619"/>
      <c r="R62" s="527">
        <v>2004</v>
      </c>
      <c r="S62" s="663">
        <f t="shared" si="44"/>
        <v>17100.664633000004</v>
      </c>
      <c r="T62" s="663">
        <f t="shared" si="45"/>
        <v>5518.0477580000006</v>
      </c>
    </row>
    <row r="63" spans="1:26" x14ac:dyDescent="0.25">
      <c r="A63" s="619"/>
      <c r="B63" s="619"/>
      <c r="C63" s="619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19"/>
      <c r="O63" s="619"/>
      <c r="R63" s="527">
        <v>2005</v>
      </c>
      <c r="S63" s="663">
        <f t="shared" si="44"/>
        <v>17567.105377792748</v>
      </c>
      <c r="T63" s="663">
        <f t="shared" si="45"/>
        <v>6242.5431669999998</v>
      </c>
    </row>
    <row r="64" spans="1:26" x14ac:dyDescent="0.25">
      <c r="A64" s="619"/>
      <c r="B64" s="619"/>
      <c r="C64" s="619"/>
      <c r="D64" s="619"/>
      <c r="E64" s="619"/>
      <c r="F64" s="619"/>
      <c r="G64" s="619"/>
      <c r="H64" s="619"/>
      <c r="I64" s="619"/>
      <c r="J64" s="619"/>
      <c r="K64" s="619"/>
      <c r="L64" s="619"/>
      <c r="M64" s="619"/>
      <c r="N64" s="619"/>
      <c r="O64" s="619"/>
      <c r="R64" s="527">
        <v>2006</v>
      </c>
      <c r="S64" s="663">
        <f t="shared" si="44"/>
        <v>19160.751642958581</v>
      </c>
      <c r="T64" s="663">
        <f t="shared" si="45"/>
        <v>6451.7857470000008</v>
      </c>
    </row>
    <row r="65" spans="1:22" x14ac:dyDescent="0.25">
      <c r="A65" s="619"/>
      <c r="B65" s="619"/>
      <c r="C65" s="619"/>
      <c r="D65" s="619"/>
      <c r="E65" s="619"/>
      <c r="F65" s="619"/>
      <c r="G65" s="619"/>
      <c r="H65" s="619"/>
      <c r="I65" s="619"/>
      <c r="J65" s="619"/>
      <c r="K65" s="619"/>
      <c r="L65" s="619"/>
      <c r="M65" s="619"/>
      <c r="N65" s="619"/>
      <c r="O65" s="619"/>
      <c r="R65" s="555">
        <v>2007</v>
      </c>
      <c r="S65" s="663">
        <f t="shared" si="44"/>
        <v>19107.193966340001</v>
      </c>
      <c r="T65" s="663">
        <f t="shared" si="45"/>
        <v>9092.0707240000011</v>
      </c>
    </row>
    <row r="66" spans="1:22" x14ac:dyDescent="0.25">
      <c r="A66" s="619"/>
      <c r="B66" s="619"/>
      <c r="C66" s="619"/>
      <c r="D66" s="619"/>
      <c r="E66" s="619"/>
      <c r="F66" s="619"/>
      <c r="G66" s="619"/>
      <c r="H66" s="619"/>
      <c r="I66" s="619"/>
      <c r="J66" s="619"/>
      <c r="K66" s="619"/>
      <c r="L66" s="619"/>
      <c r="M66" s="619"/>
      <c r="N66" s="619"/>
      <c r="O66" s="619"/>
      <c r="R66" s="527">
        <v>2008</v>
      </c>
      <c r="S66" s="663">
        <f t="shared" si="44"/>
        <v>18607.792107000001</v>
      </c>
      <c r="T66" s="663">
        <f t="shared" si="45"/>
        <v>11965.692749</v>
      </c>
    </row>
    <row r="67" spans="1:22" x14ac:dyDescent="0.25">
      <c r="A67" s="619"/>
      <c r="B67" s="619"/>
      <c r="C67" s="619"/>
      <c r="D67" s="619"/>
      <c r="E67" s="619"/>
      <c r="F67" s="619"/>
      <c r="G67" s="619"/>
      <c r="H67" s="619"/>
      <c r="I67" s="619"/>
      <c r="J67" s="619"/>
      <c r="K67" s="619"/>
      <c r="L67" s="619"/>
      <c r="M67" s="619"/>
      <c r="N67" s="619"/>
      <c r="O67" s="619"/>
      <c r="R67" s="527">
        <v>2009</v>
      </c>
      <c r="S67" s="663">
        <f t="shared" si="44"/>
        <v>19419.221612000012</v>
      </c>
      <c r="T67" s="663">
        <f t="shared" si="45"/>
        <v>11501.454770999997</v>
      </c>
    </row>
    <row r="68" spans="1:22" x14ac:dyDescent="0.25">
      <c r="A68" s="619"/>
      <c r="B68" s="619"/>
      <c r="C68" s="619"/>
      <c r="D68" s="619"/>
      <c r="E68" s="619"/>
      <c r="F68" s="619"/>
      <c r="G68" s="619"/>
      <c r="H68" s="619"/>
      <c r="I68" s="619"/>
      <c r="J68" s="619"/>
      <c r="K68" s="619"/>
      <c r="L68" s="619"/>
      <c r="M68" s="619"/>
      <c r="N68" s="619"/>
      <c r="O68" s="619"/>
      <c r="R68" s="527">
        <v>2010</v>
      </c>
      <c r="S68" s="663">
        <f t="shared" si="44"/>
        <v>19567.404609199999</v>
      </c>
      <c r="T68" s="663">
        <f t="shared" si="45"/>
        <v>13977.184797999998</v>
      </c>
    </row>
    <row r="69" spans="1:22" x14ac:dyDescent="0.25">
      <c r="A69" s="619"/>
      <c r="B69" s="619"/>
      <c r="C69" s="619"/>
      <c r="D69" s="619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R69" s="527">
        <v>2011</v>
      </c>
      <c r="S69" s="663">
        <f t="shared" si="44"/>
        <v>21027.418404235199</v>
      </c>
      <c r="T69" s="663">
        <f t="shared" si="45"/>
        <v>15219.887485999994</v>
      </c>
    </row>
    <row r="70" spans="1:22" x14ac:dyDescent="0.25">
      <c r="A70" s="619"/>
      <c r="B70" s="619"/>
      <c r="C70" s="619"/>
      <c r="D70" s="619"/>
      <c r="E70" s="619"/>
      <c r="F70" s="619"/>
      <c r="G70" s="619"/>
      <c r="H70" s="619"/>
      <c r="I70" s="619"/>
      <c r="J70" s="619"/>
      <c r="K70" s="619"/>
      <c r="L70" s="619"/>
      <c r="M70" s="619"/>
      <c r="N70" s="619"/>
      <c r="O70" s="619"/>
      <c r="R70" s="527">
        <v>2012</v>
      </c>
      <c r="S70" s="663">
        <f t="shared" si="44"/>
        <v>21489.314383560613</v>
      </c>
      <c r="T70" s="663">
        <f t="shared" si="45"/>
        <v>16806.576734794362</v>
      </c>
      <c r="U70" s="663">
        <f t="shared" ref="U70:U77" si="46">K24</f>
        <v>55.583366799563997</v>
      </c>
    </row>
    <row r="71" spans="1:22" x14ac:dyDescent="0.25">
      <c r="A71" s="619"/>
      <c r="B71" s="619"/>
      <c r="C71" s="619"/>
      <c r="D71" s="619"/>
      <c r="E71" s="619"/>
      <c r="F71" s="619"/>
      <c r="G71" s="619"/>
      <c r="H71" s="619"/>
      <c r="I71" s="619"/>
      <c r="J71" s="619"/>
      <c r="K71" s="619"/>
      <c r="L71" s="619"/>
      <c r="M71" s="619"/>
      <c r="N71" s="619"/>
      <c r="O71" s="619"/>
      <c r="R71" s="527">
        <v>2013</v>
      </c>
      <c r="S71" s="663">
        <f t="shared" si="44"/>
        <v>21709.384683427117</v>
      </c>
      <c r="T71" s="663">
        <f t="shared" si="45"/>
        <v>18757.127455751826</v>
      </c>
      <c r="U71" s="663">
        <f t="shared" si="46"/>
        <v>196.92788000000002</v>
      </c>
    </row>
    <row r="72" spans="1:22" x14ac:dyDescent="0.25">
      <c r="A72" s="619"/>
      <c r="B72" s="619"/>
      <c r="C72" s="619"/>
      <c r="D72" s="619"/>
      <c r="E72" s="619"/>
      <c r="F72" s="619"/>
      <c r="G72" s="619"/>
      <c r="H72" s="619"/>
      <c r="I72" s="619"/>
      <c r="J72" s="619"/>
      <c r="K72" s="619"/>
      <c r="L72" s="619"/>
      <c r="M72" s="619"/>
      <c r="N72" s="619"/>
      <c r="O72" s="619"/>
      <c r="R72" s="527">
        <v>2014</v>
      </c>
      <c r="S72" s="663">
        <f t="shared" si="44"/>
        <v>21610.924675940143</v>
      </c>
      <c r="T72" s="663">
        <f t="shared" si="45"/>
        <v>20778.478798658423</v>
      </c>
      <c r="U72" s="663">
        <f t="shared" si="46"/>
        <v>199.30359694553749</v>
      </c>
      <c r="V72" s="663">
        <f t="shared" ref="V72:V77" si="47">L26</f>
        <v>257.5406575769008</v>
      </c>
    </row>
    <row r="73" spans="1:22" x14ac:dyDescent="0.25">
      <c r="A73" s="619"/>
      <c r="B73" s="619"/>
      <c r="C73" s="619"/>
      <c r="D73" s="619"/>
      <c r="E73" s="619"/>
      <c r="F73" s="619"/>
      <c r="G73" s="619"/>
      <c r="H73" s="619"/>
      <c r="I73" s="619"/>
      <c r="J73" s="619"/>
      <c r="K73" s="619"/>
      <c r="L73" s="619"/>
      <c r="M73" s="619"/>
      <c r="N73" s="619"/>
      <c r="O73" s="619"/>
      <c r="R73" s="527">
        <v>2015</v>
      </c>
      <c r="S73" s="663">
        <f t="shared" si="44"/>
        <v>23127.103615596498</v>
      </c>
      <c r="T73" s="663">
        <f t="shared" si="45"/>
        <v>21758.428387300512</v>
      </c>
      <c r="U73" s="663">
        <f t="shared" si="46"/>
        <v>230.25534300000001</v>
      </c>
      <c r="V73" s="663">
        <f t="shared" si="47"/>
        <v>595.60053148867007</v>
      </c>
    </row>
    <row r="74" spans="1:22" x14ac:dyDescent="0.25">
      <c r="A74" s="619"/>
      <c r="B74" s="619"/>
      <c r="C74" s="619"/>
      <c r="D74" s="619"/>
      <c r="E74" s="619"/>
      <c r="F74" s="619"/>
      <c r="G74" s="619"/>
      <c r="H74" s="619"/>
      <c r="I74" s="619"/>
      <c r="J74" s="619"/>
      <c r="K74" s="619"/>
      <c r="L74" s="619"/>
      <c r="M74" s="619"/>
      <c r="N74" s="619"/>
      <c r="O74" s="619"/>
      <c r="R74" s="527">
        <v>2016</v>
      </c>
      <c r="S74" s="663">
        <f t="shared" si="44"/>
        <v>23652.579328757882</v>
      </c>
      <c r="T74" s="663">
        <f t="shared" si="45"/>
        <v>24576.663937622368</v>
      </c>
      <c r="U74" s="663">
        <f t="shared" si="46"/>
        <v>241.00855899999999</v>
      </c>
      <c r="V74" s="663">
        <f t="shared" si="47"/>
        <v>1063.8290854064542</v>
      </c>
    </row>
    <row r="75" spans="1:22" x14ac:dyDescent="0.25">
      <c r="A75" s="619"/>
      <c r="B75" s="619"/>
      <c r="C75" s="619"/>
      <c r="D75" s="619"/>
      <c r="E75" s="619"/>
      <c r="F75" s="619"/>
      <c r="G75" s="619"/>
      <c r="H75" s="619"/>
      <c r="I75" s="619"/>
      <c r="J75" s="619"/>
      <c r="K75" s="619"/>
      <c r="L75" s="619"/>
      <c r="M75" s="619"/>
      <c r="N75" s="619"/>
      <c r="O75" s="619"/>
      <c r="R75" s="527">
        <v>2017</v>
      </c>
      <c r="S75" s="663">
        <f t="shared" si="44"/>
        <v>28393.01122177652</v>
      </c>
      <c r="T75" s="663">
        <f t="shared" si="45"/>
        <v>20591.218352000004</v>
      </c>
      <c r="U75" s="663">
        <f t="shared" si="46"/>
        <v>287.20034299999998</v>
      </c>
      <c r="V75" s="663">
        <f t="shared" si="47"/>
        <v>1073.432268</v>
      </c>
    </row>
    <row r="76" spans="1:22" x14ac:dyDescent="0.25">
      <c r="A76" s="619"/>
      <c r="B76" s="619"/>
      <c r="C76" s="619"/>
      <c r="D76" s="619"/>
      <c r="E76" s="619"/>
      <c r="F76" s="619"/>
      <c r="G76" s="619"/>
      <c r="H76" s="619"/>
      <c r="I76" s="619"/>
      <c r="J76" s="619"/>
      <c r="K76" s="619"/>
      <c r="L76" s="619"/>
      <c r="M76" s="619"/>
      <c r="N76" s="619"/>
      <c r="O76" s="619"/>
      <c r="R76" s="527">
        <v>2018</v>
      </c>
      <c r="S76" s="663">
        <f t="shared" si="44"/>
        <v>29989.333366932755</v>
      </c>
      <c r="T76" s="663">
        <f t="shared" si="45"/>
        <v>20125.222511950011</v>
      </c>
      <c r="U76" s="663">
        <f t="shared" si="46"/>
        <v>745.40054000000009</v>
      </c>
      <c r="V76" s="663">
        <f t="shared" si="47"/>
        <v>1502.4381678166665</v>
      </c>
    </row>
    <row r="77" spans="1:22" x14ac:dyDescent="0.25">
      <c r="A77" s="619"/>
      <c r="B77" s="619"/>
      <c r="C77" s="619"/>
      <c r="D77" s="619"/>
      <c r="E77" s="619"/>
      <c r="F77" s="619"/>
      <c r="G77" s="619"/>
      <c r="H77" s="619"/>
      <c r="I77" s="619"/>
      <c r="J77" s="619"/>
      <c r="K77" s="619"/>
      <c r="L77" s="619"/>
      <c r="M77" s="619"/>
      <c r="N77" s="619"/>
      <c r="O77" s="619"/>
      <c r="R77" s="527">
        <v>2019</v>
      </c>
      <c r="S77" s="663">
        <f t="shared" si="44"/>
        <v>30769.211305633791</v>
      </c>
      <c r="T77" s="663">
        <f t="shared" si="45"/>
        <v>21261.283020000013</v>
      </c>
      <c r="U77" s="663">
        <f t="shared" si="46"/>
        <v>763.05863999999997</v>
      </c>
      <c r="V77" s="663">
        <f t="shared" si="47"/>
        <v>1655.0389929999999</v>
      </c>
    </row>
    <row r="78" spans="1:22" x14ac:dyDescent="0.25">
      <c r="A78" s="619"/>
      <c r="B78" s="619"/>
      <c r="C78" s="619"/>
      <c r="D78" s="619"/>
      <c r="E78" s="619"/>
      <c r="F78" s="619"/>
      <c r="G78" s="619"/>
      <c r="H78" s="619"/>
      <c r="I78" s="619"/>
      <c r="J78" s="619"/>
      <c r="K78" s="619"/>
      <c r="L78" s="619"/>
      <c r="M78" s="619"/>
      <c r="N78" s="619"/>
      <c r="O78" s="619"/>
      <c r="R78" s="527">
        <v>2020</v>
      </c>
      <c r="S78" s="663">
        <f t="shared" ref="S78:V78" si="48">I32</f>
        <v>29895.459940539771</v>
      </c>
      <c r="T78" s="663">
        <f t="shared" si="48"/>
        <v>18169.253182999986</v>
      </c>
      <c r="U78" s="663">
        <f t="shared" si="48"/>
        <v>778.20613200000003</v>
      </c>
      <c r="V78" s="663">
        <f t="shared" si="48"/>
        <v>1814.1021039999998</v>
      </c>
    </row>
    <row r="79" spans="1:22" x14ac:dyDescent="0.25">
      <c r="A79" s="619"/>
      <c r="B79" s="619"/>
      <c r="C79" s="619"/>
      <c r="D79" s="619"/>
      <c r="E79" s="619"/>
      <c r="F79" s="619"/>
      <c r="G79" s="619"/>
      <c r="H79" s="619"/>
      <c r="I79" s="619"/>
      <c r="J79" s="619"/>
      <c r="K79" s="619"/>
      <c r="L79" s="619"/>
      <c r="M79" s="619"/>
      <c r="N79" s="619"/>
      <c r="O79" s="619"/>
      <c r="R79" s="527">
        <v>2021</v>
      </c>
      <c r="S79" s="663">
        <f t="shared" ref="S79:V79" si="49">I33</f>
        <v>31293.61100400002</v>
      </c>
      <c r="T79" s="663">
        <f t="shared" si="49"/>
        <v>21619.872432000004</v>
      </c>
      <c r="U79" s="663">
        <f t="shared" si="49"/>
        <v>801.697453</v>
      </c>
      <c r="V79" s="663">
        <f t="shared" si="49"/>
        <v>1822.574989</v>
      </c>
    </row>
    <row r="80" spans="1:22" x14ac:dyDescent="0.25">
      <c r="A80" s="619"/>
      <c r="B80" s="619"/>
      <c r="C80" s="619"/>
      <c r="D80" s="619"/>
      <c r="E80" s="619"/>
      <c r="F80" s="619"/>
      <c r="G80" s="619"/>
      <c r="H80" s="619"/>
      <c r="I80" s="619"/>
      <c r="J80" s="619"/>
      <c r="K80" s="619"/>
      <c r="L80" s="619"/>
      <c r="M80" s="619"/>
      <c r="N80" s="619"/>
      <c r="O80" s="619"/>
      <c r="R80" s="527">
        <v>2022</v>
      </c>
      <c r="S80" s="663">
        <f t="shared" ref="S80:V80" si="50">I34</f>
        <v>29164.347417939985</v>
      </c>
      <c r="T80" s="663">
        <f t="shared" si="50"/>
        <v>25897.253168820014</v>
      </c>
      <c r="U80" s="663">
        <f t="shared" si="50"/>
        <v>820.98820499999999</v>
      </c>
      <c r="V80" s="663">
        <f t="shared" si="50"/>
        <v>1931.8692930000004</v>
      </c>
    </row>
    <row r="81" spans="1:22" x14ac:dyDescent="0.25">
      <c r="A81" s="619"/>
      <c r="B81" s="619"/>
      <c r="C81" s="619"/>
      <c r="D81" s="619"/>
      <c r="E81" s="619"/>
      <c r="F81" s="619"/>
      <c r="G81" s="619"/>
      <c r="H81" s="619"/>
      <c r="I81" s="619"/>
      <c r="J81" s="619"/>
      <c r="K81" s="619"/>
      <c r="L81" s="619"/>
      <c r="M81" s="619"/>
      <c r="N81" s="619"/>
      <c r="O81" s="619"/>
      <c r="R81" s="526">
        <v>2023</v>
      </c>
      <c r="S81" s="663">
        <f t="shared" ref="S81:V81" si="51">I35</f>
        <v>28509.425688878564</v>
      </c>
      <c r="T81" s="663">
        <f t="shared" si="51"/>
        <v>28322.752754999994</v>
      </c>
      <c r="U81" s="663">
        <f t="shared" si="51"/>
        <v>956.68685799999992</v>
      </c>
      <c r="V81" s="663">
        <f t="shared" si="51"/>
        <v>2355.3167570000001</v>
      </c>
    </row>
    <row r="82" spans="1:22" x14ac:dyDescent="0.25">
      <c r="A82" s="619"/>
      <c r="B82" s="619"/>
      <c r="C82" s="619"/>
      <c r="D82" s="619"/>
      <c r="E82" s="619"/>
      <c r="F82" s="619"/>
      <c r="G82" s="619"/>
      <c r="H82" s="619"/>
      <c r="I82" s="619"/>
      <c r="J82" s="619"/>
      <c r="K82" s="619"/>
      <c r="L82" s="619"/>
      <c r="M82" s="619"/>
      <c r="N82" s="619"/>
      <c r="O82" s="619"/>
    </row>
    <row r="83" spans="1:22" x14ac:dyDescent="0.25">
      <c r="A83" s="619"/>
      <c r="B83" s="619"/>
      <c r="C83" s="619"/>
      <c r="D83" s="619"/>
      <c r="E83" s="619"/>
      <c r="F83" s="619"/>
      <c r="G83" s="619"/>
      <c r="H83" s="619"/>
      <c r="I83" s="619"/>
      <c r="J83" s="619"/>
      <c r="K83" s="619"/>
      <c r="L83" s="619"/>
      <c r="M83" s="619"/>
      <c r="N83" s="619"/>
      <c r="O83" s="619"/>
    </row>
    <row r="84" spans="1:22" x14ac:dyDescent="0.25">
      <c r="A84" s="619"/>
      <c r="B84" s="619"/>
      <c r="C84" s="619"/>
      <c r="D84" s="619"/>
      <c r="E84" s="619"/>
      <c r="F84" s="619"/>
      <c r="G84" s="619"/>
      <c r="H84" s="619"/>
      <c r="I84" s="619"/>
      <c r="J84" s="619"/>
      <c r="K84" s="619"/>
      <c r="L84" s="619"/>
      <c r="M84" s="619"/>
      <c r="N84" s="619"/>
      <c r="O84" s="619"/>
      <c r="S84" s="527" t="s">
        <v>46</v>
      </c>
    </row>
    <row r="85" spans="1:22" x14ac:dyDescent="0.25">
      <c r="A85" s="619"/>
      <c r="B85" s="619"/>
      <c r="C85" s="619"/>
      <c r="D85" s="619"/>
      <c r="E85" s="619"/>
      <c r="F85" s="619"/>
      <c r="G85" s="619"/>
      <c r="H85" s="619"/>
      <c r="I85" s="619"/>
      <c r="J85" s="619"/>
      <c r="K85" s="619"/>
      <c r="L85" s="619"/>
      <c r="M85" s="619"/>
      <c r="N85" s="619"/>
      <c r="O85" s="619"/>
      <c r="S85" s="527" t="s">
        <v>4</v>
      </c>
      <c r="T85" s="527" t="s">
        <v>5</v>
      </c>
    </row>
    <row r="86" spans="1:22" x14ac:dyDescent="0.25">
      <c r="A86" s="619"/>
      <c r="B86" s="619"/>
      <c r="C86" s="619"/>
      <c r="D86" s="619"/>
      <c r="E86" s="619"/>
      <c r="F86" s="619"/>
      <c r="G86" s="619"/>
      <c r="H86" s="619"/>
      <c r="I86" s="619"/>
      <c r="J86" s="619"/>
      <c r="K86" s="619"/>
      <c r="L86" s="619"/>
      <c r="M86" s="619"/>
      <c r="N86" s="619"/>
      <c r="O86" s="619"/>
      <c r="R86" s="527">
        <v>1995</v>
      </c>
      <c r="S86" s="663">
        <f t="shared" ref="S86:S110" si="52">N7</f>
        <v>1396.9631319999999</v>
      </c>
      <c r="T86" s="663">
        <f t="shared" ref="T86:T110" si="53">O7</f>
        <v>2376.8383720000002</v>
      </c>
    </row>
    <row r="87" spans="1:22" x14ac:dyDescent="0.25">
      <c r="A87" s="619"/>
      <c r="B87" s="619"/>
      <c r="C87" s="619"/>
      <c r="D87" s="619"/>
      <c r="E87" s="619"/>
      <c r="F87" s="619"/>
      <c r="G87" s="619"/>
      <c r="H87" s="619"/>
      <c r="I87" s="619"/>
      <c r="J87" s="619"/>
      <c r="K87" s="619"/>
      <c r="L87" s="619"/>
      <c r="M87" s="619"/>
      <c r="N87" s="619"/>
      <c r="O87" s="619"/>
      <c r="R87" s="527">
        <v>1996</v>
      </c>
      <c r="S87" s="663">
        <f t="shared" si="52"/>
        <v>1475.6467010000001</v>
      </c>
      <c r="T87" s="663">
        <f t="shared" si="53"/>
        <v>2496.5885710000002</v>
      </c>
    </row>
    <row r="88" spans="1:22" x14ac:dyDescent="0.25">
      <c r="A88" s="619"/>
      <c r="B88" s="619"/>
      <c r="C88" s="619"/>
      <c r="D88" s="619"/>
      <c r="E88" s="619"/>
      <c r="F88" s="619"/>
      <c r="G88" s="619"/>
      <c r="H88" s="619"/>
      <c r="I88" s="619"/>
      <c r="J88" s="619"/>
      <c r="K88" s="619"/>
      <c r="L88" s="619"/>
      <c r="M88" s="619"/>
      <c r="N88" s="619"/>
      <c r="O88" s="619"/>
      <c r="R88" s="527">
        <v>1997</v>
      </c>
      <c r="S88" s="663">
        <f t="shared" si="52"/>
        <v>949.73769199999992</v>
      </c>
      <c r="T88" s="663">
        <f t="shared" si="53"/>
        <v>1655.1130069999999</v>
      </c>
    </row>
    <row r="89" spans="1:22" x14ac:dyDescent="0.25">
      <c r="A89" s="619"/>
      <c r="B89" s="619"/>
      <c r="C89" s="619"/>
      <c r="D89" s="619"/>
      <c r="E89" s="619"/>
      <c r="F89" s="619"/>
      <c r="G89" s="619"/>
      <c r="H89" s="619"/>
      <c r="I89" s="619"/>
      <c r="J89" s="619"/>
      <c r="K89" s="619"/>
      <c r="L89" s="619"/>
      <c r="M89" s="619"/>
      <c r="N89" s="619"/>
      <c r="O89" s="619"/>
      <c r="R89" s="527">
        <v>1998</v>
      </c>
      <c r="S89" s="663">
        <f t="shared" si="52"/>
        <v>441.09136100000001</v>
      </c>
      <c r="T89" s="663">
        <f t="shared" si="53"/>
        <v>1325.5106380000002</v>
      </c>
    </row>
    <row r="90" spans="1:22" x14ac:dyDescent="0.25">
      <c r="A90" s="619"/>
      <c r="B90" s="619"/>
      <c r="C90" s="619"/>
      <c r="D90" s="619"/>
      <c r="E90" s="619"/>
      <c r="F90" s="619"/>
      <c r="G90" s="619"/>
      <c r="H90" s="619"/>
      <c r="I90" s="619"/>
      <c r="J90" s="619"/>
      <c r="K90" s="619"/>
      <c r="L90" s="619"/>
      <c r="M90" s="619"/>
      <c r="N90" s="619"/>
      <c r="O90" s="619"/>
      <c r="R90" s="527">
        <v>1999</v>
      </c>
      <c r="S90" s="663">
        <f t="shared" si="52"/>
        <v>429.98925900000006</v>
      </c>
      <c r="T90" s="663">
        <f t="shared" si="53"/>
        <v>1253.40626</v>
      </c>
    </row>
    <row r="91" spans="1:22" x14ac:dyDescent="0.25">
      <c r="A91" s="619"/>
      <c r="B91" s="619"/>
      <c r="C91" s="619"/>
      <c r="D91" s="619"/>
      <c r="E91" s="619"/>
      <c r="F91" s="619"/>
      <c r="G91" s="619"/>
      <c r="H91" s="619"/>
      <c r="I91" s="619"/>
      <c r="J91" s="619"/>
      <c r="K91" s="619"/>
      <c r="L91" s="619"/>
      <c r="M91" s="619"/>
      <c r="N91" s="619"/>
      <c r="O91" s="619"/>
      <c r="R91" s="527">
        <v>2000</v>
      </c>
      <c r="S91" s="663">
        <f t="shared" si="52"/>
        <v>428.72810099999998</v>
      </c>
      <c r="T91" s="663">
        <f t="shared" si="53"/>
        <v>1166.0715179999995</v>
      </c>
    </row>
    <row r="92" spans="1:22" x14ac:dyDescent="0.25">
      <c r="A92" s="619"/>
      <c r="B92" s="619"/>
      <c r="C92" s="619"/>
      <c r="D92" s="619"/>
      <c r="E92" s="619"/>
      <c r="F92" s="619"/>
      <c r="G92" s="619"/>
      <c r="H92" s="619"/>
      <c r="I92" s="619"/>
      <c r="J92" s="619"/>
      <c r="K92" s="619"/>
      <c r="L92" s="619"/>
      <c r="M92" s="619"/>
      <c r="N92" s="619"/>
      <c r="O92" s="619"/>
      <c r="R92" s="527">
        <v>2001</v>
      </c>
      <c r="S92" s="663">
        <f t="shared" si="52"/>
        <v>426.42942600000009</v>
      </c>
      <c r="T92" s="663">
        <f t="shared" si="53"/>
        <v>1144.8006490000032</v>
      </c>
    </row>
    <row r="93" spans="1:22" x14ac:dyDescent="0.25">
      <c r="A93" s="619"/>
      <c r="B93" s="619"/>
      <c r="C93" s="619"/>
      <c r="D93" s="619"/>
      <c r="E93" s="619"/>
      <c r="F93" s="619"/>
      <c r="G93" s="619"/>
      <c r="H93" s="619"/>
      <c r="I93" s="619"/>
      <c r="J93" s="619"/>
      <c r="K93" s="619"/>
      <c r="L93" s="619"/>
      <c r="M93" s="619"/>
      <c r="N93" s="619"/>
      <c r="O93" s="619"/>
      <c r="R93" s="527">
        <v>2002</v>
      </c>
      <c r="S93" s="663">
        <f t="shared" si="52"/>
        <v>401.9696770000001</v>
      </c>
      <c r="T93" s="663">
        <f t="shared" si="53"/>
        <v>1160.8448220000034</v>
      </c>
    </row>
    <row r="94" spans="1:22" x14ac:dyDescent="0.25">
      <c r="A94" s="619"/>
      <c r="B94" s="619"/>
      <c r="C94" s="619"/>
      <c r="D94" s="619"/>
      <c r="E94" s="619"/>
      <c r="F94" s="619"/>
      <c r="G94" s="619"/>
      <c r="H94" s="619"/>
      <c r="I94" s="619"/>
      <c r="J94" s="619"/>
      <c r="K94" s="619"/>
      <c r="L94" s="619"/>
      <c r="M94" s="619"/>
      <c r="N94" s="619"/>
      <c r="O94" s="619"/>
      <c r="R94" s="527">
        <v>2003</v>
      </c>
      <c r="S94" s="663">
        <f t="shared" si="52"/>
        <v>415.38772300000005</v>
      </c>
      <c r="T94" s="663">
        <f t="shared" si="53"/>
        <v>1146.5032210000034</v>
      </c>
    </row>
    <row r="95" spans="1:22" x14ac:dyDescent="0.25">
      <c r="A95" s="619"/>
      <c r="B95" s="619"/>
      <c r="C95" s="619"/>
      <c r="D95" s="619"/>
      <c r="E95" s="619"/>
      <c r="F95" s="619"/>
      <c r="G95" s="619"/>
      <c r="H95" s="619"/>
      <c r="I95" s="619"/>
      <c r="J95" s="619"/>
      <c r="K95" s="619"/>
      <c r="L95" s="619"/>
      <c r="M95" s="619"/>
      <c r="N95" s="619"/>
      <c r="O95" s="619"/>
      <c r="R95" s="527">
        <v>2004</v>
      </c>
      <c r="S95" s="663">
        <f t="shared" si="52"/>
        <v>424.674328</v>
      </c>
      <c r="T95" s="663">
        <f t="shared" si="53"/>
        <v>1222.3989520000002</v>
      </c>
    </row>
    <row r="96" spans="1:22" x14ac:dyDescent="0.25">
      <c r="A96" s="619"/>
      <c r="B96" s="619"/>
      <c r="C96" s="619"/>
      <c r="D96" s="619"/>
      <c r="E96" s="619"/>
      <c r="F96" s="619"/>
      <c r="G96" s="619"/>
      <c r="H96" s="619"/>
      <c r="I96" s="619"/>
      <c r="J96" s="619"/>
      <c r="K96" s="619"/>
      <c r="L96" s="619"/>
      <c r="M96" s="619"/>
      <c r="N96" s="619"/>
      <c r="O96" s="619"/>
      <c r="R96" s="527">
        <v>2005</v>
      </c>
      <c r="S96" s="663">
        <f t="shared" si="52"/>
        <v>409.88795820724977</v>
      </c>
      <c r="T96" s="663">
        <f t="shared" si="53"/>
        <v>1288.9739120000033</v>
      </c>
    </row>
    <row r="97" spans="1:20" x14ac:dyDescent="0.25">
      <c r="A97" s="619"/>
      <c r="B97" s="619"/>
      <c r="C97" s="619"/>
      <c r="D97" s="619"/>
      <c r="E97" s="619"/>
      <c r="F97" s="619"/>
      <c r="G97" s="619"/>
      <c r="H97" s="619"/>
      <c r="I97" s="619"/>
      <c r="J97" s="619"/>
      <c r="K97" s="619"/>
      <c r="L97" s="619"/>
      <c r="M97" s="619"/>
      <c r="N97" s="619"/>
      <c r="O97" s="619"/>
      <c r="R97" s="527">
        <v>2006</v>
      </c>
      <c r="S97" s="663">
        <f t="shared" si="52"/>
        <v>433.59552104141386</v>
      </c>
      <c r="T97" s="663">
        <f t="shared" si="53"/>
        <v>1322.4694165800001</v>
      </c>
    </row>
    <row r="98" spans="1:20" x14ac:dyDescent="0.25">
      <c r="A98" s="619"/>
      <c r="B98" s="619"/>
      <c r="C98" s="619"/>
      <c r="D98" s="619"/>
      <c r="E98" s="619"/>
      <c r="F98" s="619"/>
      <c r="G98" s="619"/>
      <c r="H98" s="619"/>
      <c r="I98" s="619"/>
      <c r="J98" s="619"/>
      <c r="K98" s="619"/>
      <c r="L98" s="619"/>
      <c r="M98" s="619"/>
      <c r="N98" s="619"/>
      <c r="O98" s="619"/>
      <c r="R98" s="555">
        <v>2007</v>
      </c>
      <c r="S98" s="663">
        <f t="shared" si="52"/>
        <v>441.58805366000001</v>
      </c>
      <c r="T98" s="663">
        <f t="shared" si="53"/>
        <v>1300.9679980000003</v>
      </c>
    </row>
    <row r="99" spans="1:20" x14ac:dyDescent="0.25">
      <c r="A99" s="619"/>
      <c r="B99" s="619"/>
      <c r="C99" s="619"/>
      <c r="D99" s="619"/>
      <c r="E99" s="619"/>
      <c r="F99" s="619"/>
      <c r="G99" s="619"/>
      <c r="H99" s="619"/>
      <c r="I99" s="619"/>
      <c r="J99" s="619"/>
      <c r="K99" s="619"/>
      <c r="L99" s="619"/>
      <c r="M99" s="619"/>
      <c r="N99" s="619"/>
      <c r="O99" s="619"/>
      <c r="R99" s="527">
        <v>2008</v>
      </c>
      <c r="S99" s="663">
        <f t="shared" si="52"/>
        <v>451.82564200000002</v>
      </c>
      <c r="T99" s="663">
        <f t="shared" si="53"/>
        <v>1436.569385</v>
      </c>
    </row>
    <row r="100" spans="1:20" x14ac:dyDescent="0.25">
      <c r="A100" s="619"/>
      <c r="B100" s="619"/>
      <c r="C100" s="619"/>
      <c r="D100" s="619"/>
      <c r="E100" s="619"/>
      <c r="F100" s="619"/>
      <c r="G100" s="619"/>
      <c r="H100" s="619"/>
      <c r="I100" s="619"/>
      <c r="J100" s="619"/>
      <c r="K100" s="619"/>
      <c r="L100" s="619"/>
      <c r="M100" s="619"/>
      <c r="N100" s="619"/>
      <c r="O100" s="619"/>
      <c r="R100" s="527">
        <v>2009</v>
      </c>
      <c r="S100" s="663">
        <f t="shared" si="52"/>
        <v>484.55479200000002</v>
      </c>
      <c r="T100" s="663">
        <f t="shared" si="53"/>
        <v>1538.2782459999999</v>
      </c>
    </row>
    <row r="101" spans="1:20" x14ac:dyDescent="0.25">
      <c r="A101" s="619"/>
      <c r="B101" s="619"/>
      <c r="C101" s="619"/>
      <c r="D101" s="619"/>
      <c r="E101" s="619"/>
      <c r="F101" s="619"/>
      <c r="G101" s="619"/>
      <c r="H101" s="619"/>
      <c r="I101" s="619"/>
      <c r="J101" s="619"/>
      <c r="K101" s="619"/>
      <c r="L101" s="619"/>
      <c r="M101" s="619"/>
      <c r="N101" s="619"/>
      <c r="O101" s="619"/>
      <c r="R101" s="527">
        <v>2010</v>
      </c>
      <c r="S101" s="663">
        <f t="shared" si="52"/>
        <v>484.72467099999994</v>
      </c>
      <c r="T101" s="663">
        <f t="shared" si="53"/>
        <v>1877.467463</v>
      </c>
    </row>
    <row r="102" spans="1:20" x14ac:dyDescent="0.25">
      <c r="R102" s="527">
        <v>2011</v>
      </c>
      <c r="S102" s="663">
        <f t="shared" si="52"/>
        <v>529.90831255000012</v>
      </c>
      <c r="T102" s="663">
        <f t="shared" si="53"/>
        <v>2028.02</v>
      </c>
    </row>
    <row r="103" spans="1:20" x14ac:dyDescent="0.25">
      <c r="R103" s="527">
        <v>2012</v>
      </c>
      <c r="S103" s="663">
        <f t="shared" si="52"/>
        <v>554.72667799999999</v>
      </c>
      <c r="T103" s="663">
        <f t="shared" si="53"/>
        <v>2112.6000324079459</v>
      </c>
    </row>
    <row r="104" spans="1:20" x14ac:dyDescent="0.25">
      <c r="R104" s="527">
        <v>2013</v>
      </c>
      <c r="S104" s="663">
        <f t="shared" si="52"/>
        <v>610.17786655586588</v>
      </c>
      <c r="T104" s="663">
        <f t="shared" si="53"/>
        <v>2055.3312047505406</v>
      </c>
    </row>
    <row r="105" spans="1:20" x14ac:dyDescent="0.25">
      <c r="R105" s="527">
        <v>2014</v>
      </c>
      <c r="S105" s="663">
        <f t="shared" si="52"/>
        <v>599.73481195450518</v>
      </c>
      <c r="T105" s="663">
        <f t="shared" si="53"/>
        <v>2103.8370311792924</v>
      </c>
    </row>
    <row r="106" spans="1:20" x14ac:dyDescent="0.25">
      <c r="R106" s="527">
        <v>2015</v>
      </c>
      <c r="S106" s="663">
        <f t="shared" si="52"/>
        <v>595.6439478610921</v>
      </c>
      <c r="T106" s="663">
        <f t="shared" si="53"/>
        <v>1963.3722324690784</v>
      </c>
    </row>
    <row r="107" spans="1:20" x14ac:dyDescent="0.25">
      <c r="R107" s="527">
        <v>2016</v>
      </c>
      <c r="S107" s="663">
        <f t="shared" si="52"/>
        <v>519.10842200474076</v>
      </c>
      <c r="T107" s="663">
        <f t="shared" si="53"/>
        <v>1646.7845984157877</v>
      </c>
    </row>
    <row r="108" spans="1:20" x14ac:dyDescent="0.25">
      <c r="R108" s="527">
        <v>2017</v>
      </c>
      <c r="S108" s="663">
        <f t="shared" si="52"/>
        <v>681.50227583925141</v>
      </c>
      <c r="T108" s="663">
        <f t="shared" si="53"/>
        <v>1673.6888596570498</v>
      </c>
    </row>
    <row r="109" spans="1:20" x14ac:dyDescent="0.25">
      <c r="R109" s="527">
        <v>2018</v>
      </c>
      <c r="S109" s="663">
        <f t="shared" si="52"/>
        <v>748.12424245540808</v>
      </c>
      <c r="T109" s="663">
        <f t="shared" si="53"/>
        <v>1782.6383302716361</v>
      </c>
    </row>
    <row r="110" spans="1:20" x14ac:dyDescent="0.25">
      <c r="R110" s="527">
        <v>2019</v>
      </c>
      <c r="S110" s="663">
        <f t="shared" si="52"/>
        <v>692.87706688155458</v>
      </c>
      <c r="T110" s="663">
        <f t="shared" si="53"/>
        <v>1827.0350967214581</v>
      </c>
    </row>
    <row r="111" spans="1:20" x14ac:dyDescent="0.25">
      <c r="R111" s="527">
        <v>2020</v>
      </c>
      <c r="S111" s="663">
        <f t="shared" ref="S111:T111" si="54">N32</f>
        <v>614.84426158769088</v>
      </c>
      <c r="T111" s="663">
        <f t="shared" si="54"/>
        <v>1471.845064472137</v>
      </c>
    </row>
    <row r="112" spans="1:20" x14ac:dyDescent="0.25">
      <c r="R112" s="527">
        <v>2021</v>
      </c>
      <c r="S112" s="663">
        <f t="shared" ref="S112:T112" si="55">N33</f>
        <v>632.06993199999999</v>
      </c>
      <c r="T112" s="663">
        <f t="shared" si="55"/>
        <v>1227.1899937616706</v>
      </c>
    </row>
    <row r="113" spans="18:20" x14ac:dyDescent="0.25">
      <c r="R113" s="527">
        <v>2022</v>
      </c>
      <c r="S113" s="663">
        <f t="shared" ref="S113:T113" si="56">N34</f>
        <v>579.45755573233851</v>
      </c>
      <c r="T113" s="663">
        <f t="shared" si="56"/>
        <v>1318.6583214949374</v>
      </c>
    </row>
    <row r="114" spans="18:20" x14ac:dyDescent="0.25">
      <c r="R114" s="527">
        <v>2023</v>
      </c>
      <c r="S114" s="663">
        <f t="shared" ref="S114:T114" si="57">N35</f>
        <v>578.20950623278304</v>
      </c>
      <c r="T114" s="663">
        <f t="shared" si="57"/>
        <v>1344.9596922521857</v>
      </c>
    </row>
  </sheetData>
  <mergeCells count="3">
    <mergeCell ref="W53:Z53"/>
    <mergeCell ref="B4:B5"/>
    <mergeCell ref="C4:C5"/>
  </mergeCells>
  <printOptions horizontalCentered="1" verticalCentered="1"/>
  <pageMargins left="0.39370078740157483" right="0.19685039370078741" top="0.51181102362204722" bottom="0.27559055118110237" header="0" footer="0"/>
  <pageSetup paperSize="9" scale="59" orientation="portrait" r:id="rId1"/>
  <headerFooter alignWithMargins="0"/>
  <ignoredErrors>
    <ignoredError sqref="C7:H26 C27:I27 C29:I29 C28:H28 C35:H35 C30:H3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7"/>
  <sheetViews>
    <sheetView showGridLines="0" view="pageBreakPreview" zoomScale="90" zoomScaleNormal="110" zoomScaleSheetLayoutView="90" workbookViewId="0">
      <selection sqref="A1:XFD1"/>
    </sheetView>
  </sheetViews>
  <sheetFormatPr baseColWidth="10" defaultColWidth="11.42578125" defaultRowHeight="13.5" x14ac:dyDescent="0.25"/>
  <cols>
    <col min="1" max="1" width="2.42578125" style="526" customWidth="1"/>
    <col min="2" max="2" width="24" style="526" customWidth="1"/>
    <col min="3" max="3" width="18.140625" style="526" customWidth="1"/>
    <col min="4" max="8" width="17" style="526" customWidth="1"/>
    <col min="9" max="11" width="11.42578125" style="526"/>
    <col min="12" max="21" width="11.42578125" style="527"/>
    <col min="22" max="16384" width="11.42578125" style="526"/>
  </cols>
  <sheetData>
    <row r="1" spans="1:22" ht="18" x14ac:dyDescent="0.25">
      <c r="A1" s="704" t="s">
        <v>171</v>
      </c>
      <c r="B1" s="437"/>
      <c r="C1" s="528"/>
      <c r="D1" s="528"/>
      <c r="E1" s="528"/>
      <c r="F1" s="528"/>
      <c r="G1" s="528"/>
      <c r="H1" s="528"/>
    </row>
    <row r="2" spans="1:22" x14ac:dyDescent="0.25">
      <c r="B2" s="705"/>
      <c r="M2" s="706"/>
      <c r="N2" s="706"/>
      <c r="O2" s="706"/>
      <c r="P2" s="706"/>
      <c r="Q2" s="706"/>
      <c r="R2" s="706"/>
      <c r="S2" s="706"/>
      <c r="T2" s="706"/>
      <c r="U2" s="706"/>
      <c r="V2" s="706"/>
    </row>
    <row r="3" spans="1:22" ht="14.25" thickBot="1" x14ac:dyDescent="0.3">
      <c r="M3" s="706"/>
      <c r="N3" s="706"/>
      <c r="O3" s="706"/>
      <c r="P3" s="706"/>
      <c r="Q3" s="706"/>
      <c r="R3" s="706"/>
      <c r="S3" s="706"/>
      <c r="T3" s="706"/>
      <c r="U3" s="706"/>
      <c r="V3" s="706"/>
    </row>
    <row r="4" spans="1:22" x14ac:dyDescent="0.25">
      <c r="B4" s="707" t="s">
        <v>18</v>
      </c>
      <c r="C4" s="708" t="s">
        <v>172</v>
      </c>
      <c r="D4" s="709"/>
      <c r="E4" s="709"/>
      <c r="F4" s="709"/>
      <c r="G4" s="709"/>
      <c r="H4" s="710"/>
      <c r="M4" s="706"/>
      <c r="N4" s="706"/>
      <c r="O4" s="706"/>
      <c r="P4" s="706"/>
      <c r="Q4" s="706"/>
      <c r="R4" s="706"/>
      <c r="S4" s="706"/>
      <c r="T4" s="706"/>
      <c r="U4" s="706"/>
      <c r="V4" s="706"/>
    </row>
    <row r="5" spans="1:22" x14ac:dyDescent="0.25">
      <c r="B5" s="711"/>
      <c r="C5" s="712" t="s">
        <v>173</v>
      </c>
      <c r="D5" s="713"/>
      <c r="E5" s="713"/>
      <c r="F5" s="713"/>
      <c r="G5" s="713"/>
      <c r="H5" s="714"/>
      <c r="M5" s="706"/>
      <c r="N5" s="706"/>
      <c r="O5" s="715" t="s">
        <v>173</v>
      </c>
      <c r="P5" s="715"/>
      <c r="Q5" s="716"/>
      <c r="R5" s="716"/>
      <c r="S5" s="716"/>
      <c r="T5" s="716"/>
      <c r="U5" s="706"/>
      <c r="V5" s="706"/>
    </row>
    <row r="6" spans="1:22" x14ac:dyDescent="0.25">
      <c r="B6" s="717"/>
      <c r="C6" s="718" t="s">
        <v>0</v>
      </c>
      <c r="D6" s="719">
        <v>500</v>
      </c>
      <c r="E6" s="719">
        <v>220</v>
      </c>
      <c r="F6" s="719">
        <v>138</v>
      </c>
      <c r="G6" s="719" t="s">
        <v>175</v>
      </c>
      <c r="H6" s="720" t="s">
        <v>174</v>
      </c>
      <c r="M6" s="706"/>
      <c r="N6" s="706"/>
      <c r="O6" s="721" t="s">
        <v>0</v>
      </c>
      <c r="P6" s="722">
        <v>500</v>
      </c>
      <c r="Q6" s="722">
        <v>220</v>
      </c>
      <c r="R6" s="722">
        <v>138</v>
      </c>
      <c r="S6" s="722" t="s">
        <v>175</v>
      </c>
      <c r="T6" s="722" t="s">
        <v>174</v>
      </c>
      <c r="U6" s="706"/>
      <c r="V6" s="706"/>
    </row>
    <row r="7" spans="1:22" x14ac:dyDescent="0.25">
      <c r="B7" s="723"/>
      <c r="C7" s="724"/>
      <c r="D7" s="725"/>
      <c r="E7" s="725"/>
      <c r="F7" s="725"/>
      <c r="G7" s="725"/>
      <c r="H7" s="726"/>
      <c r="M7" s="706"/>
      <c r="N7" s="706"/>
      <c r="O7" s="721"/>
      <c r="P7" s="721"/>
      <c r="Q7" s="722"/>
      <c r="R7" s="722"/>
      <c r="S7" s="722"/>
      <c r="T7" s="722"/>
      <c r="U7" s="706"/>
      <c r="V7" s="706"/>
    </row>
    <row r="8" spans="1:22" x14ac:dyDescent="0.25">
      <c r="B8" s="549">
        <v>1995</v>
      </c>
      <c r="C8" s="727">
        <f>SUM(E8:H8)</f>
        <v>9131.5360000000001</v>
      </c>
      <c r="D8" s="649"/>
      <c r="E8" s="649">
        <v>3129.692</v>
      </c>
      <c r="F8" s="649">
        <v>1872.9719999999998</v>
      </c>
      <c r="G8" s="649">
        <v>3030.6320000000001</v>
      </c>
      <c r="H8" s="728">
        <v>1098.24</v>
      </c>
      <c r="J8" s="729"/>
      <c r="M8" s="706"/>
      <c r="N8" s="706">
        <f t="shared" ref="N8:N22" si="0">+B8</f>
        <v>1995</v>
      </c>
      <c r="O8" s="722">
        <f t="shared" ref="O8:O25" si="1">SUM(P8:T8)</f>
        <v>9131.5360000000001</v>
      </c>
      <c r="P8" s="730">
        <f t="shared" ref="P8:T23" si="2">+D8</f>
        <v>0</v>
      </c>
      <c r="Q8" s="730">
        <f t="shared" si="2"/>
        <v>3129.692</v>
      </c>
      <c r="R8" s="730">
        <f t="shared" si="2"/>
        <v>1872.9719999999998</v>
      </c>
      <c r="S8" s="730">
        <f t="shared" si="2"/>
        <v>3030.6320000000001</v>
      </c>
      <c r="T8" s="730">
        <f t="shared" si="2"/>
        <v>1098.24</v>
      </c>
      <c r="U8" s="706"/>
      <c r="V8" s="706"/>
    </row>
    <row r="9" spans="1:22" x14ac:dyDescent="0.25">
      <c r="B9" s="552">
        <v>1996</v>
      </c>
      <c r="C9" s="731">
        <f t="shared" ref="C9:C23" si="3">SUM(E9:H9)</f>
        <v>9410.0730000000003</v>
      </c>
      <c r="D9" s="732"/>
      <c r="E9" s="732">
        <v>3129.692</v>
      </c>
      <c r="F9" s="732">
        <v>1872.9719999999998</v>
      </c>
      <c r="G9" s="732">
        <v>3277.7189999999996</v>
      </c>
      <c r="H9" s="733">
        <v>1129.69</v>
      </c>
      <c r="J9" s="729"/>
      <c r="M9" s="706"/>
      <c r="N9" s="706">
        <f t="shared" si="0"/>
        <v>1996</v>
      </c>
      <c r="O9" s="722">
        <f t="shared" si="1"/>
        <v>9410.0730000000003</v>
      </c>
      <c r="P9" s="730">
        <f t="shared" si="2"/>
        <v>0</v>
      </c>
      <c r="Q9" s="730">
        <f t="shared" si="2"/>
        <v>3129.692</v>
      </c>
      <c r="R9" s="730">
        <f t="shared" si="2"/>
        <v>1872.9719999999998</v>
      </c>
      <c r="S9" s="730">
        <f t="shared" si="2"/>
        <v>3277.7189999999996</v>
      </c>
      <c r="T9" s="730">
        <f t="shared" si="2"/>
        <v>1129.69</v>
      </c>
      <c r="U9" s="706"/>
      <c r="V9" s="706"/>
    </row>
    <row r="10" spans="1:22" x14ac:dyDescent="0.25">
      <c r="B10" s="549">
        <v>1997</v>
      </c>
      <c r="C10" s="727">
        <f t="shared" si="3"/>
        <v>10824.466</v>
      </c>
      <c r="D10" s="649"/>
      <c r="E10" s="649">
        <v>3625.4960000000001</v>
      </c>
      <c r="F10" s="649">
        <v>2240.8330000000005</v>
      </c>
      <c r="G10" s="649">
        <v>3629.1389999999992</v>
      </c>
      <c r="H10" s="728">
        <v>1328.998</v>
      </c>
      <c r="J10" s="729"/>
      <c r="M10" s="706"/>
      <c r="N10" s="706">
        <f t="shared" si="0"/>
        <v>1997</v>
      </c>
      <c r="O10" s="722">
        <f t="shared" si="1"/>
        <v>10824.466</v>
      </c>
      <c r="P10" s="730">
        <f t="shared" si="2"/>
        <v>0</v>
      </c>
      <c r="Q10" s="730">
        <f t="shared" si="2"/>
        <v>3625.4960000000001</v>
      </c>
      <c r="R10" s="730">
        <f t="shared" si="2"/>
        <v>2240.8330000000005</v>
      </c>
      <c r="S10" s="730">
        <f t="shared" si="2"/>
        <v>3629.1389999999992</v>
      </c>
      <c r="T10" s="730">
        <f t="shared" si="2"/>
        <v>1328.998</v>
      </c>
      <c r="U10" s="706"/>
      <c r="V10" s="706"/>
    </row>
    <row r="11" spans="1:22" x14ac:dyDescent="0.25">
      <c r="B11" s="552">
        <v>1998</v>
      </c>
      <c r="C11" s="731">
        <f t="shared" si="3"/>
        <v>11328.207999999999</v>
      </c>
      <c r="D11" s="732"/>
      <c r="E11" s="732">
        <v>3625.4960000000001</v>
      </c>
      <c r="F11" s="732">
        <v>2410.5329999999999</v>
      </c>
      <c r="G11" s="732">
        <v>3894.5229999999988</v>
      </c>
      <c r="H11" s="733">
        <v>1397.6559999999999</v>
      </c>
      <c r="J11" s="729"/>
      <c r="M11" s="706"/>
      <c r="N11" s="706">
        <f t="shared" si="0"/>
        <v>1998</v>
      </c>
      <c r="O11" s="722">
        <f t="shared" si="1"/>
        <v>11328.207999999999</v>
      </c>
      <c r="P11" s="730">
        <f t="shared" si="2"/>
        <v>0</v>
      </c>
      <c r="Q11" s="730">
        <f t="shared" si="2"/>
        <v>3625.4960000000001</v>
      </c>
      <c r="R11" s="730">
        <f t="shared" si="2"/>
        <v>2410.5329999999999</v>
      </c>
      <c r="S11" s="730">
        <f t="shared" si="2"/>
        <v>3894.5229999999988</v>
      </c>
      <c r="T11" s="730">
        <f t="shared" si="2"/>
        <v>1397.6559999999999</v>
      </c>
      <c r="U11" s="706"/>
      <c r="V11" s="706"/>
    </row>
    <row r="12" spans="1:22" x14ac:dyDescent="0.25">
      <c r="B12" s="549">
        <v>1999</v>
      </c>
      <c r="C12" s="727">
        <f t="shared" si="3"/>
        <v>12527.669999999998</v>
      </c>
      <c r="D12" s="649"/>
      <c r="E12" s="649">
        <v>3996.306</v>
      </c>
      <c r="F12" s="649">
        <v>2920.413</v>
      </c>
      <c r="G12" s="649">
        <v>4189.570999999999</v>
      </c>
      <c r="H12" s="728">
        <v>1421.38</v>
      </c>
      <c r="J12" s="729"/>
      <c r="M12" s="706"/>
      <c r="N12" s="706">
        <f t="shared" si="0"/>
        <v>1999</v>
      </c>
      <c r="O12" s="722">
        <f t="shared" si="1"/>
        <v>12527.669999999998</v>
      </c>
      <c r="P12" s="730">
        <f t="shared" si="2"/>
        <v>0</v>
      </c>
      <c r="Q12" s="730">
        <f t="shared" si="2"/>
        <v>3996.306</v>
      </c>
      <c r="R12" s="730">
        <f t="shared" si="2"/>
        <v>2920.413</v>
      </c>
      <c r="S12" s="730">
        <f t="shared" si="2"/>
        <v>4189.570999999999</v>
      </c>
      <c r="T12" s="730">
        <f t="shared" si="2"/>
        <v>1421.38</v>
      </c>
      <c r="U12" s="706"/>
      <c r="V12" s="706"/>
    </row>
    <row r="13" spans="1:22" x14ac:dyDescent="0.25">
      <c r="B13" s="552">
        <v>2000</v>
      </c>
      <c r="C13" s="731">
        <f t="shared" si="3"/>
        <v>13656.000090000001</v>
      </c>
      <c r="D13" s="732"/>
      <c r="E13" s="732">
        <v>4860.0660900000003</v>
      </c>
      <c r="F13" s="732">
        <v>3135.1529999999998</v>
      </c>
      <c r="G13" s="732">
        <v>4213.37</v>
      </c>
      <c r="H13" s="733">
        <v>1447.4109999999998</v>
      </c>
      <c r="J13" s="729"/>
      <c r="M13" s="706"/>
      <c r="N13" s="706">
        <f t="shared" si="0"/>
        <v>2000</v>
      </c>
      <c r="O13" s="722">
        <f t="shared" si="1"/>
        <v>13656.000090000001</v>
      </c>
      <c r="P13" s="730">
        <f t="shared" si="2"/>
        <v>0</v>
      </c>
      <c r="Q13" s="730">
        <f t="shared" si="2"/>
        <v>4860.0660900000003</v>
      </c>
      <c r="R13" s="730">
        <f t="shared" si="2"/>
        <v>3135.1529999999998</v>
      </c>
      <c r="S13" s="730">
        <f t="shared" si="2"/>
        <v>4213.37</v>
      </c>
      <c r="T13" s="730">
        <f t="shared" si="2"/>
        <v>1447.4109999999998</v>
      </c>
      <c r="U13" s="706"/>
      <c r="V13" s="706"/>
    </row>
    <row r="14" spans="1:22" x14ac:dyDescent="0.25">
      <c r="B14" s="549">
        <v>2001</v>
      </c>
      <c r="C14" s="727">
        <f t="shared" si="3"/>
        <v>14260.63609</v>
      </c>
      <c r="D14" s="649"/>
      <c r="E14" s="649">
        <v>5318.1030899999996</v>
      </c>
      <c r="F14" s="649">
        <v>3183.0039999999999</v>
      </c>
      <c r="G14" s="649">
        <v>4309.5889999999999</v>
      </c>
      <c r="H14" s="728">
        <v>1449.94</v>
      </c>
      <c r="J14" s="729"/>
      <c r="M14" s="706"/>
      <c r="N14" s="706">
        <f t="shared" si="0"/>
        <v>2001</v>
      </c>
      <c r="O14" s="722">
        <f t="shared" si="1"/>
        <v>14260.63609</v>
      </c>
      <c r="P14" s="730">
        <f t="shared" si="2"/>
        <v>0</v>
      </c>
      <c r="Q14" s="730">
        <f t="shared" si="2"/>
        <v>5318.1030899999996</v>
      </c>
      <c r="R14" s="730">
        <f t="shared" si="2"/>
        <v>3183.0039999999999</v>
      </c>
      <c r="S14" s="730">
        <f t="shared" si="2"/>
        <v>4309.5889999999999</v>
      </c>
      <c r="T14" s="730">
        <f t="shared" si="2"/>
        <v>1449.94</v>
      </c>
      <c r="U14" s="706"/>
      <c r="V14" s="706"/>
    </row>
    <row r="15" spans="1:22" x14ac:dyDescent="0.25">
      <c r="B15" s="552">
        <v>2002</v>
      </c>
      <c r="C15" s="731">
        <f t="shared" si="3"/>
        <v>14678.775089999999</v>
      </c>
      <c r="D15" s="732"/>
      <c r="E15" s="732">
        <v>5558.6770900000001</v>
      </c>
      <c r="F15" s="732">
        <v>3331.1639999999998</v>
      </c>
      <c r="G15" s="732">
        <v>4334.5889999999999</v>
      </c>
      <c r="H15" s="733">
        <v>1454.345</v>
      </c>
      <c r="J15" s="729"/>
      <c r="M15" s="706"/>
      <c r="N15" s="706">
        <f t="shared" si="0"/>
        <v>2002</v>
      </c>
      <c r="O15" s="722">
        <f t="shared" si="1"/>
        <v>14678.775089999999</v>
      </c>
      <c r="P15" s="730">
        <f t="shared" si="2"/>
        <v>0</v>
      </c>
      <c r="Q15" s="730">
        <f t="shared" si="2"/>
        <v>5558.6770900000001</v>
      </c>
      <c r="R15" s="730">
        <f t="shared" si="2"/>
        <v>3331.1639999999998</v>
      </c>
      <c r="S15" s="730">
        <f t="shared" si="2"/>
        <v>4334.5889999999999</v>
      </c>
      <c r="T15" s="730">
        <f t="shared" si="2"/>
        <v>1454.345</v>
      </c>
      <c r="U15" s="706"/>
      <c r="V15" s="706"/>
    </row>
    <row r="16" spans="1:22" x14ac:dyDescent="0.25">
      <c r="B16" s="549">
        <v>2003</v>
      </c>
      <c r="C16" s="727">
        <f>SUM(E16:H16)</f>
        <v>14692.997089999999</v>
      </c>
      <c r="D16" s="649"/>
      <c r="E16" s="649">
        <v>5558.6770900000001</v>
      </c>
      <c r="F16" s="649">
        <v>3338.1639999999998</v>
      </c>
      <c r="G16" s="649">
        <v>4335.3109999999997</v>
      </c>
      <c r="H16" s="728">
        <v>1460.845</v>
      </c>
      <c r="J16" s="729"/>
      <c r="M16" s="706"/>
      <c r="N16" s="706">
        <f t="shared" si="0"/>
        <v>2003</v>
      </c>
      <c r="O16" s="722">
        <f t="shared" si="1"/>
        <v>14692.997089999999</v>
      </c>
      <c r="P16" s="730">
        <f t="shared" si="2"/>
        <v>0</v>
      </c>
      <c r="Q16" s="730">
        <f t="shared" si="2"/>
        <v>5558.6770900000001</v>
      </c>
      <c r="R16" s="730">
        <f t="shared" si="2"/>
        <v>3338.1639999999998</v>
      </c>
      <c r="S16" s="730">
        <f t="shared" si="2"/>
        <v>4335.3109999999997</v>
      </c>
      <c r="T16" s="730">
        <f t="shared" si="2"/>
        <v>1460.845</v>
      </c>
      <c r="U16" s="706"/>
      <c r="V16" s="706"/>
    </row>
    <row r="17" spans="2:22" x14ac:dyDescent="0.25">
      <c r="B17" s="552">
        <v>2004</v>
      </c>
      <c r="C17" s="731">
        <f t="shared" si="3"/>
        <v>14856.66409</v>
      </c>
      <c r="D17" s="732"/>
      <c r="E17" s="732">
        <v>5613.9770900000003</v>
      </c>
      <c r="F17" s="732">
        <v>3337.61</v>
      </c>
      <c r="G17" s="732">
        <v>4335.3109999999997</v>
      </c>
      <c r="H17" s="733">
        <v>1569.7659999999996</v>
      </c>
      <c r="J17" s="729"/>
      <c r="M17" s="706"/>
      <c r="N17" s="706">
        <f t="shared" si="0"/>
        <v>2004</v>
      </c>
      <c r="O17" s="722">
        <f t="shared" si="1"/>
        <v>14856.66409</v>
      </c>
      <c r="P17" s="730">
        <f t="shared" si="2"/>
        <v>0</v>
      </c>
      <c r="Q17" s="730">
        <f t="shared" si="2"/>
        <v>5613.9770900000003</v>
      </c>
      <c r="R17" s="730">
        <f t="shared" si="2"/>
        <v>3337.61</v>
      </c>
      <c r="S17" s="730">
        <f t="shared" si="2"/>
        <v>4335.3109999999997</v>
      </c>
      <c r="T17" s="730">
        <f t="shared" si="2"/>
        <v>1569.7659999999996</v>
      </c>
      <c r="U17" s="706"/>
      <c r="V17" s="706"/>
    </row>
    <row r="18" spans="2:22" x14ac:dyDescent="0.25">
      <c r="B18" s="549">
        <v>2005</v>
      </c>
      <c r="C18" s="727">
        <f t="shared" si="3"/>
        <v>15271.97709</v>
      </c>
      <c r="D18" s="649"/>
      <c r="E18" s="649">
        <v>5613.9770900000003</v>
      </c>
      <c r="F18" s="649">
        <v>3435</v>
      </c>
      <c r="G18" s="649">
        <v>4678</v>
      </c>
      <c r="H18" s="728">
        <v>1545</v>
      </c>
      <c r="J18" s="729"/>
      <c r="M18" s="706"/>
      <c r="N18" s="706">
        <f t="shared" si="0"/>
        <v>2005</v>
      </c>
      <c r="O18" s="722">
        <f t="shared" si="1"/>
        <v>15271.97709</v>
      </c>
      <c r="P18" s="730">
        <f t="shared" si="2"/>
        <v>0</v>
      </c>
      <c r="Q18" s="730">
        <f t="shared" si="2"/>
        <v>5613.9770900000003</v>
      </c>
      <c r="R18" s="730">
        <f t="shared" si="2"/>
        <v>3435</v>
      </c>
      <c r="S18" s="730">
        <f t="shared" si="2"/>
        <v>4678</v>
      </c>
      <c r="T18" s="730">
        <f t="shared" si="2"/>
        <v>1545</v>
      </c>
      <c r="U18" s="706"/>
      <c r="V18" s="706"/>
    </row>
    <row r="19" spans="2:22" x14ac:dyDescent="0.25">
      <c r="B19" s="552">
        <v>2006</v>
      </c>
      <c r="C19" s="731">
        <f t="shared" si="3"/>
        <v>15688.071089999998</v>
      </c>
      <c r="D19" s="732"/>
      <c r="E19" s="732">
        <v>5664.0870899999991</v>
      </c>
      <c r="F19" s="732">
        <v>3636.3779999999997</v>
      </c>
      <c r="G19" s="732">
        <v>4841.8579999999993</v>
      </c>
      <c r="H19" s="733">
        <v>1545.7479999999998</v>
      </c>
      <c r="J19" s="729"/>
      <c r="M19" s="706"/>
      <c r="N19" s="706">
        <f t="shared" si="0"/>
        <v>2006</v>
      </c>
      <c r="O19" s="722">
        <f t="shared" si="1"/>
        <v>15688.071089999998</v>
      </c>
      <c r="P19" s="730">
        <f t="shared" si="2"/>
        <v>0</v>
      </c>
      <c r="Q19" s="730">
        <f t="shared" si="2"/>
        <v>5664.0870899999991</v>
      </c>
      <c r="R19" s="730">
        <f t="shared" si="2"/>
        <v>3636.3779999999997</v>
      </c>
      <c r="S19" s="730">
        <f t="shared" si="2"/>
        <v>4841.8579999999993</v>
      </c>
      <c r="T19" s="730">
        <f t="shared" si="2"/>
        <v>1545.7479999999998</v>
      </c>
      <c r="U19" s="706"/>
      <c r="V19" s="706"/>
    </row>
    <row r="20" spans="2:22" x14ac:dyDescent="0.25">
      <c r="B20" s="549">
        <v>2007</v>
      </c>
      <c r="C20" s="727">
        <f t="shared" si="3"/>
        <v>15711.891089999997</v>
      </c>
      <c r="D20" s="649"/>
      <c r="E20" s="649">
        <v>5676.9770899999985</v>
      </c>
      <c r="F20" s="649">
        <v>3636.3779999999997</v>
      </c>
      <c r="G20" s="649">
        <v>4852.7879999999996</v>
      </c>
      <c r="H20" s="728">
        <v>1545.7479999999998</v>
      </c>
      <c r="J20" s="729"/>
      <c r="M20" s="706"/>
      <c r="N20" s="734">
        <f t="shared" si="0"/>
        <v>2007</v>
      </c>
      <c r="O20" s="722">
        <f t="shared" si="1"/>
        <v>15711.891089999997</v>
      </c>
      <c r="P20" s="730">
        <f t="shared" si="2"/>
        <v>0</v>
      </c>
      <c r="Q20" s="730">
        <f t="shared" si="2"/>
        <v>5676.9770899999985</v>
      </c>
      <c r="R20" s="730">
        <f t="shared" si="2"/>
        <v>3636.3779999999997</v>
      </c>
      <c r="S20" s="730">
        <f t="shared" si="2"/>
        <v>4852.7879999999996</v>
      </c>
      <c r="T20" s="730">
        <f t="shared" si="2"/>
        <v>1545.7479999999998</v>
      </c>
      <c r="U20" s="706"/>
      <c r="V20" s="706"/>
    </row>
    <row r="21" spans="2:22" x14ac:dyDescent="0.25">
      <c r="B21" s="552">
        <v>2008</v>
      </c>
      <c r="C21" s="731">
        <f t="shared" si="3"/>
        <v>15755.003089999998</v>
      </c>
      <c r="D21" s="732"/>
      <c r="E21" s="732">
        <v>5710.7150899999997</v>
      </c>
      <c r="F21" s="732">
        <v>3636.3779999999992</v>
      </c>
      <c r="G21" s="732">
        <v>4862.1620000000003</v>
      </c>
      <c r="H21" s="733">
        <v>1545.7479999999998</v>
      </c>
      <c r="J21" s="729"/>
      <c r="M21" s="706"/>
      <c r="N21" s="734">
        <f t="shared" si="0"/>
        <v>2008</v>
      </c>
      <c r="O21" s="722">
        <f t="shared" si="1"/>
        <v>15755.003089999998</v>
      </c>
      <c r="P21" s="730">
        <f t="shared" si="2"/>
        <v>0</v>
      </c>
      <c r="Q21" s="730">
        <f t="shared" si="2"/>
        <v>5710.7150899999997</v>
      </c>
      <c r="R21" s="730">
        <f t="shared" si="2"/>
        <v>3636.3779999999992</v>
      </c>
      <c r="S21" s="730">
        <f t="shared" si="2"/>
        <v>4862.1620000000003</v>
      </c>
      <c r="T21" s="730">
        <f t="shared" si="2"/>
        <v>1545.7479999999998</v>
      </c>
      <c r="U21" s="706"/>
      <c r="V21" s="706"/>
    </row>
    <row r="22" spans="2:22" x14ac:dyDescent="0.25">
      <c r="B22" s="549">
        <v>2009</v>
      </c>
      <c r="C22" s="727">
        <f t="shared" si="3"/>
        <v>16319.401089999999</v>
      </c>
      <c r="D22" s="649"/>
      <c r="E22" s="649">
        <v>5714.2660900000001</v>
      </c>
      <c r="F22" s="649">
        <v>4057.0279999999998</v>
      </c>
      <c r="G22" s="649">
        <v>4992.9470000000001</v>
      </c>
      <c r="H22" s="728">
        <v>1555.16</v>
      </c>
      <c r="J22" s="729"/>
      <c r="M22" s="706"/>
      <c r="N22" s="734">
        <f t="shared" si="0"/>
        <v>2009</v>
      </c>
      <c r="O22" s="722">
        <f t="shared" si="1"/>
        <v>16319.401089999999</v>
      </c>
      <c r="P22" s="730">
        <f t="shared" si="2"/>
        <v>0</v>
      </c>
      <c r="Q22" s="730">
        <f t="shared" si="2"/>
        <v>5714.2660900000001</v>
      </c>
      <c r="R22" s="730">
        <f t="shared" si="2"/>
        <v>4057.0279999999998</v>
      </c>
      <c r="S22" s="730">
        <f t="shared" si="2"/>
        <v>4992.9470000000001</v>
      </c>
      <c r="T22" s="730">
        <f t="shared" si="2"/>
        <v>1555.16</v>
      </c>
      <c r="U22" s="706"/>
      <c r="V22" s="706"/>
    </row>
    <row r="23" spans="2:22" x14ac:dyDescent="0.25">
      <c r="B23" s="552">
        <v>2010</v>
      </c>
      <c r="C23" s="731">
        <f t="shared" si="3"/>
        <v>17064.863289999998</v>
      </c>
      <c r="D23" s="732"/>
      <c r="E23" s="732">
        <v>5862.5670899999986</v>
      </c>
      <c r="F23" s="732">
        <v>4252.0780000000004</v>
      </c>
      <c r="G23" s="732">
        <v>5204.0582000000004</v>
      </c>
      <c r="H23" s="733">
        <v>1746.1599999999999</v>
      </c>
      <c r="J23" s="729"/>
      <c r="M23" s="706"/>
      <c r="N23" s="734">
        <f t="shared" ref="N23:N28" si="4">+B23</f>
        <v>2010</v>
      </c>
      <c r="O23" s="722">
        <f t="shared" si="1"/>
        <v>17064.863289999998</v>
      </c>
      <c r="P23" s="730">
        <f t="shared" si="2"/>
        <v>0</v>
      </c>
      <c r="Q23" s="730">
        <f t="shared" si="2"/>
        <v>5862.5670899999986</v>
      </c>
      <c r="R23" s="730">
        <f t="shared" si="2"/>
        <v>4252.0780000000004</v>
      </c>
      <c r="S23" s="730">
        <f t="shared" si="2"/>
        <v>5204.0582000000004</v>
      </c>
      <c r="T23" s="730">
        <f t="shared" si="2"/>
        <v>1746.1599999999999</v>
      </c>
      <c r="U23" s="706"/>
      <c r="V23" s="706"/>
    </row>
    <row r="24" spans="2:22" x14ac:dyDescent="0.25">
      <c r="B24" s="549" t="s">
        <v>176</v>
      </c>
      <c r="C24" s="727">
        <f t="shared" ref="C24:C36" si="5">SUM(D24:H24)</f>
        <v>18833.281290000003</v>
      </c>
      <c r="D24" s="649">
        <v>89.9</v>
      </c>
      <c r="E24" s="649">
        <v>7105.9870899999996</v>
      </c>
      <c r="F24" s="649">
        <v>4277.8440000000001</v>
      </c>
      <c r="G24" s="649">
        <v>5607.8222000000023</v>
      </c>
      <c r="H24" s="728">
        <v>1751.7279999999994</v>
      </c>
      <c r="J24" s="729"/>
      <c r="M24" s="706"/>
      <c r="N24" s="734" t="str">
        <f t="shared" si="4"/>
        <v>2011*</v>
      </c>
      <c r="O24" s="722">
        <f t="shared" si="1"/>
        <v>18833.281290000003</v>
      </c>
      <c r="P24" s="730">
        <f t="shared" ref="P24:P29" si="6">+D24</f>
        <v>89.9</v>
      </c>
      <c r="Q24" s="730">
        <f t="shared" ref="Q24:T26" si="7">+E24</f>
        <v>7105.9870899999996</v>
      </c>
      <c r="R24" s="730">
        <f t="shared" si="7"/>
        <v>4277.8440000000001</v>
      </c>
      <c r="S24" s="730">
        <f t="shared" si="7"/>
        <v>5607.8222000000023</v>
      </c>
      <c r="T24" s="730">
        <f t="shared" si="7"/>
        <v>1751.7279999999994</v>
      </c>
      <c r="U24" s="706"/>
      <c r="V24" s="706"/>
    </row>
    <row r="25" spans="2:22" x14ac:dyDescent="0.25">
      <c r="B25" s="552">
        <v>2012</v>
      </c>
      <c r="C25" s="731">
        <f t="shared" si="5"/>
        <v>19935.758290000002</v>
      </c>
      <c r="D25" s="732">
        <v>611.9</v>
      </c>
      <c r="E25" s="732">
        <v>7459.7680899999996</v>
      </c>
      <c r="F25" s="732">
        <v>4285.6540000000005</v>
      </c>
      <c r="G25" s="732">
        <v>5782.9882000000034</v>
      </c>
      <c r="H25" s="733">
        <v>1795.4479999999992</v>
      </c>
      <c r="J25" s="729"/>
      <c r="M25" s="706"/>
      <c r="N25" s="734">
        <f t="shared" si="4"/>
        <v>2012</v>
      </c>
      <c r="O25" s="722">
        <f t="shared" si="1"/>
        <v>19935.758290000002</v>
      </c>
      <c r="P25" s="730">
        <f t="shared" si="6"/>
        <v>611.9</v>
      </c>
      <c r="Q25" s="730">
        <f t="shared" si="7"/>
        <v>7459.7680899999996</v>
      </c>
      <c r="R25" s="730">
        <f t="shared" si="7"/>
        <v>4285.6540000000005</v>
      </c>
      <c r="S25" s="730">
        <f t="shared" si="7"/>
        <v>5782.9882000000034</v>
      </c>
      <c r="T25" s="730">
        <f t="shared" si="7"/>
        <v>1795.4479999999992</v>
      </c>
      <c r="U25" s="706"/>
      <c r="V25" s="706"/>
    </row>
    <row r="26" spans="2:22" x14ac:dyDescent="0.25">
      <c r="B26" s="549">
        <v>2013</v>
      </c>
      <c r="C26" s="727">
        <f t="shared" si="5"/>
        <v>20585.119200000001</v>
      </c>
      <c r="D26" s="649">
        <v>621.86</v>
      </c>
      <c r="E26" s="649">
        <v>7841.6769999999997</v>
      </c>
      <c r="F26" s="649">
        <v>4416.9339999999993</v>
      </c>
      <c r="G26" s="649">
        <v>5907.1522000000004</v>
      </c>
      <c r="H26" s="728">
        <v>1797.4960000000001</v>
      </c>
      <c r="J26" s="729"/>
      <c r="M26" s="706"/>
      <c r="N26" s="734">
        <f t="shared" si="4"/>
        <v>2013</v>
      </c>
      <c r="O26" s="722">
        <f>SUM(P26:T26)</f>
        <v>20585.119200000001</v>
      </c>
      <c r="P26" s="730">
        <f t="shared" si="6"/>
        <v>621.86</v>
      </c>
      <c r="Q26" s="730">
        <f t="shared" si="7"/>
        <v>7841.6769999999997</v>
      </c>
      <c r="R26" s="730">
        <f t="shared" si="7"/>
        <v>4416.9339999999993</v>
      </c>
      <c r="S26" s="730">
        <f t="shared" si="7"/>
        <v>5907.1522000000004</v>
      </c>
      <c r="T26" s="730">
        <f t="shared" si="7"/>
        <v>1797.4960000000001</v>
      </c>
      <c r="U26" s="706"/>
      <c r="V26" s="706"/>
    </row>
    <row r="27" spans="2:22" x14ac:dyDescent="0.25">
      <c r="B27" s="552">
        <v>2014</v>
      </c>
      <c r="C27" s="731">
        <f t="shared" si="5"/>
        <v>21589.042330000004</v>
      </c>
      <c r="D27" s="732">
        <v>1838.46</v>
      </c>
      <c r="E27" s="732">
        <v>8240.8355100000008</v>
      </c>
      <c r="F27" s="732">
        <v>4368.3289000000004</v>
      </c>
      <c r="G27" s="732">
        <v>4888.8531000000021</v>
      </c>
      <c r="H27" s="733">
        <v>2252.5648200000005</v>
      </c>
      <c r="J27" s="729"/>
      <c r="M27" s="706"/>
      <c r="N27" s="734">
        <f t="shared" si="4"/>
        <v>2014</v>
      </c>
      <c r="O27" s="722">
        <f>SUM(P27:T27)</f>
        <v>21589.042330000004</v>
      </c>
      <c r="P27" s="730">
        <f t="shared" si="6"/>
        <v>1838.46</v>
      </c>
      <c r="Q27" s="730">
        <f t="shared" ref="Q27:T28" si="8">+E27</f>
        <v>8240.8355100000008</v>
      </c>
      <c r="R27" s="730">
        <f t="shared" si="8"/>
        <v>4368.3289000000004</v>
      </c>
      <c r="S27" s="730">
        <f t="shared" si="8"/>
        <v>4888.8531000000021</v>
      </c>
      <c r="T27" s="730">
        <f t="shared" si="8"/>
        <v>2252.5648200000005</v>
      </c>
      <c r="U27" s="706"/>
      <c r="V27" s="706"/>
    </row>
    <row r="28" spans="2:22" x14ac:dyDescent="0.25">
      <c r="B28" s="549">
        <v>2015</v>
      </c>
      <c r="C28" s="727">
        <f t="shared" si="5"/>
        <v>22173.261100000003</v>
      </c>
      <c r="D28" s="649">
        <v>1838.46</v>
      </c>
      <c r="E28" s="649">
        <v>8665.1200000000008</v>
      </c>
      <c r="F28" s="649">
        <v>4368.78</v>
      </c>
      <c r="G28" s="735">
        <v>5022.3391000000011</v>
      </c>
      <c r="H28" s="728">
        <v>2278.5619999999999</v>
      </c>
      <c r="J28" s="729"/>
      <c r="M28" s="706"/>
      <c r="N28" s="734">
        <f t="shared" si="4"/>
        <v>2015</v>
      </c>
      <c r="O28" s="722">
        <f>SUM(P28:T28)</f>
        <v>22173.261100000003</v>
      </c>
      <c r="P28" s="730">
        <f t="shared" si="6"/>
        <v>1838.46</v>
      </c>
      <c r="Q28" s="730">
        <f t="shared" si="8"/>
        <v>8665.1200000000008</v>
      </c>
      <c r="R28" s="730">
        <f t="shared" si="8"/>
        <v>4368.78</v>
      </c>
      <c r="S28" s="730">
        <f t="shared" si="8"/>
        <v>5022.3391000000011</v>
      </c>
      <c r="T28" s="730">
        <f t="shared" si="8"/>
        <v>2278.5619999999999</v>
      </c>
      <c r="U28" s="706"/>
      <c r="V28" s="706"/>
    </row>
    <row r="29" spans="2:22" x14ac:dyDescent="0.25">
      <c r="B29" s="561">
        <v>2016</v>
      </c>
      <c r="C29" s="736">
        <f t="shared" si="5"/>
        <v>23488.141329999999</v>
      </c>
      <c r="D29" s="737">
        <v>1969.8000000000002</v>
      </c>
      <c r="E29" s="737">
        <v>9567.8435099999933</v>
      </c>
      <c r="F29" s="737">
        <v>4432.2038999999995</v>
      </c>
      <c r="G29" s="737">
        <v>5230.0291000000043</v>
      </c>
      <c r="H29" s="738">
        <v>2288.2648200000003</v>
      </c>
      <c r="J29" s="729"/>
      <c r="M29" s="706"/>
      <c r="N29" s="734">
        <f>+B29</f>
        <v>2016</v>
      </c>
      <c r="O29" s="722">
        <f>SUM(P29:T29)</f>
        <v>23488.141329999999</v>
      </c>
      <c r="P29" s="730">
        <f t="shared" si="6"/>
        <v>1969.8000000000002</v>
      </c>
      <c r="Q29" s="730">
        <f>+E29</f>
        <v>9567.8435099999933</v>
      </c>
      <c r="R29" s="730">
        <f>+F29</f>
        <v>4432.2038999999995</v>
      </c>
      <c r="S29" s="730">
        <f>+G29</f>
        <v>5230.0291000000043</v>
      </c>
      <c r="T29" s="730">
        <f>+H29</f>
        <v>2288.2648200000003</v>
      </c>
      <c r="U29" s="706"/>
      <c r="V29" s="706"/>
    </row>
    <row r="30" spans="2:22" x14ac:dyDescent="0.25">
      <c r="B30" s="549">
        <v>2017</v>
      </c>
      <c r="C30" s="727">
        <f t="shared" si="5"/>
        <v>24845.201329999996</v>
      </c>
      <c r="D30" s="649">
        <v>2882</v>
      </c>
      <c r="E30" s="649">
        <v>10162.963509999998</v>
      </c>
      <c r="F30" s="649">
        <v>4386.0339000000004</v>
      </c>
      <c r="G30" s="735">
        <v>5403.9190999999992</v>
      </c>
      <c r="H30" s="728">
        <v>2010.2848200000008</v>
      </c>
      <c r="J30" s="729"/>
      <c r="M30" s="706"/>
      <c r="N30" s="734">
        <f t="shared" ref="N30:N34" si="9">+B30</f>
        <v>2017</v>
      </c>
      <c r="O30" s="722">
        <f t="shared" ref="O30:O33" si="10">SUM(P30:T30)</f>
        <v>24845.201329999996</v>
      </c>
      <c r="P30" s="730">
        <f t="shared" ref="P30:P33" si="11">+D30</f>
        <v>2882</v>
      </c>
      <c r="Q30" s="730">
        <f t="shared" ref="Q30:Q33" si="12">+E30</f>
        <v>10162.963509999998</v>
      </c>
      <c r="R30" s="730">
        <f t="shared" ref="R30:R33" si="13">+F30</f>
        <v>4386.0339000000004</v>
      </c>
      <c r="S30" s="730">
        <f t="shared" ref="S30:S33" si="14">+G30</f>
        <v>5403.9190999999992</v>
      </c>
      <c r="T30" s="730">
        <f t="shared" ref="T30:T33" si="15">+H30</f>
        <v>2010.2848200000008</v>
      </c>
      <c r="U30" s="706"/>
      <c r="V30" s="706"/>
    </row>
    <row r="31" spans="2:22" x14ac:dyDescent="0.25">
      <c r="B31" s="561">
        <v>2018</v>
      </c>
      <c r="C31" s="736">
        <f t="shared" si="5"/>
        <v>28262.406329999994</v>
      </c>
      <c r="D31" s="737">
        <v>2883.3999999999996</v>
      </c>
      <c r="E31" s="737">
        <v>10966.555509999998</v>
      </c>
      <c r="F31" s="737">
        <v>4738.1038999999982</v>
      </c>
      <c r="G31" s="737">
        <v>7008.2821000000004</v>
      </c>
      <c r="H31" s="738">
        <v>2666.0648200000001</v>
      </c>
      <c r="J31" s="729"/>
      <c r="M31" s="706"/>
      <c r="N31" s="734">
        <f t="shared" si="9"/>
        <v>2018</v>
      </c>
      <c r="O31" s="722">
        <f t="shared" si="10"/>
        <v>28262.406329999994</v>
      </c>
      <c r="P31" s="730">
        <f t="shared" si="11"/>
        <v>2883.3999999999996</v>
      </c>
      <c r="Q31" s="730">
        <f t="shared" si="12"/>
        <v>10966.555509999998</v>
      </c>
      <c r="R31" s="730">
        <f t="shared" si="13"/>
        <v>4738.1038999999982</v>
      </c>
      <c r="S31" s="730">
        <f t="shared" si="14"/>
        <v>7008.2821000000004</v>
      </c>
      <c r="T31" s="730">
        <f t="shared" si="15"/>
        <v>2666.0648200000001</v>
      </c>
      <c r="U31" s="706"/>
      <c r="V31" s="706"/>
    </row>
    <row r="32" spans="2:22" x14ac:dyDescent="0.25">
      <c r="B32" s="549">
        <v>2019</v>
      </c>
      <c r="C32" s="727">
        <f t="shared" si="5"/>
        <v>28619.116329999997</v>
      </c>
      <c r="D32" s="649">
        <v>2883.3999999999996</v>
      </c>
      <c r="E32" s="649">
        <v>11107.535509999998</v>
      </c>
      <c r="F32" s="649">
        <v>4796.7738999999983</v>
      </c>
      <c r="G32" s="735">
        <v>7165.3420999999998</v>
      </c>
      <c r="H32" s="728">
        <v>2666.0648200000005</v>
      </c>
      <c r="J32" s="729"/>
      <c r="M32" s="706"/>
      <c r="N32" s="734">
        <f t="shared" si="9"/>
        <v>2019</v>
      </c>
      <c r="O32" s="722">
        <f t="shared" si="10"/>
        <v>28619.116329999997</v>
      </c>
      <c r="P32" s="730">
        <f t="shared" si="11"/>
        <v>2883.3999999999996</v>
      </c>
      <c r="Q32" s="730">
        <f t="shared" si="12"/>
        <v>11107.535509999998</v>
      </c>
      <c r="R32" s="730">
        <f t="shared" si="13"/>
        <v>4796.7738999999983</v>
      </c>
      <c r="S32" s="730">
        <f t="shared" si="14"/>
        <v>7165.3420999999998</v>
      </c>
      <c r="T32" s="730">
        <f t="shared" si="15"/>
        <v>2666.0648200000005</v>
      </c>
      <c r="U32" s="706"/>
      <c r="V32" s="706"/>
    </row>
    <row r="33" spans="2:22" x14ac:dyDescent="0.25">
      <c r="B33" s="561">
        <v>2020</v>
      </c>
      <c r="C33" s="736">
        <f t="shared" si="5"/>
        <v>29047.216329999996</v>
      </c>
      <c r="D33" s="737">
        <v>2883.3999999999996</v>
      </c>
      <c r="E33" s="737">
        <v>11433.765509999997</v>
      </c>
      <c r="F33" s="737">
        <v>4835.8038999999999</v>
      </c>
      <c r="G33" s="737">
        <v>7228.1820999999991</v>
      </c>
      <c r="H33" s="738">
        <v>2666.0648199999991</v>
      </c>
      <c r="J33" s="729"/>
      <c r="M33" s="706"/>
      <c r="N33" s="734">
        <f t="shared" si="9"/>
        <v>2020</v>
      </c>
      <c r="O33" s="722">
        <f t="shared" si="10"/>
        <v>29047.216329999996</v>
      </c>
      <c r="P33" s="730">
        <f t="shared" si="11"/>
        <v>2883.3999999999996</v>
      </c>
      <c r="Q33" s="730">
        <f t="shared" si="12"/>
        <v>11433.765509999997</v>
      </c>
      <c r="R33" s="730">
        <f t="shared" si="13"/>
        <v>4835.8038999999999</v>
      </c>
      <c r="S33" s="730">
        <f t="shared" si="14"/>
        <v>7228.1820999999991</v>
      </c>
      <c r="T33" s="730">
        <f t="shared" si="15"/>
        <v>2666.0648199999991</v>
      </c>
      <c r="U33" s="706"/>
      <c r="V33" s="706"/>
    </row>
    <row r="34" spans="2:22" x14ac:dyDescent="0.25">
      <c r="B34" s="549">
        <v>2021</v>
      </c>
      <c r="C34" s="727">
        <f t="shared" si="5"/>
        <v>29637.935070999996</v>
      </c>
      <c r="D34" s="649">
        <v>2882.96</v>
      </c>
      <c r="E34" s="649">
        <v>11402.887659999999</v>
      </c>
      <c r="F34" s="649">
        <v>5000.3805600000005</v>
      </c>
      <c r="G34" s="735">
        <v>7598.822030999997</v>
      </c>
      <c r="H34" s="728">
        <v>2752.8848199999993</v>
      </c>
      <c r="J34" s="729"/>
      <c r="M34" s="706"/>
      <c r="N34" s="734">
        <f t="shared" si="9"/>
        <v>2021</v>
      </c>
      <c r="O34" s="722">
        <f t="shared" ref="O34" si="16">SUM(P34:T34)</f>
        <v>29637.935070999996</v>
      </c>
      <c r="P34" s="730">
        <f t="shared" ref="P34" si="17">+D34</f>
        <v>2882.96</v>
      </c>
      <c r="Q34" s="730">
        <f t="shared" ref="Q34" si="18">+E34</f>
        <v>11402.887659999999</v>
      </c>
      <c r="R34" s="730">
        <f t="shared" ref="R34" si="19">+F34</f>
        <v>5000.3805600000005</v>
      </c>
      <c r="S34" s="730">
        <f t="shared" ref="S34" si="20">+G34</f>
        <v>7598.822030999997</v>
      </c>
      <c r="T34" s="730">
        <f t="shared" ref="T34" si="21">+H34</f>
        <v>2752.8848199999993</v>
      </c>
      <c r="U34" s="706"/>
      <c r="V34" s="706"/>
    </row>
    <row r="35" spans="2:22" x14ac:dyDescent="0.25">
      <c r="B35" s="561">
        <v>2022</v>
      </c>
      <c r="C35" s="736">
        <f t="shared" si="5"/>
        <v>29661.797071000001</v>
      </c>
      <c r="D35" s="737">
        <v>2882.96</v>
      </c>
      <c r="E35" s="737">
        <v>11523.63666</v>
      </c>
      <c r="F35" s="737">
        <v>5002.5305600000011</v>
      </c>
      <c r="G35" s="737">
        <v>7499.7850309999976</v>
      </c>
      <c r="H35" s="738">
        <v>2752.8848199999993</v>
      </c>
      <c r="J35" s="729"/>
      <c r="M35" s="706"/>
      <c r="N35" s="734">
        <f t="shared" ref="N35:N36" si="22">+B35</f>
        <v>2022</v>
      </c>
      <c r="O35" s="722">
        <f t="shared" ref="O35:O36" si="23">SUM(P35:T35)</f>
        <v>29661.797071000001</v>
      </c>
      <c r="P35" s="730">
        <f t="shared" ref="P35" si="24">+D35</f>
        <v>2882.96</v>
      </c>
      <c r="Q35" s="730">
        <f t="shared" ref="Q35" si="25">+E35</f>
        <v>11523.63666</v>
      </c>
      <c r="R35" s="730">
        <f t="shared" ref="R35" si="26">+F35</f>
        <v>5002.5305600000011</v>
      </c>
      <c r="S35" s="730">
        <f t="shared" ref="S35" si="27">+G35</f>
        <v>7499.7850309999976</v>
      </c>
      <c r="T35" s="730">
        <f t="shared" ref="T35" si="28">+H35</f>
        <v>2752.8848199999993</v>
      </c>
      <c r="U35" s="706"/>
      <c r="V35" s="706"/>
    </row>
    <row r="36" spans="2:22" x14ac:dyDescent="0.25">
      <c r="B36" s="849">
        <v>2023</v>
      </c>
      <c r="C36" s="727">
        <f t="shared" si="5"/>
        <v>30304.597070999997</v>
      </c>
      <c r="D36" s="649">
        <v>3300.2200000000003</v>
      </c>
      <c r="E36" s="649">
        <v>11662.106659999999</v>
      </c>
      <c r="F36" s="649">
        <v>5002.5305600000011</v>
      </c>
      <c r="G36" s="735">
        <v>7586.8550309999973</v>
      </c>
      <c r="H36" s="728">
        <v>2752.8848200000007</v>
      </c>
      <c r="J36" s="729"/>
      <c r="M36" s="706"/>
      <c r="N36" s="734">
        <f t="shared" si="22"/>
        <v>2023</v>
      </c>
      <c r="O36" s="722">
        <f t="shared" si="23"/>
        <v>30304.597070999997</v>
      </c>
      <c r="P36" s="730">
        <v>3300.2200000000003</v>
      </c>
      <c r="Q36" s="730">
        <v>11662.106659999999</v>
      </c>
      <c r="R36" s="730">
        <v>5002.5305600000011</v>
      </c>
      <c r="S36" s="730">
        <v>7586.8550309999973</v>
      </c>
      <c r="T36" s="730">
        <v>2752.8848200000007</v>
      </c>
      <c r="U36" s="706"/>
      <c r="V36" s="706"/>
    </row>
    <row r="37" spans="2:22" ht="14.25" thickBot="1" x14ac:dyDescent="0.3">
      <c r="B37" s="739"/>
      <c r="C37" s="740"/>
      <c r="D37" s="741"/>
      <c r="E37" s="741"/>
      <c r="F37" s="741"/>
      <c r="G37" s="741"/>
      <c r="H37" s="742"/>
      <c r="J37" s="729"/>
      <c r="K37" s="743"/>
      <c r="M37" s="722"/>
      <c r="N37" s="734"/>
      <c r="O37" s="722"/>
      <c r="P37" s="730"/>
      <c r="Q37" s="730"/>
      <c r="R37" s="730"/>
      <c r="S37" s="730"/>
      <c r="T37" s="730"/>
      <c r="U37" s="706"/>
      <c r="V37" s="706"/>
    </row>
    <row r="38" spans="2:22" x14ac:dyDescent="0.25">
      <c r="B38" s="508" t="s">
        <v>326</v>
      </c>
      <c r="C38" s="509">
        <f>(C36/C35)-1</f>
        <v>2.1670972883448547E-2</v>
      </c>
      <c r="D38" s="691">
        <f t="shared" ref="D38:H38" si="29">(D36/D35)-1</f>
        <v>0.14473319088714387</v>
      </c>
      <c r="E38" s="691">
        <f t="shared" si="29"/>
        <v>1.2016171985068436E-2</v>
      </c>
      <c r="F38" s="691">
        <f t="shared" si="29"/>
        <v>0</v>
      </c>
      <c r="G38" s="691">
        <f t="shared" si="29"/>
        <v>1.160966609577474E-2</v>
      </c>
      <c r="H38" s="744">
        <f t="shared" si="29"/>
        <v>0</v>
      </c>
      <c r="J38" s="729"/>
      <c r="M38" s="722"/>
      <c r="N38" s="730"/>
      <c r="O38" s="730"/>
      <c r="P38" s="730"/>
      <c r="Q38" s="730"/>
      <c r="R38" s="730"/>
      <c r="S38" s="706"/>
      <c r="T38" s="706"/>
      <c r="U38" s="706"/>
      <c r="V38" s="706"/>
    </row>
    <row r="39" spans="2:22" x14ac:dyDescent="0.25">
      <c r="B39" s="513" t="s">
        <v>327</v>
      </c>
      <c r="C39" s="745">
        <f>((C36/C31)^(1/5))-1</f>
        <v>1.4051182001540319E-2</v>
      </c>
      <c r="D39" s="746">
        <f t="shared" ref="D39:H39" si="30">((D36/D31)^(1/5))-1</f>
        <v>2.737170256071253E-2</v>
      </c>
      <c r="E39" s="746">
        <f t="shared" si="30"/>
        <v>1.2374863852085749E-2</v>
      </c>
      <c r="F39" s="746">
        <f t="shared" si="30"/>
        <v>1.0920571202054807E-2</v>
      </c>
      <c r="G39" s="746">
        <f t="shared" si="30"/>
        <v>1.5991424187495884E-2</v>
      </c>
      <c r="H39" s="747">
        <f t="shared" si="30"/>
        <v>6.4297531322696777E-3</v>
      </c>
      <c r="M39" s="706"/>
      <c r="N39" s="706"/>
      <c r="O39" s="706"/>
      <c r="P39" s="706"/>
      <c r="Q39" s="706"/>
      <c r="R39" s="706"/>
      <c r="S39" s="706"/>
      <c r="T39" s="706"/>
      <c r="U39" s="706"/>
      <c r="V39" s="706"/>
    </row>
    <row r="40" spans="2:22" x14ac:dyDescent="0.25">
      <c r="B40" s="516" t="s">
        <v>328</v>
      </c>
      <c r="C40" s="517">
        <f>(C36/C26)-1</f>
        <v>0.47216038812153172</v>
      </c>
      <c r="D40" s="518">
        <f t="shared" ref="D40:H40" si="31">(D36/D26)-1</f>
        <v>4.3070144405493203</v>
      </c>
      <c r="E40" s="518">
        <f t="shared" si="31"/>
        <v>0.48719548892411657</v>
      </c>
      <c r="F40" s="518">
        <f t="shared" si="31"/>
        <v>0.13257987554262796</v>
      </c>
      <c r="G40" s="518">
        <f t="shared" si="31"/>
        <v>0.28435069456988038</v>
      </c>
      <c r="H40" s="573">
        <f t="shared" si="31"/>
        <v>0.5315109574652741</v>
      </c>
      <c r="K40" s="743"/>
    </row>
    <row r="41" spans="2:22" ht="14.25" thickBot="1" x14ac:dyDescent="0.3">
      <c r="B41" s="519" t="s">
        <v>329</v>
      </c>
      <c r="C41" s="748">
        <f>((C36/C26)^(1/10))-1</f>
        <v>3.943063549535597E-2</v>
      </c>
      <c r="D41" s="521">
        <f t="shared" ref="D41:H41" si="32">((D36/D26)^(1/10))-1</f>
        <v>0.18163957274557396</v>
      </c>
      <c r="E41" s="521">
        <f t="shared" si="32"/>
        <v>4.0487353385903813E-2</v>
      </c>
      <c r="F41" s="521">
        <f t="shared" si="32"/>
        <v>1.2527632128056077E-2</v>
      </c>
      <c r="G41" s="521">
        <f t="shared" si="32"/>
        <v>2.5341091530398652E-2</v>
      </c>
      <c r="H41" s="574">
        <f t="shared" si="32"/>
        <v>4.3546992643132887E-2</v>
      </c>
    </row>
    <row r="42" spans="2:22" ht="6" customHeight="1" x14ac:dyDescent="0.25">
      <c r="B42" s="749"/>
      <c r="C42" s="750"/>
      <c r="D42" s="750"/>
      <c r="E42" s="750"/>
      <c r="F42" s="750"/>
      <c r="G42" s="750"/>
      <c r="H42" s="750"/>
    </row>
    <row r="43" spans="2:22" x14ac:dyDescent="0.25">
      <c r="B43" s="751" t="s">
        <v>194</v>
      </c>
    </row>
    <row r="44" spans="2:22" x14ac:dyDescent="0.25">
      <c r="B44" s="752" t="s">
        <v>177</v>
      </c>
    </row>
    <row r="47" spans="2:22" x14ac:dyDescent="0.25">
      <c r="J47" s="729"/>
      <c r="L47" s="540"/>
    </row>
    <row r="48" spans="2:22" x14ac:dyDescent="0.25">
      <c r="L48" s="540"/>
    </row>
    <row r="49" spans="11:13" x14ac:dyDescent="0.25">
      <c r="L49" s="540"/>
    </row>
    <row r="50" spans="11:13" x14ac:dyDescent="0.25">
      <c r="L50" s="540"/>
    </row>
    <row r="51" spans="11:13" x14ac:dyDescent="0.25">
      <c r="L51" s="540"/>
    </row>
    <row r="52" spans="11:13" x14ac:dyDescent="0.25">
      <c r="L52" s="540"/>
    </row>
    <row r="53" spans="11:13" x14ac:dyDescent="0.25">
      <c r="L53" s="540"/>
    </row>
    <row r="54" spans="11:13" x14ac:dyDescent="0.25">
      <c r="L54" s="540"/>
      <c r="M54" s="540"/>
    </row>
    <row r="55" spans="11:13" x14ac:dyDescent="0.25">
      <c r="L55" s="540"/>
      <c r="M55" s="540"/>
    </row>
    <row r="56" spans="11:13" x14ac:dyDescent="0.25">
      <c r="K56" s="753"/>
      <c r="L56" s="540"/>
      <c r="M56" s="540"/>
    </row>
    <row r="57" spans="11:13" x14ac:dyDescent="0.25">
      <c r="L57" s="540"/>
      <c r="M57" s="540"/>
    </row>
  </sheetData>
  <mergeCells count="3">
    <mergeCell ref="B4:B5"/>
    <mergeCell ref="C4:H4"/>
    <mergeCell ref="C5:H5"/>
  </mergeCells>
  <printOptions horizontalCentered="1"/>
  <pageMargins left="0.51181102362204722" right="0.27559055118110237" top="0.35433070866141736" bottom="0.19685039370078741" header="0" footer="0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75"/>
  <sheetViews>
    <sheetView showGridLines="0" view="pageBreakPreview" zoomScale="90" zoomScaleNormal="90" zoomScaleSheetLayoutView="90" workbookViewId="0">
      <selection activeCell="I35" activeCellId="1" sqref="F35 I35"/>
    </sheetView>
  </sheetViews>
  <sheetFormatPr baseColWidth="10" defaultColWidth="11.42578125" defaultRowHeight="13.5" x14ac:dyDescent="0.25"/>
  <cols>
    <col min="1" max="1" width="2.7109375" style="755" customWidth="1"/>
    <col min="2" max="2" width="22.140625" style="755" customWidth="1"/>
    <col min="3" max="3" width="15" style="755" customWidth="1"/>
    <col min="4" max="4" width="13.28515625" style="755" customWidth="1"/>
    <col min="5" max="5" width="12.7109375" style="755" customWidth="1"/>
    <col min="6" max="6" width="14" style="755" customWidth="1"/>
    <col min="7" max="7" width="11" style="755" customWidth="1"/>
    <col min="8" max="8" width="12.42578125" style="755" customWidth="1"/>
    <col min="9" max="9" width="11.7109375" style="755" customWidth="1"/>
    <col min="10" max="10" width="11" style="755" customWidth="1"/>
    <col min="11" max="11" width="12.28515625" style="755" customWidth="1"/>
    <col min="12" max="13" width="11.42578125" style="755"/>
    <col min="14" max="16" width="11.42578125" style="756"/>
    <col min="17" max="16384" width="11.42578125" style="755"/>
  </cols>
  <sheetData>
    <row r="1" spans="1:16" ht="15.75" x14ac:dyDescent="0.25">
      <c r="A1" s="754" t="s">
        <v>348</v>
      </c>
      <c r="B1" s="754"/>
      <c r="C1" s="754"/>
      <c r="D1" s="754"/>
      <c r="E1" s="754"/>
      <c r="F1" s="754"/>
      <c r="G1" s="754"/>
      <c r="H1" s="754"/>
      <c r="I1" s="754"/>
      <c r="J1" s="754"/>
    </row>
    <row r="2" spans="1:16" ht="15" x14ac:dyDescent="0.25">
      <c r="C2" s="757"/>
      <c r="D2" s="757"/>
      <c r="E2" s="757"/>
      <c r="F2" s="757"/>
      <c r="G2" s="757"/>
      <c r="H2" s="758"/>
      <c r="I2" s="758"/>
      <c r="J2" s="758"/>
      <c r="K2" s="758"/>
    </row>
    <row r="4" spans="1:16" x14ac:dyDescent="0.25">
      <c r="B4" s="837" t="s">
        <v>18</v>
      </c>
      <c r="C4" s="838" t="s">
        <v>49</v>
      </c>
      <c r="D4" s="839"/>
      <c r="E4" s="840"/>
      <c r="F4" s="838" t="s">
        <v>10</v>
      </c>
      <c r="G4" s="839"/>
      <c r="H4" s="839"/>
      <c r="I4" s="841" t="s">
        <v>11</v>
      </c>
      <c r="J4" s="839"/>
      <c r="K4" s="840"/>
    </row>
    <row r="5" spans="1:16" x14ac:dyDescent="0.25">
      <c r="B5" s="842"/>
      <c r="C5" s="843" t="s">
        <v>0</v>
      </c>
      <c r="D5" s="844" t="s">
        <v>16</v>
      </c>
      <c r="E5" s="845" t="s">
        <v>17</v>
      </c>
      <c r="F5" s="846" t="s">
        <v>12</v>
      </c>
      <c r="G5" s="844" t="s">
        <v>16</v>
      </c>
      <c r="H5" s="847" t="s">
        <v>17</v>
      </c>
      <c r="I5" s="848" t="s">
        <v>0</v>
      </c>
      <c r="J5" s="844" t="s">
        <v>16</v>
      </c>
      <c r="K5" s="845" t="s">
        <v>17</v>
      </c>
    </row>
    <row r="6" spans="1:16" x14ac:dyDescent="0.25">
      <c r="B6" s="759"/>
      <c r="C6" s="760"/>
      <c r="D6" s="761"/>
      <c r="E6" s="762"/>
      <c r="F6" s="763"/>
      <c r="G6" s="761"/>
      <c r="H6" s="764"/>
      <c r="I6" s="765"/>
      <c r="J6" s="761"/>
      <c r="K6" s="762"/>
      <c r="O6" s="756" t="s">
        <v>8</v>
      </c>
      <c r="P6" s="756" t="s">
        <v>9</v>
      </c>
    </row>
    <row r="7" spans="1:16" x14ac:dyDescent="0.25">
      <c r="B7" s="766">
        <v>1995</v>
      </c>
      <c r="C7" s="767">
        <f t="shared" ref="C7:C22" si="0">SUM(D7:E7)</f>
        <v>9849.2561280000045</v>
      </c>
      <c r="D7" s="768">
        <f t="shared" ref="D7:E22" si="1">SUM(G7,J7)</f>
        <v>6430.3848620000044</v>
      </c>
      <c r="E7" s="769">
        <f t="shared" si="1"/>
        <v>3418.8712659999997</v>
      </c>
      <c r="F7" s="770">
        <f t="shared" ref="F7:F22" si="2">SUM(G7:H7)</f>
        <v>8673.7080870000045</v>
      </c>
      <c r="G7" s="768">
        <v>6430.3848620000044</v>
      </c>
      <c r="H7" s="771">
        <v>2243.3232249999996</v>
      </c>
      <c r="I7" s="772">
        <f t="shared" ref="I7:I22" si="3">SUM(J7:K7)</f>
        <v>1175.548041</v>
      </c>
      <c r="J7" s="768"/>
      <c r="K7" s="769">
        <v>1175.548041</v>
      </c>
      <c r="M7" s="773"/>
    </row>
    <row r="8" spans="1:16" x14ac:dyDescent="0.25">
      <c r="B8" s="774">
        <v>1996</v>
      </c>
      <c r="C8" s="775">
        <f t="shared" si="0"/>
        <v>10330.839597999991</v>
      </c>
      <c r="D8" s="776">
        <f t="shared" si="1"/>
        <v>6781.8158419999918</v>
      </c>
      <c r="E8" s="777">
        <f t="shared" si="1"/>
        <v>3549.0237560000005</v>
      </c>
      <c r="F8" s="778">
        <f t="shared" si="2"/>
        <v>8770.6107359999914</v>
      </c>
      <c r="G8" s="776">
        <v>6781.8158419999918</v>
      </c>
      <c r="H8" s="779">
        <v>1988.7948940000003</v>
      </c>
      <c r="I8" s="780">
        <f t="shared" si="3"/>
        <v>1560.2288619999999</v>
      </c>
      <c r="J8" s="776"/>
      <c r="K8" s="777">
        <v>1560.2288619999999</v>
      </c>
      <c r="M8" s="773"/>
      <c r="N8" s="756">
        <v>1995</v>
      </c>
      <c r="O8" s="781">
        <f t="shared" ref="O8:O29" si="4">D7</f>
        <v>6430.3848620000044</v>
      </c>
      <c r="P8" s="781">
        <f t="shared" ref="P8:P29" si="5">E7</f>
        <v>3418.8712659999997</v>
      </c>
    </row>
    <row r="9" spans="1:16" x14ac:dyDescent="0.25">
      <c r="B9" s="766">
        <v>1997</v>
      </c>
      <c r="C9" s="767">
        <f t="shared" si="0"/>
        <v>12451.230159999992</v>
      </c>
      <c r="D9" s="768">
        <f t="shared" si="1"/>
        <v>7291.6494419999917</v>
      </c>
      <c r="E9" s="769">
        <f t="shared" si="1"/>
        <v>5159.5807179999993</v>
      </c>
      <c r="F9" s="770">
        <f t="shared" si="2"/>
        <v>9377.8946799999903</v>
      </c>
      <c r="G9" s="768">
        <v>7291.6494419999917</v>
      </c>
      <c r="H9" s="771">
        <v>2086.2452379999995</v>
      </c>
      <c r="I9" s="772">
        <f t="shared" si="3"/>
        <v>3073.3354799999997</v>
      </c>
      <c r="J9" s="768"/>
      <c r="K9" s="769">
        <v>3073.3354799999997</v>
      </c>
      <c r="M9" s="773"/>
      <c r="N9" s="756">
        <v>1996</v>
      </c>
      <c r="O9" s="781">
        <f t="shared" si="4"/>
        <v>6781.8158419999918</v>
      </c>
      <c r="P9" s="781">
        <f t="shared" si="5"/>
        <v>3549.0237560000005</v>
      </c>
    </row>
    <row r="10" spans="1:16" x14ac:dyDescent="0.25">
      <c r="B10" s="774">
        <v>1998</v>
      </c>
      <c r="C10" s="775">
        <f t="shared" si="0"/>
        <v>14008.576822999998</v>
      </c>
      <c r="D10" s="776">
        <f t="shared" si="1"/>
        <v>7755.838101999997</v>
      </c>
      <c r="E10" s="777">
        <f t="shared" si="1"/>
        <v>6252.7387210000006</v>
      </c>
      <c r="F10" s="778">
        <f t="shared" si="2"/>
        <v>9878.6615729999976</v>
      </c>
      <c r="G10" s="776">
        <v>7755.838101999997</v>
      </c>
      <c r="H10" s="779">
        <v>2122.8234709999997</v>
      </c>
      <c r="I10" s="780">
        <f t="shared" si="3"/>
        <v>4129.9152500000009</v>
      </c>
      <c r="J10" s="776"/>
      <c r="K10" s="777">
        <v>4129.9152500000009</v>
      </c>
      <c r="M10" s="773"/>
      <c r="N10" s="756">
        <v>1997</v>
      </c>
      <c r="O10" s="781">
        <f t="shared" si="4"/>
        <v>7291.6494419999917</v>
      </c>
      <c r="P10" s="781">
        <f t="shared" si="5"/>
        <v>5159.5807179999993</v>
      </c>
    </row>
    <row r="11" spans="1:16" x14ac:dyDescent="0.25">
      <c r="B11" s="766">
        <v>1999</v>
      </c>
      <c r="C11" s="767">
        <f t="shared" si="0"/>
        <v>14591.891559000011</v>
      </c>
      <c r="D11" s="768">
        <f t="shared" si="1"/>
        <v>8071.8733350000111</v>
      </c>
      <c r="E11" s="769">
        <f t="shared" si="1"/>
        <v>6520.0182239999995</v>
      </c>
      <c r="F11" s="770">
        <f t="shared" si="2"/>
        <v>10198.891027000011</v>
      </c>
      <c r="G11" s="768">
        <v>8071.8733350000111</v>
      </c>
      <c r="H11" s="771">
        <v>2127.0176919999999</v>
      </c>
      <c r="I11" s="772">
        <f t="shared" si="3"/>
        <v>4393.000532</v>
      </c>
      <c r="J11" s="768"/>
      <c r="K11" s="769">
        <v>4393.000532</v>
      </c>
      <c r="M11" s="773"/>
      <c r="N11" s="756">
        <v>1998</v>
      </c>
      <c r="O11" s="781">
        <f t="shared" si="4"/>
        <v>7755.838101999997</v>
      </c>
      <c r="P11" s="781">
        <f t="shared" si="5"/>
        <v>6252.7387210000006</v>
      </c>
    </row>
    <row r="12" spans="1:16" x14ac:dyDescent="0.25">
      <c r="B12" s="774">
        <v>2000</v>
      </c>
      <c r="C12" s="775">
        <f t="shared" si="0"/>
        <v>15545.595392000014</v>
      </c>
      <c r="D12" s="776">
        <f t="shared" si="1"/>
        <v>8406.7782800000132</v>
      </c>
      <c r="E12" s="777">
        <f t="shared" si="1"/>
        <v>7138.8171120000006</v>
      </c>
      <c r="F12" s="778">
        <f t="shared" si="2"/>
        <v>10763.269271000014</v>
      </c>
      <c r="G12" s="776">
        <v>8406.7782800000132</v>
      </c>
      <c r="H12" s="779">
        <v>2356.4909910000001</v>
      </c>
      <c r="I12" s="780">
        <f t="shared" si="3"/>
        <v>4782.3261210000001</v>
      </c>
      <c r="J12" s="782"/>
      <c r="K12" s="777">
        <v>4782.3261210000001</v>
      </c>
      <c r="M12" s="773"/>
      <c r="N12" s="756">
        <v>1999</v>
      </c>
      <c r="O12" s="781">
        <f t="shared" si="4"/>
        <v>8071.8733350000111</v>
      </c>
      <c r="P12" s="781">
        <f t="shared" si="5"/>
        <v>6520.0182239999995</v>
      </c>
    </row>
    <row r="13" spans="1:16" x14ac:dyDescent="0.25">
      <c r="B13" s="766">
        <v>2001</v>
      </c>
      <c r="C13" s="767">
        <f t="shared" si="0"/>
        <v>16628.754544999989</v>
      </c>
      <c r="D13" s="768">
        <f t="shared" si="1"/>
        <v>8654.8532329999871</v>
      </c>
      <c r="E13" s="769">
        <f t="shared" si="1"/>
        <v>7973.901312</v>
      </c>
      <c r="F13" s="770">
        <f t="shared" si="2"/>
        <v>10522.374724999987</v>
      </c>
      <c r="G13" s="768">
        <v>8654.8532329999871</v>
      </c>
      <c r="H13" s="771">
        <v>1867.5214919999999</v>
      </c>
      <c r="I13" s="772">
        <f t="shared" si="3"/>
        <v>6106.3798200000001</v>
      </c>
      <c r="J13" s="783"/>
      <c r="K13" s="769">
        <v>6106.3798200000001</v>
      </c>
      <c r="M13" s="773"/>
      <c r="N13" s="756">
        <v>2000</v>
      </c>
      <c r="O13" s="781">
        <f t="shared" si="4"/>
        <v>8406.7782800000132</v>
      </c>
      <c r="P13" s="781">
        <f t="shared" si="5"/>
        <v>7138.8171120000006</v>
      </c>
    </row>
    <row r="14" spans="1:16" x14ac:dyDescent="0.25">
      <c r="B14" s="774">
        <v>2002</v>
      </c>
      <c r="C14" s="775">
        <f t="shared" si="0"/>
        <v>17605.325913847999</v>
      </c>
      <c r="D14" s="776">
        <f t="shared" si="1"/>
        <v>9221.8888070000012</v>
      </c>
      <c r="E14" s="777">
        <f t="shared" si="1"/>
        <v>8383.4371068479995</v>
      </c>
      <c r="F14" s="778">
        <f t="shared" si="2"/>
        <v>11113.547163000001</v>
      </c>
      <c r="G14" s="776">
        <v>9221.8888070000012</v>
      </c>
      <c r="H14" s="779">
        <v>1891.6583559999997</v>
      </c>
      <c r="I14" s="780">
        <f t="shared" si="3"/>
        <v>6491.7787508479996</v>
      </c>
      <c r="J14" s="782"/>
      <c r="K14" s="777">
        <v>6491.7787508479996</v>
      </c>
      <c r="N14" s="756">
        <v>2001</v>
      </c>
      <c r="O14" s="781">
        <f t="shared" si="4"/>
        <v>8654.8532329999871</v>
      </c>
      <c r="P14" s="781">
        <f t="shared" si="5"/>
        <v>7973.901312</v>
      </c>
    </row>
    <row r="15" spans="1:16" x14ac:dyDescent="0.25">
      <c r="B15" s="766">
        <v>2003</v>
      </c>
      <c r="C15" s="767">
        <f>SUM(D15:E15)</f>
        <v>18375.33541</v>
      </c>
      <c r="D15" s="768">
        <f t="shared" si="1"/>
        <v>9610.7902890000005</v>
      </c>
      <c r="E15" s="769">
        <f t="shared" si="1"/>
        <v>8764.545121000001</v>
      </c>
      <c r="F15" s="770">
        <f t="shared" si="2"/>
        <v>11303.613573000001</v>
      </c>
      <c r="G15" s="768">
        <v>9610.7902890000005</v>
      </c>
      <c r="H15" s="771">
        <v>1692.8232840000001</v>
      </c>
      <c r="I15" s="772">
        <f>SUM(J15:K15)</f>
        <v>7071.721837000001</v>
      </c>
      <c r="J15" s="783"/>
      <c r="K15" s="769">
        <v>7071.721837000001</v>
      </c>
      <c r="N15" s="784">
        <v>2002</v>
      </c>
      <c r="O15" s="781">
        <f t="shared" si="4"/>
        <v>9221.8888070000012</v>
      </c>
      <c r="P15" s="781">
        <f t="shared" si="5"/>
        <v>8383.4371068479995</v>
      </c>
    </row>
    <row r="16" spans="1:16" x14ac:dyDescent="0.25">
      <c r="B16" s="774">
        <v>2004</v>
      </c>
      <c r="C16" s="775">
        <f t="shared" si="0"/>
        <v>19640.651109999999</v>
      </c>
      <c r="D16" s="776">
        <f t="shared" si="1"/>
        <v>10352.511363000001</v>
      </c>
      <c r="E16" s="777">
        <f t="shared" si="1"/>
        <v>9288.1397469999993</v>
      </c>
      <c r="F16" s="778">
        <f t="shared" si="2"/>
        <v>12001.305316000002</v>
      </c>
      <c r="G16" s="776">
        <v>10352.511363000001</v>
      </c>
      <c r="H16" s="779">
        <v>1648.7939530000001</v>
      </c>
      <c r="I16" s="780">
        <f t="shared" si="3"/>
        <v>7639.3457939999998</v>
      </c>
      <c r="J16" s="782"/>
      <c r="K16" s="777">
        <v>7639.3457939999998</v>
      </c>
      <c r="N16" s="756">
        <v>2003</v>
      </c>
      <c r="O16" s="781">
        <f t="shared" si="4"/>
        <v>9610.7902890000005</v>
      </c>
      <c r="P16" s="781">
        <f t="shared" si="5"/>
        <v>8764.545121000001</v>
      </c>
    </row>
    <row r="17" spans="2:16" x14ac:dyDescent="0.25">
      <c r="B17" s="766">
        <v>2005</v>
      </c>
      <c r="C17" s="767">
        <f t="shared" si="0"/>
        <v>20701.382880222223</v>
      </c>
      <c r="D17" s="768">
        <f t="shared" si="1"/>
        <v>11150.106846222223</v>
      </c>
      <c r="E17" s="769">
        <f t="shared" si="1"/>
        <v>9551.2760340000004</v>
      </c>
      <c r="F17" s="770">
        <f t="shared" si="2"/>
        <v>12914.287800222222</v>
      </c>
      <c r="G17" s="768">
        <v>11150.106846222223</v>
      </c>
      <c r="H17" s="771">
        <v>1764.1809539999999</v>
      </c>
      <c r="I17" s="772">
        <f t="shared" si="3"/>
        <v>7787.095080000001</v>
      </c>
      <c r="J17" s="783"/>
      <c r="K17" s="769">
        <v>7787.095080000001</v>
      </c>
      <c r="N17" s="784">
        <v>2004</v>
      </c>
      <c r="O17" s="781">
        <f t="shared" si="4"/>
        <v>10352.511363000001</v>
      </c>
      <c r="P17" s="781">
        <f t="shared" si="5"/>
        <v>9288.1397469999993</v>
      </c>
    </row>
    <row r="18" spans="2:16" x14ac:dyDescent="0.25">
      <c r="B18" s="774">
        <v>2006</v>
      </c>
      <c r="C18" s="775">
        <f t="shared" si="0"/>
        <v>22290.061152999995</v>
      </c>
      <c r="D18" s="776">
        <f>SUM(G18,J18)</f>
        <v>12169.514937999998</v>
      </c>
      <c r="E18" s="777">
        <f>SUM(H18,K18)</f>
        <v>10120.546214999998</v>
      </c>
      <c r="F18" s="778">
        <f t="shared" si="2"/>
        <v>14043.638326999999</v>
      </c>
      <c r="G18" s="776">
        <v>12169.514937999998</v>
      </c>
      <c r="H18" s="779">
        <v>1874.1233889999999</v>
      </c>
      <c r="I18" s="780">
        <f t="shared" si="3"/>
        <v>8246.4228259999982</v>
      </c>
      <c r="J18" s="782"/>
      <c r="K18" s="777">
        <v>8246.4228259999982</v>
      </c>
      <c r="N18" s="756">
        <v>2005</v>
      </c>
      <c r="O18" s="781">
        <f t="shared" si="4"/>
        <v>11150.106846222223</v>
      </c>
      <c r="P18" s="781">
        <f t="shared" si="5"/>
        <v>9551.2760340000004</v>
      </c>
    </row>
    <row r="19" spans="2:16" x14ac:dyDescent="0.25">
      <c r="B19" s="766">
        <v>2007</v>
      </c>
      <c r="C19" s="767">
        <f t="shared" si="0"/>
        <v>24721.748553000001</v>
      </c>
      <c r="D19" s="768">
        <f t="shared" si="1"/>
        <v>13346.184469</v>
      </c>
      <c r="E19" s="769">
        <f t="shared" si="1"/>
        <v>11375.564084000001</v>
      </c>
      <c r="F19" s="772">
        <f t="shared" si="2"/>
        <v>15032.180855000001</v>
      </c>
      <c r="G19" s="768">
        <v>13346.184469</v>
      </c>
      <c r="H19" s="771">
        <v>1685.996386</v>
      </c>
      <c r="I19" s="772">
        <f t="shared" si="3"/>
        <v>9689.5676980000007</v>
      </c>
      <c r="J19" s="783"/>
      <c r="K19" s="769">
        <v>9689.5676980000007</v>
      </c>
      <c r="N19" s="784">
        <v>2006</v>
      </c>
      <c r="O19" s="781">
        <f t="shared" si="4"/>
        <v>12169.514937999998</v>
      </c>
      <c r="P19" s="781">
        <f t="shared" si="5"/>
        <v>10120.546214999998</v>
      </c>
    </row>
    <row r="20" spans="2:16" x14ac:dyDescent="0.25">
      <c r="B20" s="774">
        <v>2008</v>
      </c>
      <c r="C20" s="775">
        <f t="shared" si="0"/>
        <v>26964.414596000002</v>
      </c>
      <c r="D20" s="776">
        <f t="shared" si="1"/>
        <v>14569.444074000001</v>
      </c>
      <c r="E20" s="777">
        <f t="shared" si="1"/>
        <v>12394.970522</v>
      </c>
      <c r="F20" s="780">
        <f t="shared" si="2"/>
        <v>16297.176545</v>
      </c>
      <c r="G20" s="776">
        <v>14569.444074000001</v>
      </c>
      <c r="H20" s="779">
        <v>1727.732471</v>
      </c>
      <c r="I20" s="780">
        <f t="shared" si="3"/>
        <v>10667.238051</v>
      </c>
      <c r="J20" s="782"/>
      <c r="K20" s="777">
        <v>10667.238051</v>
      </c>
      <c r="N20" s="784">
        <v>2007</v>
      </c>
      <c r="O20" s="781">
        <f t="shared" si="4"/>
        <v>13346.184469</v>
      </c>
      <c r="P20" s="781">
        <f t="shared" si="5"/>
        <v>11375.564084000001</v>
      </c>
    </row>
    <row r="21" spans="2:16" x14ac:dyDescent="0.25">
      <c r="B21" s="766">
        <v>2009</v>
      </c>
      <c r="C21" s="767">
        <f t="shared" si="0"/>
        <v>27087.005776999995</v>
      </c>
      <c r="D21" s="768">
        <f t="shared" si="1"/>
        <v>15204.704771999996</v>
      </c>
      <c r="E21" s="769">
        <f t="shared" si="1"/>
        <v>11882.301004999999</v>
      </c>
      <c r="F21" s="772">
        <f t="shared" si="2"/>
        <v>17000.664144999995</v>
      </c>
      <c r="G21" s="768">
        <v>15204.704771999996</v>
      </c>
      <c r="H21" s="771">
        <v>1795.9593729999997</v>
      </c>
      <c r="I21" s="772">
        <f t="shared" si="3"/>
        <v>10086.341632</v>
      </c>
      <c r="J21" s="783"/>
      <c r="K21" s="769">
        <v>10086.341632</v>
      </c>
      <c r="N21" s="784">
        <v>2008</v>
      </c>
      <c r="O21" s="781">
        <f t="shared" si="4"/>
        <v>14569.444074000001</v>
      </c>
      <c r="P21" s="781">
        <f t="shared" si="5"/>
        <v>12394.970522</v>
      </c>
    </row>
    <row r="22" spans="2:16" x14ac:dyDescent="0.25">
      <c r="B22" s="774">
        <v>2010</v>
      </c>
      <c r="C22" s="775">
        <f t="shared" si="0"/>
        <v>29436.175124000001</v>
      </c>
      <c r="D22" s="776">
        <f t="shared" si="1"/>
        <v>16430.850569000002</v>
      </c>
      <c r="E22" s="777">
        <f t="shared" si="1"/>
        <v>13005.324554999999</v>
      </c>
      <c r="F22" s="780">
        <f t="shared" si="2"/>
        <v>18195.325098000001</v>
      </c>
      <c r="G22" s="776">
        <v>16430.850569000002</v>
      </c>
      <c r="H22" s="779">
        <v>1764.4745290000001</v>
      </c>
      <c r="I22" s="780">
        <f t="shared" si="3"/>
        <v>11240.850026</v>
      </c>
      <c r="J22" s="782"/>
      <c r="K22" s="777">
        <v>11240.850026</v>
      </c>
      <c r="N22" s="784">
        <v>2009</v>
      </c>
      <c r="O22" s="781">
        <f t="shared" si="4"/>
        <v>15204.704771999996</v>
      </c>
      <c r="P22" s="781">
        <f t="shared" si="5"/>
        <v>11882.301004999999</v>
      </c>
    </row>
    <row r="23" spans="2:16" x14ac:dyDescent="0.25">
      <c r="B23" s="766">
        <v>2011</v>
      </c>
      <c r="C23" s="767">
        <f t="shared" ref="C23:C29" si="6">SUM(D23:E23)</f>
        <v>31820.350805251099</v>
      </c>
      <c r="D23" s="768">
        <f t="shared" ref="D23:E25" si="7">SUM(G23,J23)</f>
        <v>17891.5565232511</v>
      </c>
      <c r="E23" s="769">
        <f t="shared" si="7"/>
        <v>13928.794281999999</v>
      </c>
      <c r="F23" s="772">
        <f t="shared" ref="F23:F29" si="8">SUM(G23:H23)</f>
        <v>19753.040698251101</v>
      </c>
      <c r="G23" s="768">
        <v>17891.5565232511</v>
      </c>
      <c r="H23" s="771">
        <v>1861.4841750000001</v>
      </c>
      <c r="I23" s="772">
        <f t="shared" ref="I23:I29" si="9">SUM(J23:K23)</f>
        <v>12067.310106999999</v>
      </c>
      <c r="J23" s="783"/>
      <c r="K23" s="769">
        <v>12067.310106999999</v>
      </c>
      <c r="N23" s="784">
        <v>2010</v>
      </c>
      <c r="O23" s="781">
        <f t="shared" si="4"/>
        <v>16430.850569000002</v>
      </c>
      <c r="P23" s="781">
        <f t="shared" si="5"/>
        <v>13005.324554999999</v>
      </c>
    </row>
    <row r="24" spans="2:16" x14ac:dyDescent="0.25">
      <c r="B24" s="785">
        <v>2012</v>
      </c>
      <c r="C24" s="786">
        <f t="shared" si="6"/>
        <v>33648.185935000001</v>
      </c>
      <c r="D24" s="787">
        <f t="shared" si="7"/>
        <v>18962.169935999998</v>
      </c>
      <c r="E24" s="788">
        <f t="shared" si="7"/>
        <v>14686.015998999999</v>
      </c>
      <c r="F24" s="789">
        <f t="shared" si="8"/>
        <v>20947.295381</v>
      </c>
      <c r="G24" s="787">
        <v>18962.169935999998</v>
      </c>
      <c r="H24" s="790">
        <v>1985.1254449999999</v>
      </c>
      <c r="I24" s="789">
        <f t="shared" si="9"/>
        <v>12700.890554</v>
      </c>
      <c r="J24" s="791"/>
      <c r="K24" s="788">
        <v>12700.890554</v>
      </c>
      <c r="N24" s="784">
        <v>2011</v>
      </c>
      <c r="O24" s="781">
        <f t="shared" si="4"/>
        <v>17891.5565232511</v>
      </c>
      <c r="P24" s="781">
        <f t="shared" si="5"/>
        <v>13928.794281999999</v>
      </c>
    </row>
    <row r="25" spans="2:16" x14ac:dyDescent="0.25">
      <c r="B25" s="766">
        <v>2013</v>
      </c>
      <c r="C25" s="767">
        <f t="shared" si="6"/>
        <v>35609.652699999999</v>
      </c>
      <c r="D25" s="768">
        <f t="shared" si="7"/>
        <v>19881.575264999999</v>
      </c>
      <c r="E25" s="769">
        <f t="shared" si="7"/>
        <v>15728.077434999999</v>
      </c>
      <c r="F25" s="772">
        <f t="shared" si="8"/>
        <v>21935.480477000001</v>
      </c>
      <c r="G25" s="768">
        <v>19881.575264999999</v>
      </c>
      <c r="H25" s="771">
        <v>2053.9052120000001</v>
      </c>
      <c r="I25" s="772">
        <f t="shared" si="9"/>
        <v>13674.172223</v>
      </c>
      <c r="J25" s="783"/>
      <c r="K25" s="769">
        <v>13674.172223</v>
      </c>
      <c r="N25" s="784">
        <v>2012</v>
      </c>
      <c r="O25" s="781">
        <f t="shared" si="4"/>
        <v>18962.169935999998</v>
      </c>
      <c r="P25" s="781">
        <f t="shared" si="5"/>
        <v>14686.015998999999</v>
      </c>
    </row>
    <row r="26" spans="2:16" x14ac:dyDescent="0.25">
      <c r="B26" s="785">
        <v>2014</v>
      </c>
      <c r="C26" s="786">
        <f t="shared" si="6"/>
        <v>37327.776994197113</v>
      </c>
      <c r="D26" s="787">
        <f t="shared" ref="D26:E28" si="10">SUM(G26,J26)</f>
        <v>20763.971397291498</v>
      </c>
      <c r="E26" s="788">
        <f t="shared" si="10"/>
        <v>16563.805596905615</v>
      </c>
      <c r="F26" s="789">
        <f t="shared" si="8"/>
        <v>22781.971993397114</v>
      </c>
      <c r="G26" s="787">
        <v>20763.971397291498</v>
      </c>
      <c r="H26" s="790">
        <v>2018.000596105617</v>
      </c>
      <c r="I26" s="789">
        <f t="shared" si="9"/>
        <v>14545.805000799999</v>
      </c>
      <c r="J26" s="791"/>
      <c r="K26" s="788">
        <v>14545.805000799999</v>
      </c>
      <c r="N26" s="784">
        <v>2013</v>
      </c>
      <c r="O26" s="781">
        <f t="shared" si="4"/>
        <v>19881.575264999999</v>
      </c>
      <c r="P26" s="781">
        <f t="shared" si="5"/>
        <v>15728.077434999999</v>
      </c>
    </row>
    <row r="27" spans="2:16" x14ac:dyDescent="0.25">
      <c r="B27" s="766">
        <v>2015</v>
      </c>
      <c r="C27" s="767">
        <f t="shared" si="6"/>
        <v>39774.744600000005</v>
      </c>
      <c r="D27" s="768">
        <f t="shared" si="10"/>
        <v>21493.034900000002</v>
      </c>
      <c r="E27" s="769">
        <f t="shared" si="10"/>
        <v>18281.709699999999</v>
      </c>
      <c r="F27" s="772">
        <f t="shared" si="8"/>
        <v>23494.010900000001</v>
      </c>
      <c r="G27" s="768">
        <v>21493.034900000002</v>
      </c>
      <c r="H27" s="771">
        <v>2000.9760000000001</v>
      </c>
      <c r="I27" s="772">
        <f t="shared" si="9"/>
        <v>16280.733700000001</v>
      </c>
      <c r="J27" s="783"/>
      <c r="K27" s="769">
        <v>16280.733700000001</v>
      </c>
      <c r="N27" s="784">
        <v>2014</v>
      </c>
      <c r="O27" s="781">
        <f t="shared" si="4"/>
        <v>20763.971397291498</v>
      </c>
      <c r="P27" s="781">
        <f t="shared" si="5"/>
        <v>16563.805596905615</v>
      </c>
    </row>
    <row r="28" spans="2:16" x14ac:dyDescent="0.25">
      <c r="B28" s="785">
        <v>2016</v>
      </c>
      <c r="C28" s="786">
        <f t="shared" si="6"/>
        <v>43366.999110700039</v>
      </c>
      <c r="D28" s="787">
        <f t="shared" si="10"/>
        <v>20865.202581000038</v>
      </c>
      <c r="E28" s="788">
        <f t="shared" si="10"/>
        <v>22501.796529700005</v>
      </c>
      <c r="F28" s="789">
        <f t="shared" si="8"/>
        <v>22886.332354000038</v>
      </c>
      <c r="G28" s="787">
        <v>20865.202581000038</v>
      </c>
      <c r="H28" s="790">
        <v>2021.1297730000003</v>
      </c>
      <c r="I28" s="789">
        <f t="shared" si="9"/>
        <v>20480.666756700004</v>
      </c>
      <c r="J28" s="791"/>
      <c r="K28" s="788">
        <v>20480.666756700004</v>
      </c>
      <c r="N28" s="784">
        <v>2015</v>
      </c>
      <c r="O28" s="781">
        <f t="shared" ref="O28:O36" si="11">D27</f>
        <v>21493.034900000002</v>
      </c>
      <c r="P28" s="781">
        <f t="shared" ref="P28:P36" si="12">E27</f>
        <v>18281.709699999999</v>
      </c>
    </row>
    <row r="29" spans="2:16" x14ac:dyDescent="0.25">
      <c r="B29" s="792">
        <v>2017</v>
      </c>
      <c r="C29" s="793">
        <f t="shared" si="6"/>
        <v>44223.25281726996</v>
      </c>
      <c r="D29" s="794">
        <f>SUM(G29,J29)</f>
        <v>19466.014226119965</v>
      </c>
      <c r="E29" s="795">
        <f>SUM(H29,K29)</f>
        <v>24757.238591149995</v>
      </c>
      <c r="F29" s="796">
        <f t="shared" si="8"/>
        <v>22399.543247369966</v>
      </c>
      <c r="G29" s="794">
        <v>19466.014226119965</v>
      </c>
      <c r="H29" s="797">
        <v>2933.5290212499995</v>
      </c>
      <c r="I29" s="796">
        <f t="shared" si="9"/>
        <v>21823.709569899995</v>
      </c>
      <c r="J29" s="798"/>
      <c r="K29" s="795">
        <v>21823.709569899995</v>
      </c>
      <c r="N29" s="784">
        <v>2016</v>
      </c>
      <c r="O29" s="781">
        <f t="shared" si="11"/>
        <v>20865.202581000038</v>
      </c>
      <c r="P29" s="781">
        <f t="shared" si="12"/>
        <v>22501.796529700005</v>
      </c>
    </row>
    <row r="30" spans="2:16" x14ac:dyDescent="0.25">
      <c r="B30" s="785">
        <v>2018</v>
      </c>
      <c r="C30" s="786">
        <f>SUM(D30:E30)</f>
        <v>45867.787842190068</v>
      </c>
      <c r="D30" s="787">
        <f>SUM(G30,J30)</f>
        <v>19149.967832780123</v>
      </c>
      <c r="E30" s="788">
        <f>SUM(H30,K30)</f>
        <v>26717.820009409941</v>
      </c>
      <c r="F30" s="789">
        <f>SUM(G30:H30)</f>
        <v>22073.874790390117</v>
      </c>
      <c r="G30" s="787">
        <v>19149.967832780123</v>
      </c>
      <c r="H30" s="790">
        <v>2923.9069576099951</v>
      </c>
      <c r="I30" s="789">
        <f>SUM(J30:K30)</f>
        <v>23793.913051799947</v>
      </c>
      <c r="J30" s="791"/>
      <c r="K30" s="788">
        <v>23793.913051799947</v>
      </c>
      <c r="N30" s="784">
        <v>2017</v>
      </c>
      <c r="O30" s="781">
        <f t="shared" si="11"/>
        <v>19466.014226119965</v>
      </c>
      <c r="P30" s="781">
        <f t="shared" si="12"/>
        <v>24757.238591149995</v>
      </c>
    </row>
    <row r="31" spans="2:16" x14ac:dyDescent="0.25">
      <c r="B31" s="792">
        <v>2019</v>
      </c>
      <c r="C31" s="793">
        <f t="shared" ref="C31:C32" si="13">SUM(D31:E31)</f>
        <v>47420.737911999997</v>
      </c>
      <c r="D31" s="794">
        <f t="shared" ref="D31:D32" si="14">SUM(G31,J31)</f>
        <v>19137.950690000001</v>
      </c>
      <c r="E31" s="795">
        <f t="shared" ref="E31:E32" si="15">SUM(H31,K31)</f>
        <v>28282.787221999999</v>
      </c>
      <c r="F31" s="796">
        <f t="shared" ref="F31:F35" si="16">SUM(G31:H31)</f>
        <v>22355.024662000003</v>
      </c>
      <c r="G31" s="794">
        <v>19137.950690000001</v>
      </c>
      <c r="H31" s="797">
        <v>3217.0739720000001</v>
      </c>
      <c r="I31" s="796">
        <f>SUM(J31:K31)</f>
        <v>25065.713250000001</v>
      </c>
      <c r="J31" s="798"/>
      <c r="K31" s="795">
        <v>25065.713250000001</v>
      </c>
      <c r="N31" s="784">
        <v>2018</v>
      </c>
      <c r="O31" s="781">
        <f t="shared" si="11"/>
        <v>19149.967832780123</v>
      </c>
      <c r="P31" s="781">
        <f t="shared" si="12"/>
        <v>26717.820009409941</v>
      </c>
    </row>
    <row r="32" spans="2:16" x14ac:dyDescent="0.25">
      <c r="B32" s="785">
        <v>2020</v>
      </c>
      <c r="C32" s="786">
        <f t="shared" si="13"/>
        <v>43751.069368150056</v>
      </c>
      <c r="D32" s="787">
        <f t="shared" si="14"/>
        <v>22857.708323600058</v>
      </c>
      <c r="E32" s="788">
        <f t="shared" si="15"/>
        <v>20893.361044550002</v>
      </c>
      <c r="F32" s="789">
        <f t="shared" si="16"/>
        <v>25857.238500500072</v>
      </c>
      <c r="G32" s="787">
        <v>22857.708323600058</v>
      </c>
      <c r="H32" s="790">
        <v>2999.530176900013</v>
      </c>
      <c r="I32" s="789">
        <f>SUM(J32:K32)</f>
        <v>17893.830867649987</v>
      </c>
      <c r="J32" s="791"/>
      <c r="K32" s="788">
        <v>17893.830867649987</v>
      </c>
      <c r="N32" s="784">
        <v>2019</v>
      </c>
      <c r="O32" s="781">
        <f t="shared" si="11"/>
        <v>19137.950690000001</v>
      </c>
      <c r="P32" s="781">
        <f t="shared" si="12"/>
        <v>28282.787221999999</v>
      </c>
    </row>
    <row r="33" spans="2:20" x14ac:dyDescent="0.25">
      <c r="B33" s="792">
        <v>2021</v>
      </c>
      <c r="C33" s="793">
        <f t="shared" ref="C33:C35" si="17">SUM(D33:E33)</f>
        <v>48053.743993019503</v>
      </c>
      <c r="D33" s="794">
        <f t="shared" ref="D33:D34" si="18">SUM(G33,J33)</f>
        <v>18372.038264519608</v>
      </c>
      <c r="E33" s="795">
        <f t="shared" ref="E33:E34" si="19">SUM(H33,K33)</f>
        <v>29681.705728499895</v>
      </c>
      <c r="F33" s="796">
        <f t="shared" si="16"/>
        <v>21959.303937619599</v>
      </c>
      <c r="G33" s="794">
        <v>18372.038264519608</v>
      </c>
      <c r="H33" s="797">
        <v>3587.2656730999915</v>
      </c>
      <c r="I33" s="796">
        <f>SUM(J33:K33)</f>
        <v>26094.440055399904</v>
      </c>
      <c r="J33" s="798"/>
      <c r="K33" s="795">
        <v>26094.440055399904</v>
      </c>
      <c r="N33" s="784">
        <v>2020</v>
      </c>
      <c r="O33" s="781">
        <f t="shared" si="11"/>
        <v>22857.708323600058</v>
      </c>
      <c r="P33" s="781">
        <f t="shared" si="12"/>
        <v>20893.361044550002</v>
      </c>
    </row>
    <row r="34" spans="2:20" x14ac:dyDescent="0.25">
      <c r="B34" s="785">
        <v>2022</v>
      </c>
      <c r="C34" s="786">
        <f t="shared" si="17"/>
        <v>50433.086427910021</v>
      </c>
      <c r="D34" s="787">
        <f t="shared" si="18"/>
        <v>18638.218120910016</v>
      </c>
      <c r="E34" s="788">
        <f t="shared" si="19"/>
        <v>31794.868307000001</v>
      </c>
      <c r="F34" s="789">
        <f t="shared" ref="F34:F35" si="20">SUM(G34:H34)</f>
        <v>22653.615047510018</v>
      </c>
      <c r="G34" s="787">
        <v>18638.218120910016</v>
      </c>
      <c r="H34" s="790">
        <v>4015.3969266000013</v>
      </c>
      <c r="I34" s="789">
        <f>SUM(J34:K34)</f>
        <v>27779.471380399998</v>
      </c>
      <c r="J34" s="791"/>
      <c r="K34" s="788">
        <v>27779.471380399998</v>
      </c>
      <c r="N34" s="784">
        <v>2021</v>
      </c>
      <c r="O34" s="781">
        <f t="shared" si="11"/>
        <v>18372.038264519608</v>
      </c>
      <c r="P34" s="781">
        <f t="shared" si="12"/>
        <v>29681.705728499895</v>
      </c>
    </row>
    <row r="35" spans="2:20" x14ac:dyDescent="0.25">
      <c r="B35" s="850">
        <v>2023</v>
      </c>
      <c r="C35" s="793">
        <f t="shared" si="17"/>
        <v>52622.971300300946</v>
      </c>
      <c r="D35" s="794">
        <f t="shared" ref="D35" si="21">SUM(G35,J35)</f>
        <v>19420.37894483086</v>
      </c>
      <c r="E35" s="795">
        <f t="shared" ref="E35" si="22">SUM(H35,K35)</f>
        <v>33202.592355470086</v>
      </c>
      <c r="F35" s="796">
        <f t="shared" si="16"/>
        <v>23870.292829300852</v>
      </c>
      <c r="G35" s="794">
        <v>19420.37894483086</v>
      </c>
      <c r="H35" s="797">
        <v>4449.9138844699901</v>
      </c>
      <c r="I35" s="796">
        <f>SUM(J35:K35)</f>
        <v>28752.678471000097</v>
      </c>
      <c r="J35" s="798"/>
      <c r="K35" s="795">
        <v>28752.678471000097</v>
      </c>
      <c r="N35" s="784">
        <v>2022</v>
      </c>
      <c r="O35" s="781">
        <f t="shared" si="11"/>
        <v>18638.218120910016</v>
      </c>
      <c r="P35" s="781">
        <f t="shared" si="12"/>
        <v>31794.868307000001</v>
      </c>
    </row>
    <row r="36" spans="2:20" ht="14.25" thickBot="1" x14ac:dyDescent="0.3">
      <c r="B36" s="774"/>
      <c r="C36" s="775"/>
      <c r="D36" s="776"/>
      <c r="E36" s="777"/>
      <c r="F36" s="780"/>
      <c r="G36" s="776"/>
      <c r="H36" s="779"/>
      <c r="I36" s="780"/>
      <c r="J36" s="799"/>
      <c r="K36" s="777"/>
      <c r="N36" s="784">
        <v>2023</v>
      </c>
      <c r="O36" s="781">
        <f t="shared" si="11"/>
        <v>19420.37894483086</v>
      </c>
      <c r="P36" s="781">
        <f t="shared" si="12"/>
        <v>33202.592355470086</v>
      </c>
      <c r="T36" s="604"/>
    </row>
    <row r="37" spans="2:20" ht="12.75" customHeight="1" x14ac:dyDescent="0.25">
      <c r="B37" s="508" t="s">
        <v>326</v>
      </c>
      <c r="C37" s="800">
        <f>(C35/C34)-1</f>
        <v>4.3421591409464666E-2</v>
      </c>
      <c r="D37" s="801">
        <f t="shared" ref="D37:K37" si="23">(D35/D34)-1</f>
        <v>4.1965429251165753E-2</v>
      </c>
      <c r="E37" s="801">
        <f t="shared" si="23"/>
        <v>4.4275196703996267E-2</v>
      </c>
      <c r="F37" s="802">
        <f t="shared" si="23"/>
        <v>5.3707886323625109E-2</v>
      </c>
      <c r="G37" s="801">
        <f t="shared" si="23"/>
        <v>4.1965429251165753E-2</v>
      </c>
      <c r="H37" s="803">
        <f t="shared" si="23"/>
        <v>0.10821270370346969</v>
      </c>
      <c r="I37" s="804">
        <f t="shared" si="23"/>
        <v>3.5033319290832532E-2</v>
      </c>
      <c r="J37" s="805"/>
      <c r="K37" s="806">
        <f t="shared" si="23"/>
        <v>3.5033319290832532E-2</v>
      </c>
      <c r="M37" s="807"/>
      <c r="N37" s="784"/>
      <c r="O37" s="781"/>
      <c r="P37" s="781"/>
      <c r="T37" s="604"/>
    </row>
    <row r="38" spans="2:20" ht="12.75" customHeight="1" x14ac:dyDescent="0.25">
      <c r="B38" s="513" t="s">
        <v>327</v>
      </c>
      <c r="C38" s="808">
        <f>((C35/C30)^(1/5))-1</f>
        <v>2.7858932144225079E-2</v>
      </c>
      <c r="D38" s="809">
        <f t="shared" ref="D38:K38" si="24">((D35/D30)^(1/5))-1</f>
        <v>2.8083239584604236E-3</v>
      </c>
      <c r="E38" s="810">
        <f t="shared" si="24"/>
        <v>4.4417631248021117E-2</v>
      </c>
      <c r="F38" s="811">
        <f t="shared" si="24"/>
        <v>1.5771057822862478E-2</v>
      </c>
      <c r="G38" s="809">
        <f t="shared" si="24"/>
        <v>2.8083239584604236E-3</v>
      </c>
      <c r="H38" s="812">
        <f t="shared" si="24"/>
        <v>8.7621067922472706E-2</v>
      </c>
      <c r="I38" s="813">
        <f t="shared" si="24"/>
        <v>3.8586056085023301E-2</v>
      </c>
      <c r="J38" s="814"/>
      <c r="K38" s="815">
        <f t="shared" si="24"/>
        <v>3.8586056085023301E-2</v>
      </c>
    </row>
    <row r="39" spans="2:20" ht="12.75" customHeight="1" x14ac:dyDescent="0.25">
      <c r="B39" s="516" t="s">
        <v>328</v>
      </c>
      <c r="C39" s="816">
        <f>(C35/C25)-1</f>
        <v>0.47777266303697896</v>
      </c>
      <c r="D39" s="817">
        <f t="shared" ref="D39:K39" si="25">(D35/D25)-1</f>
        <v>-2.3197171955536167E-2</v>
      </c>
      <c r="E39" s="818">
        <f t="shared" si="25"/>
        <v>1.1110394765468095</v>
      </c>
      <c r="F39" s="819">
        <f t="shared" si="25"/>
        <v>8.8204694414127705E-2</v>
      </c>
      <c r="G39" s="817">
        <f t="shared" si="25"/>
        <v>-2.3197171955536167E-2</v>
      </c>
      <c r="H39" s="820">
        <f t="shared" si="25"/>
        <v>1.1665624384568676</v>
      </c>
      <c r="I39" s="821">
        <f t="shared" si="25"/>
        <v>1.1026997467998836</v>
      </c>
      <c r="J39" s="822"/>
      <c r="K39" s="823">
        <f t="shared" si="25"/>
        <v>1.1026997467998836</v>
      </c>
    </row>
    <row r="40" spans="2:20" ht="12.75" customHeight="1" thickBot="1" x14ac:dyDescent="0.3">
      <c r="B40" s="519" t="s">
        <v>329</v>
      </c>
      <c r="C40" s="824">
        <f>((C35/C25)^(1/10))-1</f>
        <v>3.9826216507174772E-2</v>
      </c>
      <c r="D40" s="825">
        <f t="shared" ref="D40:K40" si="26">((D35/D25)^(1/10))-1</f>
        <v>-2.34429393851876E-3</v>
      </c>
      <c r="E40" s="826">
        <f t="shared" si="26"/>
        <v>7.7580280957362024E-2</v>
      </c>
      <c r="F40" s="827">
        <f t="shared" si="26"/>
        <v>8.4887537613371755E-3</v>
      </c>
      <c r="G40" s="825">
        <f t="shared" si="26"/>
        <v>-2.34429393851876E-3</v>
      </c>
      <c r="H40" s="828">
        <f t="shared" si="26"/>
        <v>8.0381455350892361E-2</v>
      </c>
      <c r="I40" s="829">
        <f t="shared" si="26"/>
        <v>7.7153820695805342E-2</v>
      </c>
      <c r="J40" s="830"/>
      <c r="K40" s="831">
        <f t="shared" si="26"/>
        <v>7.7153820695805342E-2</v>
      </c>
    </row>
    <row r="41" spans="2:20" ht="14.25" x14ac:dyDescent="0.3">
      <c r="B41" s="832"/>
      <c r="C41" s="833"/>
    </row>
    <row r="42" spans="2:20" x14ac:dyDescent="0.25">
      <c r="B42" s="834"/>
      <c r="C42" s="835"/>
    </row>
    <row r="43" spans="2:20" x14ac:dyDescent="0.25">
      <c r="B43" s="836"/>
    </row>
    <row r="44" spans="2:20" x14ac:dyDescent="0.25">
      <c r="O44" s="756" t="s">
        <v>10</v>
      </c>
      <c r="P44" s="756" t="s">
        <v>11</v>
      </c>
    </row>
    <row r="45" spans="2:20" x14ac:dyDescent="0.25">
      <c r="O45" s="781"/>
      <c r="P45" s="781"/>
    </row>
    <row r="46" spans="2:20" x14ac:dyDescent="0.25">
      <c r="O46" s="781"/>
      <c r="P46" s="781"/>
    </row>
    <row r="47" spans="2:20" x14ac:dyDescent="0.25">
      <c r="N47" s="756">
        <v>1995</v>
      </c>
      <c r="O47" s="781">
        <f t="shared" ref="O47:O63" si="27">F7</f>
        <v>8673.7080870000045</v>
      </c>
      <c r="P47" s="781">
        <f t="shared" ref="P47:P63" si="28">I7</f>
        <v>1175.548041</v>
      </c>
    </row>
    <row r="48" spans="2:20" x14ac:dyDescent="0.25">
      <c r="N48" s="756">
        <v>1996</v>
      </c>
      <c r="O48" s="781">
        <f t="shared" si="27"/>
        <v>8770.6107359999914</v>
      </c>
      <c r="P48" s="781">
        <f t="shared" si="28"/>
        <v>1560.2288619999999</v>
      </c>
    </row>
    <row r="49" spans="14:16" x14ac:dyDescent="0.25">
      <c r="N49" s="756">
        <v>1997</v>
      </c>
      <c r="O49" s="781">
        <f t="shared" si="27"/>
        <v>9377.8946799999903</v>
      </c>
      <c r="P49" s="781">
        <f t="shared" si="28"/>
        <v>3073.3354799999997</v>
      </c>
    </row>
    <row r="50" spans="14:16" x14ac:dyDescent="0.25">
      <c r="N50" s="756">
        <v>1998</v>
      </c>
      <c r="O50" s="781">
        <f t="shared" si="27"/>
        <v>9878.6615729999976</v>
      </c>
      <c r="P50" s="781">
        <f t="shared" si="28"/>
        <v>4129.9152500000009</v>
      </c>
    </row>
    <row r="51" spans="14:16" x14ac:dyDescent="0.25">
      <c r="N51" s="756">
        <v>1999</v>
      </c>
      <c r="O51" s="781">
        <f t="shared" si="27"/>
        <v>10198.891027000011</v>
      </c>
      <c r="P51" s="781">
        <f t="shared" si="28"/>
        <v>4393.000532</v>
      </c>
    </row>
    <row r="52" spans="14:16" x14ac:dyDescent="0.25">
      <c r="N52" s="756">
        <v>2000</v>
      </c>
      <c r="O52" s="781">
        <f t="shared" si="27"/>
        <v>10763.269271000014</v>
      </c>
      <c r="P52" s="781">
        <f t="shared" si="28"/>
        <v>4782.3261210000001</v>
      </c>
    </row>
    <row r="53" spans="14:16" x14ac:dyDescent="0.25">
      <c r="N53" s="756">
        <v>2001</v>
      </c>
      <c r="O53" s="781">
        <f t="shared" si="27"/>
        <v>10522.374724999987</v>
      </c>
      <c r="P53" s="781">
        <f t="shared" si="28"/>
        <v>6106.3798200000001</v>
      </c>
    </row>
    <row r="54" spans="14:16" x14ac:dyDescent="0.25">
      <c r="N54" s="784">
        <v>2002</v>
      </c>
      <c r="O54" s="781">
        <f t="shared" si="27"/>
        <v>11113.547163000001</v>
      </c>
      <c r="P54" s="781">
        <f t="shared" si="28"/>
        <v>6491.7787508479996</v>
      </c>
    </row>
    <row r="55" spans="14:16" x14ac:dyDescent="0.25">
      <c r="N55" s="756">
        <v>2003</v>
      </c>
      <c r="O55" s="781">
        <f t="shared" si="27"/>
        <v>11303.613573000001</v>
      </c>
      <c r="P55" s="781">
        <f t="shared" si="28"/>
        <v>7071.721837000001</v>
      </c>
    </row>
    <row r="56" spans="14:16" x14ac:dyDescent="0.25">
      <c r="N56" s="784">
        <v>2004</v>
      </c>
      <c r="O56" s="781">
        <f t="shared" si="27"/>
        <v>12001.305316000002</v>
      </c>
      <c r="P56" s="781">
        <f t="shared" si="28"/>
        <v>7639.3457939999998</v>
      </c>
    </row>
    <row r="57" spans="14:16" x14ac:dyDescent="0.25">
      <c r="N57" s="756">
        <v>2005</v>
      </c>
      <c r="O57" s="781">
        <f t="shared" si="27"/>
        <v>12914.287800222222</v>
      </c>
      <c r="P57" s="781">
        <f t="shared" si="28"/>
        <v>7787.095080000001</v>
      </c>
    </row>
    <row r="58" spans="14:16" x14ac:dyDescent="0.25">
      <c r="N58" s="784">
        <v>2006</v>
      </c>
      <c r="O58" s="781">
        <f t="shared" si="27"/>
        <v>14043.638326999999</v>
      </c>
      <c r="P58" s="781">
        <f t="shared" si="28"/>
        <v>8246.4228259999982</v>
      </c>
    </row>
    <row r="59" spans="14:16" x14ac:dyDescent="0.25">
      <c r="N59" s="784">
        <v>2007</v>
      </c>
      <c r="O59" s="781">
        <f t="shared" si="27"/>
        <v>15032.180855000001</v>
      </c>
      <c r="P59" s="781">
        <f t="shared" si="28"/>
        <v>9689.5676980000007</v>
      </c>
    </row>
    <row r="60" spans="14:16" x14ac:dyDescent="0.25">
      <c r="N60" s="784">
        <v>2008</v>
      </c>
      <c r="O60" s="781">
        <f t="shared" si="27"/>
        <v>16297.176545</v>
      </c>
      <c r="P60" s="781">
        <f t="shared" si="28"/>
        <v>10667.238051</v>
      </c>
    </row>
    <row r="61" spans="14:16" x14ac:dyDescent="0.25">
      <c r="N61" s="784">
        <v>2009</v>
      </c>
      <c r="O61" s="781">
        <f t="shared" si="27"/>
        <v>17000.664144999995</v>
      </c>
      <c r="P61" s="781">
        <f t="shared" si="28"/>
        <v>10086.341632</v>
      </c>
    </row>
    <row r="62" spans="14:16" x14ac:dyDescent="0.25">
      <c r="N62" s="784">
        <v>2010</v>
      </c>
      <c r="O62" s="781">
        <f t="shared" si="27"/>
        <v>18195.325098000001</v>
      </c>
      <c r="P62" s="781">
        <f t="shared" si="28"/>
        <v>11240.850026</v>
      </c>
    </row>
    <row r="63" spans="14:16" x14ac:dyDescent="0.25">
      <c r="N63" s="784">
        <v>2011</v>
      </c>
      <c r="O63" s="781">
        <f t="shared" si="27"/>
        <v>19753.040698251101</v>
      </c>
      <c r="P63" s="781">
        <f t="shared" si="28"/>
        <v>12067.310106999999</v>
      </c>
    </row>
    <row r="64" spans="14:16" x14ac:dyDescent="0.25">
      <c r="N64" s="784">
        <v>2012</v>
      </c>
      <c r="O64" s="781">
        <f t="shared" ref="O64:O69" si="29">F24</f>
        <v>20947.295381</v>
      </c>
      <c r="P64" s="781">
        <f t="shared" ref="P64:P69" si="30">I24</f>
        <v>12700.890554</v>
      </c>
    </row>
    <row r="65" spans="14:16" x14ac:dyDescent="0.25">
      <c r="N65" s="784">
        <v>2013</v>
      </c>
      <c r="O65" s="781">
        <f t="shared" si="29"/>
        <v>21935.480477000001</v>
      </c>
      <c r="P65" s="781">
        <f t="shared" si="30"/>
        <v>13674.172223</v>
      </c>
    </row>
    <row r="66" spans="14:16" x14ac:dyDescent="0.25">
      <c r="N66" s="756">
        <v>2014</v>
      </c>
      <c r="O66" s="781">
        <f t="shared" si="29"/>
        <v>22781.971993397114</v>
      </c>
      <c r="P66" s="781">
        <f t="shared" si="30"/>
        <v>14545.805000799999</v>
      </c>
    </row>
    <row r="67" spans="14:16" x14ac:dyDescent="0.25">
      <c r="N67" s="784">
        <v>2015</v>
      </c>
      <c r="O67" s="781">
        <f t="shared" si="29"/>
        <v>23494.010900000001</v>
      </c>
      <c r="P67" s="781">
        <f t="shared" si="30"/>
        <v>16280.733700000001</v>
      </c>
    </row>
    <row r="68" spans="14:16" x14ac:dyDescent="0.25">
      <c r="N68" s="784">
        <v>2016</v>
      </c>
      <c r="O68" s="781">
        <f t="shared" si="29"/>
        <v>22886.332354000038</v>
      </c>
      <c r="P68" s="781">
        <f t="shared" si="30"/>
        <v>20480.666756700004</v>
      </c>
    </row>
    <row r="69" spans="14:16" x14ac:dyDescent="0.25">
      <c r="N69" s="784">
        <v>2017</v>
      </c>
      <c r="O69" s="781">
        <f t="shared" si="29"/>
        <v>22399.543247369966</v>
      </c>
      <c r="P69" s="781">
        <f t="shared" si="30"/>
        <v>21823.709569899995</v>
      </c>
    </row>
    <row r="70" spans="14:16" x14ac:dyDescent="0.25">
      <c r="N70" s="784">
        <v>2018</v>
      </c>
      <c r="O70" s="781">
        <f>F30</f>
        <v>22073.874790390117</v>
      </c>
      <c r="P70" s="781">
        <f>I30</f>
        <v>23793.913051799947</v>
      </c>
    </row>
    <row r="71" spans="14:16" x14ac:dyDescent="0.25">
      <c r="N71" s="784">
        <v>2019</v>
      </c>
      <c r="O71" s="781">
        <f t="shared" ref="O71:O72" si="31">F31</f>
        <v>22355.024662000003</v>
      </c>
      <c r="P71" s="781">
        <f t="shared" ref="P71:P72" si="32">I31</f>
        <v>25065.713250000001</v>
      </c>
    </row>
    <row r="72" spans="14:16" x14ac:dyDescent="0.25">
      <c r="N72" s="784">
        <v>2020</v>
      </c>
      <c r="O72" s="781">
        <f t="shared" si="31"/>
        <v>25857.238500500072</v>
      </c>
      <c r="P72" s="781">
        <f t="shared" si="32"/>
        <v>17893.830867649987</v>
      </c>
    </row>
    <row r="73" spans="14:16" x14ac:dyDescent="0.25">
      <c r="N73" s="756">
        <v>2021</v>
      </c>
      <c r="O73" s="781">
        <f t="shared" ref="O73" si="33">F33</f>
        <v>21959.303937619599</v>
      </c>
      <c r="P73" s="781">
        <f t="shared" ref="P73" si="34">I33</f>
        <v>26094.440055399904</v>
      </c>
    </row>
    <row r="74" spans="14:16" x14ac:dyDescent="0.25">
      <c r="N74" s="756">
        <v>2022</v>
      </c>
      <c r="O74" s="781">
        <f t="shared" ref="O74" si="35">F34</f>
        <v>22653.615047510018</v>
      </c>
      <c r="P74" s="781">
        <f t="shared" ref="P74" si="36">I34</f>
        <v>27779.471380399998</v>
      </c>
    </row>
    <row r="75" spans="14:16" x14ac:dyDescent="0.25">
      <c r="N75" s="756">
        <v>2023</v>
      </c>
      <c r="O75" s="781">
        <f t="shared" ref="O75" si="37">F35</f>
        <v>23870.292829300852</v>
      </c>
      <c r="P75" s="781">
        <f t="shared" ref="P75" si="38">I35</f>
        <v>28752.678471000097</v>
      </c>
    </row>
  </sheetData>
  <mergeCells count="5">
    <mergeCell ref="B4:B5"/>
    <mergeCell ref="C4:E4"/>
    <mergeCell ref="F4:H4"/>
    <mergeCell ref="I4:K4"/>
    <mergeCell ref="A1:J1"/>
  </mergeCells>
  <printOptions horizontalCentered="1" verticalCentered="1"/>
  <pageMargins left="0.68" right="0.59" top="1" bottom="1" header="0" footer="0"/>
  <pageSetup paperSize="9" scale="6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00"/>
  <sheetViews>
    <sheetView showGridLines="0" view="pageBreakPreview" zoomScale="90" zoomScaleNormal="100" zoomScaleSheetLayoutView="90" workbookViewId="0">
      <selection activeCell="B37" sqref="B37:C40"/>
    </sheetView>
  </sheetViews>
  <sheetFormatPr baseColWidth="10" defaultRowHeight="13.5" x14ac:dyDescent="0.25"/>
  <cols>
    <col min="1" max="1" width="2.85546875" style="437" customWidth="1"/>
    <col min="2" max="2" width="22.140625" style="437" customWidth="1"/>
    <col min="3" max="3" width="15" style="437" customWidth="1"/>
    <col min="4" max="4" width="13.28515625" style="437" customWidth="1"/>
    <col min="5" max="5" width="12.7109375" style="437" customWidth="1"/>
    <col min="6" max="6" width="14" style="437" customWidth="1"/>
    <col min="7" max="7" width="11.42578125" style="437" bestFit="1" customWidth="1"/>
    <col min="8" max="8" width="12.42578125" style="437" customWidth="1"/>
    <col min="9" max="9" width="11.7109375" style="437" customWidth="1"/>
    <col min="10" max="10" width="11" style="437" customWidth="1"/>
    <col min="11" max="11" width="12.28515625" style="437" customWidth="1"/>
    <col min="12" max="13" width="11.42578125" style="437"/>
    <col min="14" max="14" width="11.42578125" style="438"/>
    <col min="15" max="15" width="13.42578125" style="438" bestFit="1" customWidth="1"/>
    <col min="16" max="16" width="12.7109375" style="438" bestFit="1" customWidth="1"/>
    <col min="17" max="16384" width="11.42578125" style="437"/>
  </cols>
  <sheetData>
    <row r="1" spans="1:13" ht="15.75" x14ac:dyDescent="0.25">
      <c r="A1" s="851" t="s">
        <v>169</v>
      </c>
    </row>
    <row r="3" spans="1:13" ht="14.25" thickBot="1" x14ac:dyDescent="0.3"/>
    <row r="4" spans="1:13" x14ac:dyDescent="0.25">
      <c r="B4" s="852" t="s">
        <v>18</v>
      </c>
      <c r="C4" s="853" t="s">
        <v>49</v>
      </c>
      <c r="D4" s="854"/>
      <c r="E4" s="854"/>
      <c r="F4" s="853" t="s">
        <v>10</v>
      </c>
      <c r="G4" s="854"/>
      <c r="H4" s="854"/>
      <c r="I4" s="855" t="s">
        <v>11</v>
      </c>
      <c r="J4" s="854"/>
      <c r="K4" s="856"/>
    </row>
    <row r="5" spans="1:13" x14ac:dyDescent="0.25">
      <c r="B5" s="857"/>
      <c r="C5" s="858" t="s">
        <v>0</v>
      </c>
      <c r="D5" s="859" t="s">
        <v>16</v>
      </c>
      <c r="E5" s="860" t="s">
        <v>17</v>
      </c>
      <c r="F5" s="861" t="s">
        <v>12</v>
      </c>
      <c r="G5" s="859" t="s">
        <v>16</v>
      </c>
      <c r="H5" s="862" t="s">
        <v>17</v>
      </c>
      <c r="I5" s="863" t="s">
        <v>0</v>
      </c>
      <c r="J5" s="859" t="s">
        <v>16</v>
      </c>
      <c r="K5" s="860" t="s">
        <v>17</v>
      </c>
    </row>
    <row r="6" spans="1:13" x14ac:dyDescent="0.25">
      <c r="B6" s="864"/>
      <c r="C6" s="865"/>
      <c r="D6" s="866"/>
      <c r="E6" s="867"/>
      <c r="F6" s="868"/>
      <c r="G6" s="866"/>
      <c r="H6" s="869"/>
      <c r="I6" s="870"/>
      <c r="J6" s="866"/>
      <c r="K6" s="867"/>
    </row>
    <row r="7" spans="1:13" x14ac:dyDescent="0.25">
      <c r="B7" s="766">
        <v>1995</v>
      </c>
      <c r="C7" s="871">
        <f>SUM(D7:E7)</f>
        <v>826676.00168974232</v>
      </c>
      <c r="D7" s="872">
        <v>652594.70505039126</v>
      </c>
      <c r="E7" s="873">
        <v>174081.29663935103</v>
      </c>
      <c r="F7" s="874">
        <f t="shared" ref="F7:F16" si="0">SUM(G7:H7)</f>
        <v>776779.19139398972</v>
      </c>
      <c r="G7" s="872">
        <v>652594.70505039126</v>
      </c>
      <c r="H7" s="875">
        <v>124184.48634359846</v>
      </c>
      <c r="I7" s="876">
        <f t="shared" ref="I7:I16" si="1">SUM(J7:K7)</f>
        <v>49896.810295752563</v>
      </c>
      <c r="J7" s="872"/>
      <c r="K7" s="873">
        <v>49896.810295752563</v>
      </c>
      <c r="M7" s="877"/>
    </row>
    <row r="8" spans="1:13" x14ac:dyDescent="0.25">
      <c r="B8" s="484">
        <v>1996</v>
      </c>
      <c r="C8" s="878">
        <f>SUM(D8:E8)</f>
        <v>893370.39514081739</v>
      </c>
      <c r="D8" s="879">
        <v>703942.0843935553</v>
      </c>
      <c r="E8" s="880">
        <v>189428.31074726206</v>
      </c>
      <c r="F8" s="881">
        <f t="shared" si="0"/>
        <v>822460.27859264216</v>
      </c>
      <c r="G8" s="879">
        <v>703942.0843935553</v>
      </c>
      <c r="H8" s="882">
        <v>118518.19419908689</v>
      </c>
      <c r="I8" s="883">
        <f t="shared" si="1"/>
        <v>70910.116548175167</v>
      </c>
      <c r="J8" s="879"/>
      <c r="K8" s="880">
        <v>70910.116548175167</v>
      </c>
      <c r="M8" s="877"/>
    </row>
    <row r="9" spans="1:13" x14ac:dyDescent="0.25">
      <c r="B9" s="766">
        <v>1997</v>
      </c>
      <c r="C9" s="871">
        <f>SUM(D9:E9)</f>
        <v>1019537.5366169369</v>
      </c>
      <c r="D9" s="872">
        <v>739882.06859937776</v>
      </c>
      <c r="E9" s="873">
        <v>279655.46801755915</v>
      </c>
      <c r="F9" s="874">
        <f t="shared" si="0"/>
        <v>859351.67959043023</v>
      </c>
      <c r="G9" s="872">
        <v>739882.06859937776</v>
      </c>
      <c r="H9" s="875">
        <v>119469.61099105242</v>
      </c>
      <c r="I9" s="876">
        <f t="shared" si="1"/>
        <v>160185.85702650671</v>
      </c>
      <c r="J9" s="872"/>
      <c r="K9" s="873">
        <v>160185.85702650671</v>
      </c>
      <c r="M9" s="877"/>
    </row>
    <row r="10" spans="1:13" x14ac:dyDescent="0.25">
      <c r="B10" s="484">
        <v>1998</v>
      </c>
      <c r="C10" s="878">
        <f t="shared" ref="C10:C16" si="2">SUM(D10:E10)</f>
        <v>988144.97054525139</v>
      </c>
      <c r="D10" s="879">
        <v>678887.14895575435</v>
      </c>
      <c r="E10" s="880">
        <v>309257.82158949709</v>
      </c>
      <c r="F10" s="881">
        <f t="shared" si="0"/>
        <v>786060.99965563859</v>
      </c>
      <c r="G10" s="879">
        <v>678887.14895575435</v>
      </c>
      <c r="H10" s="882">
        <v>107173.85069988419</v>
      </c>
      <c r="I10" s="883">
        <f t="shared" si="1"/>
        <v>202083.97088961289</v>
      </c>
      <c r="J10" s="879"/>
      <c r="K10" s="880">
        <v>202083.97088961289</v>
      </c>
      <c r="M10" s="877"/>
    </row>
    <row r="11" spans="1:13" x14ac:dyDescent="0.25">
      <c r="B11" s="766">
        <v>1999</v>
      </c>
      <c r="C11" s="871">
        <f t="shared" si="2"/>
        <v>991959.36826673022</v>
      </c>
      <c r="D11" s="872">
        <v>670509.97864915198</v>
      </c>
      <c r="E11" s="873">
        <v>321449.38961757824</v>
      </c>
      <c r="F11" s="874">
        <f t="shared" si="0"/>
        <v>778389.13985393988</v>
      </c>
      <c r="G11" s="872">
        <v>670509.97864915198</v>
      </c>
      <c r="H11" s="875">
        <v>107879.16120478789</v>
      </c>
      <c r="I11" s="876">
        <f t="shared" si="1"/>
        <v>213570.22841279037</v>
      </c>
      <c r="J11" s="872"/>
      <c r="K11" s="873">
        <v>213570.22841279037</v>
      </c>
      <c r="M11" s="877"/>
    </row>
    <row r="12" spans="1:13" x14ac:dyDescent="0.25">
      <c r="B12" s="484">
        <v>2000</v>
      </c>
      <c r="C12" s="878">
        <f t="shared" si="2"/>
        <v>1113069.5002683792</v>
      </c>
      <c r="D12" s="879">
        <v>740329.43935992219</v>
      </c>
      <c r="E12" s="880">
        <v>372740.06090845715</v>
      </c>
      <c r="F12" s="881">
        <f t="shared" si="0"/>
        <v>866072.13672822504</v>
      </c>
      <c r="G12" s="879">
        <v>740329.43935992219</v>
      </c>
      <c r="H12" s="882">
        <v>125742.6973683028</v>
      </c>
      <c r="I12" s="883">
        <f t="shared" si="1"/>
        <v>246997.36354015436</v>
      </c>
      <c r="J12" s="879"/>
      <c r="K12" s="880">
        <v>246997.36354015436</v>
      </c>
      <c r="M12" s="877"/>
    </row>
    <row r="13" spans="1:13" x14ac:dyDescent="0.25">
      <c r="B13" s="766">
        <v>2001</v>
      </c>
      <c r="C13" s="871">
        <f>SUM(D13:E13)</f>
        <v>1139358.5138385482</v>
      </c>
      <c r="D13" s="872">
        <v>761192.05792891572</v>
      </c>
      <c r="E13" s="873">
        <v>378166.4559096325</v>
      </c>
      <c r="F13" s="874">
        <f>SUM(G13:H13)</f>
        <v>862632.28368588316</v>
      </c>
      <c r="G13" s="872">
        <v>761192.05792891572</v>
      </c>
      <c r="H13" s="875">
        <v>101440.22575696744</v>
      </c>
      <c r="I13" s="876">
        <f t="shared" si="1"/>
        <v>276726.23015266506</v>
      </c>
      <c r="J13" s="872"/>
      <c r="K13" s="873">
        <v>276726.23015266506</v>
      </c>
      <c r="M13" s="877"/>
    </row>
    <row r="14" spans="1:13" x14ac:dyDescent="0.25">
      <c r="B14" s="484">
        <v>2002</v>
      </c>
      <c r="C14" s="878">
        <f t="shared" si="2"/>
        <v>1157067.1602677335</v>
      </c>
      <c r="D14" s="879">
        <v>764543.09032842796</v>
      </c>
      <c r="E14" s="880">
        <v>392524.06993930548</v>
      </c>
      <c r="F14" s="881">
        <f t="shared" si="0"/>
        <v>862228.11757443007</v>
      </c>
      <c r="G14" s="879">
        <v>764543.09032842796</v>
      </c>
      <c r="H14" s="882">
        <v>97685.027246002166</v>
      </c>
      <c r="I14" s="883">
        <f t="shared" si="1"/>
        <v>294839.04269330332</v>
      </c>
      <c r="J14" s="884"/>
      <c r="K14" s="880">
        <v>294839.04269330332</v>
      </c>
    </row>
    <row r="15" spans="1:13" x14ac:dyDescent="0.25">
      <c r="B15" s="766">
        <v>2003</v>
      </c>
      <c r="C15" s="871">
        <f>SUM(D15:E15)</f>
        <v>1217210.1436706816</v>
      </c>
      <c r="D15" s="872">
        <v>811107.14639795315</v>
      </c>
      <c r="E15" s="873">
        <v>406102.99727272848</v>
      </c>
      <c r="F15" s="874">
        <f>SUM(G15:H15)</f>
        <v>901096.17241545301</v>
      </c>
      <c r="G15" s="872">
        <v>811107.14639795315</v>
      </c>
      <c r="H15" s="875">
        <v>89989.026017499913</v>
      </c>
      <c r="I15" s="876">
        <f>SUM(J15:K15)</f>
        <v>316113.97125522856</v>
      </c>
      <c r="J15" s="872"/>
      <c r="K15" s="873">
        <v>316113.97125522856</v>
      </c>
      <c r="M15" s="877"/>
    </row>
    <row r="16" spans="1:13" x14ac:dyDescent="0.25">
      <c r="B16" s="484">
        <v>2004</v>
      </c>
      <c r="C16" s="878">
        <f t="shared" si="2"/>
        <v>1382300.0118101076</v>
      </c>
      <c r="D16" s="879">
        <v>897997.70685053943</v>
      </c>
      <c r="E16" s="880">
        <v>484302.30495956831</v>
      </c>
      <c r="F16" s="881">
        <f t="shared" si="0"/>
        <v>986870.11767828721</v>
      </c>
      <c r="G16" s="879">
        <v>897997.70685053943</v>
      </c>
      <c r="H16" s="882">
        <v>88872.410827747721</v>
      </c>
      <c r="I16" s="883">
        <f t="shared" si="1"/>
        <v>395429.89413182059</v>
      </c>
      <c r="J16" s="884"/>
      <c r="K16" s="880">
        <v>395429.89413182059</v>
      </c>
    </row>
    <row r="17" spans="2:13" x14ac:dyDescent="0.25">
      <c r="B17" s="766">
        <v>2005</v>
      </c>
      <c r="C17" s="871">
        <f t="shared" ref="C17:C26" si="3">SUM(D17:E17)</f>
        <v>1579209.27109638</v>
      </c>
      <c r="D17" s="872">
        <v>1048137.0214944701</v>
      </c>
      <c r="E17" s="873">
        <v>531072.24960191001</v>
      </c>
      <c r="F17" s="874">
        <f t="shared" ref="F17:F24" si="4">SUM(G17:H17)</f>
        <v>1147775.8928376874</v>
      </c>
      <c r="G17" s="872">
        <v>1048137.0214944701</v>
      </c>
      <c r="H17" s="875">
        <v>99638.871343217426</v>
      </c>
      <c r="I17" s="876">
        <f t="shared" ref="I17:I26" si="5">SUM(J17:K17)</f>
        <v>431433.37825869262</v>
      </c>
      <c r="J17" s="872"/>
      <c r="K17" s="873">
        <v>431433.37825869262</v>
      </c>
      <c r="M17" s="877"/>
    </row>
    <row r="18" spans="2:13" x14ac:dyDescent="0.25">
      <c r="B18" s="484">
        <v>2006</v>
      </c>
      <c r="C18" s="878">
        <f t="shared" si="3"/>
        <v>1683168.9043059072</v>
      </c>
      <c r="D18" s="879">
        <v>1120521.0639498956</v>
      </c>
      <c r="E18" s="880">
        <v>562647.84035601164</v>
      </c>
      <c r="F18" s="881">
        <f t="shared" si="4"/>
        <v>1222413.6377595204</v>
      </c>
      <c r="G18" s="879">
        <v>1120521.0639498956</v>
      </c>
      <c r="H18" s="882">
        <v>101892.57380962497</v>
      </c>
      <c r="I18" s="883">
        <f t="shared" si="5"/>
        <v>460755.2665463867</v>
      </c>
      <c r="J18" s="884"/>
      <c r="K18" s="880">
        <v>460755.2665463867</v>
      </c>
    </row>
    <row r="19" spans="2:13" x14ac:dyDescent="0.25">
      <c r="B19" s="766">
        <v>2007</v>
      </c>
      <c r="C19" s="871">
        <f t="shared" si="3"/>
        <v>1830631.6634342424</v>
      </c>
      <c r="D19" s="872">
        <v>1213689.4778540342</v>
      </c>
      <c r="E19" s="873">
        <v>616942.18558020808</v>
      </c>
      <c r="F19" s="874">
        <f t="shared" si="4"/>
        <v>1305447.8754961956</v>
      </c>
      <c r="G19" s="872">
        <v>1213689.4778540342</v>
      </c>
      <c r="H19" s="875">
        <v>91758.397642161377</v>
      </c>
      <c r="I19" s="876">
        <f t="shared" si="5"/>
        <v>525183.78793804673</v>
      </c>
      <c r="J19" s="872"/>
      <c r="K19" s="873">
        <v>525183.78793804673</v>
      </c>
      <c r="M19" s="877"/>
    </row>
    <row r="20" spans="2:13" x14ac:dyDescent="0.25">
      <c r="B20" s="484">
        <v>2008</v>
      </c>
      <c r="C20" s="878">
        <f t="shared" si="3"/>
        <v>2216099.9731833665</v>
      </c>
      <c r="D20" s="879">
        <v>1393393.8557439279</v>
      </c>
      <c r="E20" s="880">
        <v>822706.11743943871</v>
      </c>
      <c r="F20" s="881">
        <f t="shared" si="4"/>
        <v>1501002.7378177985</v>
      </c>
      <c r="G20" s="879">
        <v>1393393.8557439279</v>
      </c>
      <c r="H20" s="882">
        <v>107608.88207387061</v>
      </c>
      <c r="I20" s="883">
        <f t="shared" si="5"/>
        <v>715097.23536556808</v>
      </c>
      <c r="J20" s="884"/>
      <c r="K20" s="880">
        <v>715097.23536556808</v>
      </c>
    </row>
    <row r="21" spans="2:13" x14ac:dyDescent="0.25">
      <c r="B21" s="766">
        <v>2009</v>
      </c>
      <c r="C21" s="871">
        <f t="shared" si="3"/>
        <v>2236058.1538174003</v>
      </c>
      <c r="D21" s="872">
        <v>1556915.7010486</v>
      </c>
      <c r="E21" s="873">
        <v>679142.45276880008</v>
      </c>
      <c r="F21" s="874">
        <f t="shared" si="4"/>
        <v>1675664.7528214001</v>
      </c>
      <c r="G21" s="872">
        <v>1556915.7010486</v>
      </c>
      <c r="H21" s="875">
        <v>118749.05177280001</v>
      </c>
      <c r="I21" s="876">
        <f t="shared" si="5"/>
        <v>560393.40099600004</v>
      </c>
      <c r="J21" s="872"/>
      <c r="K21" s="873">
        <v>560393.40099600004</v>
      </c>
      <c r="M21" s="877"/>
    </row>
    <row r="22" spans="2:13" x14ac:dyDescent="0.25">
      <c r="B22" s="484">
        <v>2010</v>
      </c>
      <c r="C22" s="878">
        <f t="shared" si="3"/>
        <v>2448535.0282029589</v>
      </c>
      <c r="D22" s="879">
        <v>1718589.3030064055</v>
      </c>
      <c r="E22" s="880">
        <v>729945.72519655328</v>
      </c>
      <c r="F22" s="881">
        <f t="shared" si="4"/>
        <v>1841104.1163105767</v>
      </c>
      <c r="G22" s="879">
        <v>1718589.3030064055</v>
      </c>
      <c r="H22" s="882">
        <v>122514.81330417127</v>
      </c>
      <c r="I22" s="883">
        <f t="shared" si="5"/>
        <v>607430.91189238196</v>
      </c>
      <c r="J22" s="884"/>
      <c r="K22" s="880">
        <v>607430.91189238196</v>
      </c>
    </row>
    <row r="23" spans="2:13" x14ac:dyDescent="0.25">
      <c r="B23" s="766">
        <v>2011</v>
      </c>
      <c r="C23" s="871">
        <f t="shared" si="3"/>
        <v>2860391.5553587964</v>
      </c>
      <c r="D23" s="872">
        <f t="shared" ref="D23:E26" si="6">SUM(G23,J23)</f>
        <v>1984402.4158051817</v>
      </c>
      <c r="E23" s="873">
        <f t="shared" si="6"/>
        <v>875989.13955361478</v>
      </c>
      <c r="F23" s="874">
        <f t="shared" si="4"/>
        <v>2130475.7425380684</v>
      </c>
      <c r="G23" s="872">
        <v>1984402.4158051817</v>
      </c>
      <c r="H23" s="875">
        <v>146073.32673288661</v>
      </c>
      <c r="I23" s="876">
        <f t="shared" si="5"/>
        <v>729915.81282072817</v>
      </c>
      <c r="J23" s="872"/>
      <c r="K23" s="873">
        <v>729915.81282072817</v>
      </c>
      <c r="M23" s="877"/>
    </row>
    <row r="24" spans="2:13" x14ac:dyDescent="0.25">
      <c r="B24" s="484">
        <v>2012</v>
      </c>
      <c r="C24" s="878">
        <f t="shared" si="3"/>
        <v>3299125.4993270128</v>
      </c>
      <c r="D24" s="879">
        <f t="shared" si="6"/>
        <v>2313676.2538387571</v>
      </c>
      <c r="E24" s="880">
        <f t="shared" si="6"/>
        <v>985449.24548825575</v>
      </c>
      <c r="F24" s="881">
        <f t="shared" si="4"/>
        <v>2474533.5608113473</v>
      </c>
      <c r="G24" s="879">
        <v>2313676.2538387571</v>
      </c>
      <c r="H24" s="882">
        <v>160857.30697259022</v>
      </c>
      <c r="I24" s="885">
        <f t="shared" si="5"/>
        <v>824591.93851566559</v>
      </c>
      <c r="J24" s="884"/>
      <c r="K24" s="880">
        <v>824591.93851566559</v>
      </c>
    </row>
    <row r="25" spans="2:13" x14ac:dyDescent="0.25">
      <c r="B25" s="766">
        <v>2013</v>
      </c>
      <c r="C25" s="871">
        <f>SUM(D25:E25)</f>
        <v>3536226.3294514879</v>
      </c>
      <c r="D25" s="872">
        <f>SUM(G25,J25)</f>
        <v>2432390.4404826746</v>
      </c>
      <c r="E25" s="873">
        <f>SUM(H25,K25)</f>
        <v>1103835.8889688132</v>
      </c>
      <c r="F25" s="874">
        <f t="shared" ref="F25:F35" si="7">SUM(G25:H25)</f>
        <v>2617666.0377430008</v>
      </c>
      <c r="G25" s="872">
        <v>2432390.4404826746</v>
      </c>
      <c r="H25" s="875">
        <v>185275.59726032626</v>
      </c>
      <c r="I25" s="876">
        <f>SUM(J25:K25)</f>
        <v>918560.29170848709</v>
      </c>
      <c r="J25" s="872"/>
      <c r="K25" s="873">
        <v>918560.29170848709</v>
      </c>
      <c r="M25" s="877"/>
    </row>
    <row r="26" spans="2:13" x14ac:dyDescent="0.25">
      <c r="B26" s="484">
        <v>2014</v>
      </c>
      <c r="C26" s="878">
        <f t="shared" si="3"/>
        <v>4025346.1154737719</v>
      </c>
      <c r="D26" s="879">
        <f t="shared" si="6"/>
        <v>2788652.8472375898</v>
      </c>
      <c r="E26" s="880">
        <f t="shared" si="6"/>
        <v>1236693.2682361822</v>
      </c>
      <c r="F26" s="881">
        <f t="shared" si="7"/>
        <v>2974214.4336705087</v>
      </c>
      <c r="G26" s="879">
        <f>2788496.01766659+156.829571</f>
        <v>2788652.8472375898</v>
      </c>
      <c r="H26" s="882">
        <v>185561.58643291882</v>
      </c>
      <c r="I26" s="885">
        <f t="shared" si="5"/>
        <v>1051131.6818032633</v>
      </c>
      <c r="J26" s="884"/>
      <c r="K26" s="880">
        <v>1051131.6818032633</v>
      </c>
    </row>
    <row r="27" spans="2:13" x14ac:dyDescent="0.25">
      <c r="B27" s="766">
        <v>2015</v>
      </c>
      <c r="C27" s="871">
        <f>SUM(D27:E27)</f>
        <v>4171411.39</v>
      </c>
      <c r="D27" s="872">
        <f t="shared" ref="D27:E29" si="8">SUM(G27,J27)</f>
        <v>2880093.06</v>
      </c>
      <c r="E27" s="873">
        <f t="shared" si="8"/>
        <v>1291318.33</v>
      </c>
      <c r="F27" s="874">
        <f t="shared" si="7"/>
        <v>3054173.97</v>
      </c>
      <c r="G27" s="872">
        <v>2880093.06</v>
      </c>
      <c r="H27" s="875">
        <v>174080.90999999997</v>
      </c>
      <c r="I27" s="876">
        <f>SUM(J27:K27)</f>
        <v>1117237.4200000002</v>
      </c>
      <c r="J27" s="872"/>
      <c r="K27" s="873">
        <v>1117237.4200000002</v>
      </c>
      <c r="M27" s="877"/>
    </row>
    <row r="28" spans="2:13" x14ac:dyDescent="0.25">
      <c r="B28" s="484">
        <v>2016</v>
      </c>
      <c r="C28" s="886">
        <f>SUM(D28:E28)</f>
        <v>4449456.4555341695</v>
      </c>
      <c r="D28" s="879">
        <f t="shared" si="8"/>
        <v>2947578.3042463912</v>
      </c>
      <c r="E28" s="880">
        <f t="shared" si="8"/>
        <v>1501878.1512877787</v>
      </c>
      <c r="F28" s="881">
        <f t="shared" si="7"/>
        <v>3107945.2125680889</v>
      </c>
      <c r="G28" s="887">
        <v>2947578.3042463912</v>
      </c>
      <c r="H28" s="888">
        <v>160366.90832169791</v>
      </c>
      <c r="I28" s="885">
        <f>SUM(J28:K28)</f>
        <v>1341511.2429660808</v>
      </c>
      <c r="J28" s="884"/>
      <c r="K28" s="889">
        <v>1341511.2429660808</v>
      </c>
    </row>
    <row r="29" spans="2:13" x14ac:dyDescent="0.25">
      <c r="B29" s="792">
        <v>2017</v>
      </c>
      <c r="C29" s="871">
        <f>SUM(D29:E29)</f>
        <v>4479698.1663574148</v>
      </c>
      <c r="D29" s="872">
        <f t="shared" si="8"/>
        <v>2915208.574825678</v>
      </c>
      <c r="E29" s="873">
        <f t="shared" si="8"/>
        <v>1564489.5915317368</v>
      </c>
      <c r="F29" s="874">
        <f t="shared" si="7"/>
        <v>3135319.541849813</v>
      </c>
      <c r="G29" s="872">
        <v>2915208.574825678</v>
      </c>
      <c r="H29" s="875">
        <v>220110.96702413473</v>
      </c>
      <c r="I29" s="876">
        <f>SUM(J29:K29)</f>
        <v>1344378.6245076021</v>
      </c>
      <c r="J29" s="872"/>
      <c r="K29" s="873">
        <v>1344378.6245076021</v>
      </c>
      <c r="M29" s="877"/>
    </row>
    <row r="30" spans="2:13" x14ac:dyDescent="0.25">
      <c r="B30" s="484">
        <v>2018</v>
      </c>
      <c r="C30" s="878">
        <f>SUM(D30:E30)</f>
        <v>4732556.0865234053</v>
      </c>
      <c r="D30" s="879">
        <f>SUM(G30,J30)</f>
        <v>3048268.389888241</v>
      </c>
      <c r="E30" s="880">
        <f>SUM(H30,K30)</f>
        <v>1684287.6966351643</v>
      </c>
      <c r="F30" s="881">
        <f t="shared" si="7"/>
        <v>3262079.7526476942</v>
      </c>
      <c r="G30" s="879">
        <v>3048268.389888241</v>
      </c>
      <c r="H30" s="882">
        <v>213811.36275945348</v>
      </c>
      <c r="I30" s="885">
        <f>SUM(J30:K30)</f>
        <v>1470476.3338757108</v>
      </c>
      <c r="J30" s="884"/>
      <c r="K30" s="880">
        <v>1470476.3338757108</v>
      </c>
    </row>
    <row r="31" spans="2:13" x14ac:dyDescent="0.25">
      <c r="B31" s="792">
        <v>2019</v>
      </c>
      <c r="C31" s="871">
        <f t="shared" ref="C31:C32" si="9">SUM(D31:E31)</f>
        <v>4932709.2369999997</v>
      </c>
      <c r="D31" s="872">
        <f t="shared" ref="D31:D32" si="10">SUM(G31,J31)</f>
        <v>3151419.017</v>
      </c>
      <c r="E31" s="873">
        <f t="shared" ref="E31:E32" si="11">SUM(H31,K31)</f>
        <v>1781290.22</v>
      </c>
      <c r="F31" s="874">
        <f t="shared" si="7"/>
        <v>3390349.5109999999</v>
      </c>
      <c r="G31" s="872">
        <v>3151419.017</v>
      </c>
      <c r="H31" s="875">
        <v>238930.49400000001</v>
      </c>
      <c r="I31" s="876">
        <f t="shared" ref="I31:I35" si="12">SUM(J31:K31)</f>
        <v>1542359.726</v>
      </c>
      <c r="J31" s="872"/>
      <c r="K31" s="873">
        <v>1542359.726</v>
      </c>
    </row>
    <row r="32" spans="2:13" x14ac:dyDescent="0.25">
      <c r="B32" s="484">
        <v>2020</v>
      </c>
      <c r="C32" s="878">
        <f t="shared" si="9"/>
        <v>4582046.408359142</v>
      </c>
      <c r="D32" s="879">
        <f t="shared" si="10"/>
        <v>2963478.2963127429</v>
      </c>
      <c r="E32" s="880">
        <f t="shared" si="11"/>
        <v>1618568.1120463987</v>
      </c>
      <c r="F32" s="881">
        <f t="shared" si="7"/>
        <v>3177626.5078863143</v>
      </c>
      <c r="G32" s="879">
        <v>2963478.2963127429</v>
      </c>
      <c r="H32" s="882">
        <v>214148.21157357132</v>
      </c>
      <c r="I32" s="885">
        <f t="shared" si="12"/>
        <v>1404419.9004728275</v>
      </c>
      <c r="J32" s="884"/>
      <c r="K32" s="880">
        <v>1404419.9004728275</v>
      </c>
    </row>
    <row r="33" spans="1:16" x14ac:dyDescent="0.25">
      <c r="B33" s="792">
        <v>2021</v>
      </c>
      <c r="C33" s="871">
        <f t="shared" ref="C33:C34" si="13">SUM(D33:E33)</f>
        <v>4782966.1135027809</v>
      </c>
      <c r="D33" s="872">
        <f t="shared" ref="D33:D34" si="14">SUM(G33,J33)</f>
        <v>3007639.784990543</v>
      </c>
      <c r="E33" s="873">
        <f t="shared" ref="E33:E34" si="15">SUM(H33,K33)</f>
        <v>1775326.3285122376</v>
      </c>
      <c r="F33" s="874">
        <f t="shared" si="7"/>
        <v>3247662.6154217161</v>
      </c>
      <c r="G33" s="872">
        <v>3007639.784990543</v>
      </c>
      <c r="H33" s="875">
        <v>240022.83043117332</v>
      </c>
      <c r="I33" s="876">
        <f t="shared" si="12"/>
        <v>1535303.4980810643</v>
      </c>
      <c r="J33" s="872"/>
      <c r="K33" s="873">
        <v>1535303.4980810643</v>
      </c>
    </row>
    <row r="34" spans="1:16" x14ac:dyDescent="0.25">
      <c r="B34" s="484">
        <v>2022</v>
      </c>
      <c r="C34" s="878">
        <f t="shared" si="13"/>
        <v>5509467.4771156982</v>
      </c>
      <c r="D34" s="879">
        <f t="shared" si="14"/>
        <v>3398643.7506960984</v>
      </c>
      <c r="E34" s="880">
        <f t="shared" si="15"/>
        <v>2110823.7264196002</v>
      </c>
      <c r="F34" s="881">
        <f t="shared" ref="F34" si="16">SUM(G34:H34)</f>
        <v>3703281.9869758985</v>
      </c>
      <c r="G34" s="879">
        <v>3398643.7506960984</v>
      </c>
      <c r="H34" s="882">
        <v>304638.23627979995</v>
      </c>
      <c r="I34" s="885">
        <f t="shared" si="12"/>
        <v>1806185.4901398001</v>
      </c>
      <c r="J34" s="884"/>
      <c r="K34" s="880">
        <v>1806185.4901398001</v>
      </c>
    </row>
    <row r="35" spans="1:16" x14ac:dyDescent="0.25">
      <c r="B35" s="850">
        <v>2023</v>
      </c>
      <c r="C35" s="871">
        <f t="shared" ref="C35" si="17">SUM(D35:E35)</f>
        <v>6043153.8022731263</v>
      </c>
      <c r="D35" s="872">
        <f t="shared" ref="D35" si="18">SUM(G35,J35)</f>
        <v>3679456.587423421</v>
      </c>
      <c r="E35" s="873">
        <f t="shared" ref="E35" si="19">SUM(H35,K35)</f>
        <v>2363697.2148497053</v>
      </c>
      <c r="F35" s="874">
        <f t="shared" si="7"/>
        <v>4049915.5446629217</v>
      </c>
      <c r="G35" s="872">
        <v>3679456.587423421</v>
      </c>
      <c r="H35" s="875">
        <v>370458.95723950071</v>
      </c>
      <c r="I35" s="876">
        <f t="shared" si="12"/>
        <v>1993238.2576102046</v>
      </c>
      <c r="J35" s="872"/>
      <c r="K35" s="873">
        <v>1993238.2576102046</v>
      </c>
    </row>
    <row r="36" spans="1:16" ht="14.25" thickBot="1" x14ac:dyDescent="0.3">
      <c r="B36" s="890"/>
      <c r="C36" s="891"/>
      <c r="D36" s="892"/>
      <c r="E36" s="893"/>
      <c r="F36" s="894"/>
      <c r="G36" s="892"/>
      <c r="H36" s="895"/>
      <c r="I36" s="504"/>
      <c r="J36" s="896"/>
      <c r="K36" s="893"/>
    </row>
    <row r="37" spans="1:16" ht="13.5" customHeight="1" x14ac:dyDescent="0.25">
      <c r="B37" s="897" t="s">
        <v>326</v>
      </c>
      <c r="C37" s="898">
        <f>(C35/C34)-1</f>
        <v>9.6867134142122557E-2</v>
      </c>
      <c r="D37" s="899">
        <f t="shared" ref="D37:K37" si="20">(D35/D34)-1</f>
        <v>8.2624969642613344E-2</v>
      </c>
      <c r="E37" s="900">
        <f t="shared" si="20"/>
        <v>0.11979848684903294</v>
      </c>
      <c r="F37" s="901">
        <f t="shared" si="20"/>
        <v>9.3601718396304046E-2</v>
      </c>
      <c r="G37" s="899">
        <f t="shared" si="20"/>
        <v>8.2624969642613344E-2</v>
      </c>
      <c r="H37" s="902">
        <f t="shared" si="20"/>
        <v>0.21606191581035361</v>
      </c>
      <c r="I37" s="903">
        <f t="shared" si="20"/>
        <v>0.10356232429700585</v>
      </c>
      <c r="J37" s="904"/>
      <c r="K37" s="905">
        <f t="shared" si="20"/>
        <v>0.10356232429700585</v>
      </c>
    </row>
    <row r="38" spans="1:16" ht="13.5" customHeight="1" x14ac:dyDescent="0.25">
      <c r="B38" s="906" t="s">
        <v>327</v>
      </c>
      <c r="C38" s="907">
        <f>((C35/C30)^(1/5))-1</f>
        <v>5.0107053405617163E-2</v>
      </c>
      <c r="D38" s="908">
        <f t="shared" ref="D38:K38" si="21">((D35/D30)^(1/5))-1</f>
        <v>3.8355568147840025E-2</v>
      </c>
      <c r="E38" s="909">
        <f t="shared" si="21"/>
        <v>7.0126486784027442E-2</v>
      </c>
      <c r="F38" s="910">
        <f t="shared" si="21"/>
        <v>4.4215843736907123E-2</v>
      </c>
      <c r="G38" s="908">
        <f t="shared" si="21"/>
        <v>3.8355568147840025E-2</v>
      </c>
      <c r="H38" s="911">
        <f t="shared" si="21"/>
        <v>0.11619960290124265</v>
      </c>
      <c r="I38" s="912">
        <f t="shared" si="21"/>
        <v>6.2723379523488498E-2</v>
      </c>
      <c r="J38" s="913"/>
      <c r="K38" s="914">
        <f t="shared" si="21"/>
        <v>6.2723379523488498E-2</v>
      </c>
    </row>
    <row r="39" spans="1:16" ht="13.5" customHeight="1" x14ac:dyDescent="0.25">
      <c r="B39" s="915" t="s">
        <v>328</v>
      </c>
      <c r="C39" s="916">
        <f>(C35/C25)-1</f>
        <v>0.70892732513829038</v>
      </c>
      <c r="D39" s="917">
        <f t="shared" ref="D39:K39" si="22">(D35/D25)-1</f>
        <v>0.51269160007604819</v>
      </c>
      <c r="E39" s="918">
        <f t="shared" si="22"/>
        <v>1.1413484001302363</v>
      </c>
      <c r="F39" s="919">
        <f t="shared" si="22"/>
        <v>0.5471475300015094</v>
      </c>
      <c r="G39" s="917">
        <f t="shared" si="22"/>
        <v>0.51269160007604819</v>
      </c>
      <c r="H39" s="920">
        <f t="shared" si="22"/>
        <v>0.99950216173896766</v>
      </c>
      <c r="I39" s="921">
        <f t="shared" si="22"/>
        <v>1.1699590931618191</v>
      </c>
      <c r="J39" s="922"/>
      <c r="K39" s="923">
        <f t="shared" si="22"/>
        <v>1.1699590931618191</v>
      </c>
    </row>
    <row r="40" spans="1:16" ht="13.5" customHeight="1" thickBot="1" x14ac:dyDescent="0.3">
      <c r="B40" s="924" t="s">
        <v>329</v>
      </c>
      <c r="C40" s="925">
        <f>((C35/C25)^(1/10))-1</f>
        <v>5.504834217407395E-2</v>
      </c>
      <c r="D40" s="926">
        <f t="shared" ref="D40:K40" si="23">((D35/D25)^(1/10))-1</f>
        <v>4.2257525369047366E-2</v>
      </c>
      <c r="E40" s="927">
        <f t="shared" si="23"/>
        <v>7.9117494538147648E-2</v>
      </c>
      <c r="F40" s="928">
        <f t="shared" si="23"/>
        <v>4.4607579861053681E-2</v>
      </c>
      <c r="G40" s="926">
        <f t="shared" si="23"/>
        <v>4.2257525369047366E-2</v>
      </c>
      <c r="H40" s="929">
        <f t="shared" si="23"/>
        <v>7.1746781055627373E-2</v>
      </c>
      <c r="I40" s="930">
        <f t="shared" si="23"/>
        <v>8.0550714095555476E-2</v>
      </c>
      <c r="J40" s="931"/>
      <c r="K40" s="932">
        <f t="shared" si="23"/>
        <v>8.0550714095555476E-2</v>
      </c>
      <c r="O40" s="933" t="s">
        <v>8</v>
      </c>
      <c r="P40" s="933" t="s">
        <v>9</v>
      </c>
    </row>
    <row r="41" spans="1:16" ht="14.25" x14ac:dyDescent="0.3">
      <c r="A41" s="577"/>
      <c r="B41" s="934"/>
      <c r="C41" s="935"/>
      <c r="D41" s="577"/>
      <c r="E41" s="577"/>
      <c r="F41" s="577"/>
      <c r="G41" s="577"/>
      <c r="H41" s="577"/>
      <c r="I41" s="577"/>
      <c r="J41" s="577"/>
      <c r="K41" s="577"/>
      <c r="N41" s="936">
        <f t="shared" ref="N41:N63" si="24">+B7</f>
        <v>1995</v>
      </c>
      <c r="O41" s="937">
        <f t="shared" ref="O41:O65" si="25">+D7</f>
        <v>652594.70505039126</v>
      </c>
      <c r="P41" s="937">
        <f t="shared" ref="P41:P65" si="26">+E7</f>
        <v>174081.29663935103</v>
      </c>
    </row>
    <row r="42" spans="1:16" x14ac:dyDescent="0.25">
      <c r="A42" s="577"/>
      <c r="B42" s="938"/>
      <c r="C42" s="577"/>
      <c r="D42" s="577"/>
      <c r="E42" s="577"/>
      <c r="F42" s="577"/>
      <c r="G42" s="577"/>
      <c r="H42" s="577"/>
      <c r="I42" s="577"/>
      <c r="J42" s="577"/>
      <c r="K42" s="577"/>
      <c r="N42" s="936">
        <f t="shared" si="24"/>
        <v>1996</v>
      </c>
      <c r="O42" s="937">
        <f t="shared" si="25"/>
        <v>703942.0843935553</v>
      </c>
      <c r="P42" s="937">
        <f t="shared" si="26"/>
        <v>189428.31074726206</v>
      </c>
    </row>
    <row r="43" spans="1:16" x14ac:dyDescent="0.25">
      <c r="A43" s="577"/>
      <c r="B43" s="577"/>
      <c r="C43" s="577"/>
      <c r="D43" s="577"/>
      <c r="E43" s="577"/>
      <c r="F43" s="577"/>
      <c r="G43" s="577"/>
      <c r="H43" s="577"/>
      <c r="I43" s="577"/>
      <c r="J43" s="577"/>
      <c r="K43" s="577"/>
      <c r="N43" s="936">
        <f t="shared" si="24"/>
        <v>1997</v>
      </c>
      <c r="O43" s="937">
        <f t="shared" si="25"/>
        <v>739882.06859937776</v>
      </c>
      <c r="P43" s="937">
        <f t="shared" si="26"/>
        <v>279655.46801755915</v>
      </c>
    </row>
    <row r="44" spans="1:16" x14ac:dyDescent="0.25">
      <c r="A44" s="577"/>
      <c r="B44" s="577"/>
      <c r="C44" s="577"/>
      <c r="D44" s="577"/>
      <c r="E44" s="577"/>
      <c r="F44" s="577"/>
      <c r="G44" s="577"/>
      <c r="H44" s="577"/>
      <c r="I44" s="577"/>
      <c r="J44" s="577"/>
      <c r="K44" s="577"/>
      <c r="N44" s="936">
        <f t="shared" si="24"/>
        <v>1998</v>
      </c>
      <c r="O44" s="937">
        <f t="shared" si="25"/>
        <v>678887.14895575435</v>
      </c>
      <c r="P44" s="937">
        <f t="shared" si="26"/>
        <v>309257.82158949709</v>
      </c>
    </row>
    <row r="45" spans="1:16" x14ac:dyDescent="0.25">
      <c r="A45" s="577"/>
      <c r="B45" s="577"/>
      <c r="C45" s="577"/>
      <c r="D45" s="577"/>
      <c r="E45" s="577"/>
      <c r="F45" s="577"/>
      <c r="G45" s="577"/>
      <c r="H45" s="577"/>
      <c r="I45" s="577"/>
      <c r="J45" s="577"/>
      <c r="K45" s="577"/>
      <c r="N45" s="936">
        <f t="shared" si="24"/>
        <v>1999</v>
      </c>
      <c r="O45" s="937">
        <f t="shared" si="25"/>
        <v>670509.97864915198</v>
      </c>
      <c r="P45" s="937">
        <f t="shared" si="26"/>
        <v>321449.38961757824</v>
      </c>
    </row>
    <row r="46" spans="1:16" x14ac:dyDescent="0.25">
      <c r="A46" s="577"/>
      <c r="B46" s="577"/>
      <c r="C46" s="577"/>
      <c r="D46" s="577"/>
      <c r="E46" s="577"/>
      <c r="F46" s="577"/>
      <c r="G46" s="577"/>
      <c r="H46" s="577"/>
      <c r="I46" s="577"/>
      <c r="J46" s="577"/>
      <c r="K46" s="577"/>
      <c r="N46" s="936">
        <f t="shared" si="24"/>
        <v>2000</v>
      </c>
      <c r="O46" s="937">
        <f t="shared" si="25"/>
        <v>740329.43935992219</v>
      </c>
      <c r="P46" s="937">
        <f t="shared" si="26"/>
        <v>372740.06090845715</v>
      </c>
    </row>
    <row r="47" spans="1:16" x14ac:dyDescent="0.25">
      <c r="A47" s="577"/>
      <c r="B47" s="577"/>
      <c r="C47" s="577"/>
      <c r="D47" s="577"/>
      <c r="E47" s="577"/>
      <c r="F47" s="577"/>
      <c r="G47" s="577"/>
      <c r="H47" s="577"/>
      <c r="I47" s="577"/>
      <c r="J47" s="577"/>
      <c r="K47" s="577"/>
      <c r="N47" s="936">
        <f t="shared" si="24"/>
        <v>2001</v>
      </c>
      <c r="O47" s="937">
        <f t="shared" si="25"/>
        <v>761192.05792891572</v>
      </c>
      <c r="P47" s="937">
        <f t="shared" si="26"/>
        <v>378166.4559096325</v>
      </c>
    </row>
    <row r="48" spans="1:16" x14ac:dyDescent="0.25">
      <c r="A48" s="577"/>
      <c r="B48" s="577"/>
      <c r="C48" s="577"/>
      <c r="D48" s="577"/>
      <c r="E48" s="577"/>
      <c r="F48" s="577"/>
      <c r="G48" s="577"/>
      <c r="H48" s="577"/>
      <c r="I48" s="577"/>
      <c r="J48" s="577"/>
      <c r="K48" s="577"/>
      <c r="N48" s="936">
        <f t="shared" si="24"/>
        <v>2002</v>
      </c>
      <c r="O48" s="937">
        <f t="shared" si="25"/>
        <v>764543.09032842796</v>
      </c>
      <c r="P48" s="937">
        <f t="shared" si="26"/>
        <v>392524.06993930548</v>
      </c>
    </row>
    <row r="49" spans="1:16" x14ac:dyDescent="0.25">
      <c r="A49" s="577"/>
      <c r="B49" s="577"/>
      <c r="C49" s="577"/>
      <c r="D49" s="577"/>
      <c r="E49" s="577"/>
      <c r="F49" s="577"/>
      <c r="G49" s="577"/>
      <c r="H49" s="577"/>
      <c r="I49" s="577"/>
      <c r="J49" s="577"/>
      <c r="K49" s="577"/>
      <c r="N49" s="936">
        <f t="shared" si="24"/>
        <v>2003</v>
      </c>
      <c r="O49" s="937">
        <f t="shared" si="25"/>
        <v>811107.14639795315</v>
      </c>
      <c r="P49" s="937">
        <f t="shared" si="26"/>
        <v>406102.99727272848</v>
      </c>
    </row>
    <row r="50" spans="1:16" x14ac:dyDescent="0.25">
      <c r="A50" s="577"/>
      <c r="B50" s="577"/>
      <c r="C50" s="577"/>
      <c r="D50" s="577"/>
      <c r="E50" s="577"/>
      <c r="F50" s="577"/>
      <c r="G50" s="577"/>
      <c r="H50" s="577"/>
      <c r="I50" s="577"/>
      <c r="J50" s="577"/>
      <c r="K50" s="577"/>
      <c r="N50" s="936">
        <f t="shared" si="24"/>
        <v>2004</v>
      </c>
      <c r="O50" s="937">
        <f t="shared" si="25"/>
        <v>897997.70685053943</v>
      </c>
      <c r="P50" s="937">
        <f t="shared" si="26"/>
        <v>484302.30495956831</v>
      </c>
    </row>
    <row r="51" spans="1:16" x14ac:dyDescent="0.25">
      <c r="A51" s="577"/>
      <c r="B51" s="577"/>
      <c r="C51" s="577"/>
      <c r="D51" s="577"/>
      <c r="E51" s="577"/>
      <c r="F51" s="577"/>
      <c r="G51" s="577"/>
      <c r="H51" s="577"/>
      <c r="I51" s="577"/>
      <c r="J51" s="577"/>
      <c r="K51" s="577"/>
      <c r="N51" s="936">
        <f t="shared" si="24"/>
        <v>2005</v>
      </c>
      <c r="O51" s="937">
        <f t="shared" si="25"/>
        <v>1048137.0214944701</v>
      </c>
      <c r="P51" s="937">
        <f t="shared" si="26"/>
        <v>531072.24960191001</v>
      </c>
    </row>
    <row r="52" spans="1:16" x14ac:dyDescent="0.25">
      <c r="A52" s="577"/>
      <c r="B52" s="577"/>
      <c r="C52" s="577"/>
      <c r="D52" s="577"/>
      <c r="E52" s="577"/>
      <c r="F52" s="577"/>
      <c r="G52" s="577"/>
      <c r="H52" s="577"/>
      <c r="I52" s="577"/>
      <c r="J52" s="577"/>
      <c r="K52" s="577"/>
      <c r="N52" s="936">
        <f t="shared" si="24"/>
        <v>2006</v>
      </c>
      <c r="O52" s="937">
        <f t="shared" si="25"/>
        <v>1120521.0639498956</v>
      </c>
      <c r="P52" s="937">
        <f t="shared" si="26"/>
        <v>562647.84035601164</v>
      </c>
    </row>
    <row r="53" spans="1:16" x14ac:dyDescent="0.25">
      <c r="A53" s="577"/>
      <c r="B53" s="577"/>
      <c r="C53" s="577"/>
      <c r="D53" s="577"/>
      <c r="E53" s="577"/>
      <c r="F53" s="577"/>
      <c r="G53" s="577"/>
      <c r="H53" s="577"/>
      <c r="I53" s="577"/>
      <c r="J53" s="577"/>
      <c r="K53" s="577"/>
      <c r="N53" s="936">
        <f t="shared" si="24"/>
        <v>2007</v>
      </c>
      <c r="O53" s="937">
        <f t="shared" si="25"/>
        <v>1213689.4778540342</v>
      </c>
      <c r="P53" s="937">
        <f t="shared" si="26"/>
        <v>616942.18558020808</v>
      </c>
    </row>
    <row r="54" spans="1:16" x14ac:dyDescent="0.25">
      <c r="A54" s="577"/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N54" s="936">
        <f t="shared" si="24"/>
        <v>2008</v>
      </c>
      <c r="O54" s="937">
        <f t="shared" si="25"/>
        <v>1393393.8557439279</v>
      </c>
      <c r="P54" s="937">
        <f t="shared" si="26"/>
        <v>822706.11743943871</v>
      </c>
    </row>
    <row r="55" spans="1:16" x14ac:dyDescent="0.25">
      <c r="A55" s="577"/>
      <c r="B55" s="577"/>
      <c r="C55" s="577"/>
      <c r="D55" s="577"/>
      <c r="E55" s="577"/>
      <c r="F55" s="577"/>
      <c r="G55" s="577"/>
      <c r="H55" s="577"/>
      <c r="I55" s="577"/>
      <c r="J55" s="577"/>
      <c r="K55" s="577"/>
      <c r="N55" s="936">
        <f t="shared" si="24"/>
        <v>2009</v>
      </c>
      <c r="O55" s="937">
        <f t="shared" si="25"/>
        <v>1556915.7010486</v>
      </c>
      <c r="P55" s="937">
        <f t="shared" si="26"/>
        <v>679142.45276880008</v>
      </c>
    </row>
    <row r="56" spans="1:16" x14ac:dyDescent="0.25">
      <c r="A56" s="577"/>
      <c r="B56" s="577"/>
      <c r="C56" s="577"/>
      <c r="D56" s="577"/>
      <c r="E56" s="577"/>
      <c r="F56" s="577"/>
      <c r="G56" s="577"/>
      <c r="H56" s="577"/>
      <c r="I56" s="577"/>
      <c r="J56" s="577"/>
      <c r="K56" s="577"/>
      <c r="N56" s="936">
        <f t="shared" si="24"/>
        <v>2010</v>
      </c>
      <c r="O56" s="937">
        <f t="shared" si="25"/>
        <v>1718589.3030064055</v>
      </c>
      <c r="P56" s="937">
        <f t="shared" si="26"/>
        <v>729945.72519655328</v>
      </c>
    </row>
    <row r="57" spans="1:16" x14ac:dyDescent="0.25">
      <c r="A57" s="577"/>
      <c r="B57" s="577"/>
      <c r="C57" s="577"/>
      <c r="D57" s="577"/>
      <c r="E57" s="577"/>
      <c r="F57" s="577"/>
      <c r="G57" s="577"/>
      <c r="H57" s="577"/>
      <c r="I57" s="577"/>
      <c r="J57" s="577"/>
      <c r="K57" s="577"/>
      <c r="N57" s="936">
        <f t="shared" si="24"/>
        <v>2011</v>
      </c>
      <c r="O57" s="937">
        <f t="shared" si="25"/>
        <v>1984402.4158051817</v>
      </c>
      <c r="P57" s="937">
        <f t="shared" si="26"/>
        <v>875989.13955361478</v>
      </c>
    </row>
    <row r="58" spans="1:16" x14ac:dyDescent="0.25">
      <c r="A58" s="577"/>
      <c r="B58" s="577"/>
      <c r="C58" s="577"/>
      <c r="D58" s="577"/>
      <c r="E58" s="577"/>
      <c r="F58" s="577"/>
      <c r="G58" s="577"/>
      <c r="H58" s="577"/>
      <c r="I58" s="577"/>
      <c r="J58" s="577"/>
      <c r="K58" s="577"/>
      <c r="N58" s="936">
        <f t="shared" si="24"/>
        <v>2012</v>
      </c>
      <c r="O58" s="937">
        <f t="shared" si="25"/>
        <v>2313676.2538387571</v>
      </c>
      <c r="P58" s="937">
        <f t="shared" si="26"/>
        <v>985449.24548825575</v>
      </c>
    </row>
    <row r="59" spans="1:16" x14ac:dyDescent="0.25">
      <c r="A59" s="577"/>
      <c r="B59" s="577"/>
      <c r="C59" s="577"/>
      <c r="D59" s="577"/>
      <c r="E59" s="577"/>
      <c r="F59" s="577"/>
      <c r="G59" s="577"/>
      <c r="H59" s="577"/>
      <c r="I59" s="577"/>
      <c r="J59" s="577"/>
      <c r="K59" s="577"/>
      <c r="N59" s="936">
        <f t="shared" si="24"/>
        <v>2013</v>
      </c>
      <c r="O59" s="937">
        <f t="shared" si="25"/>
        <v>2432390.4404826746</v>
      </c>
      <c r="P59" s="937">
        <f t="shared" si="26"/>
        <v>1103835.8889688132</v>
      </c>
    </row>
    <row r="60" spans="1:16" x14ac:dyDescent="0.25">
      <c r="A60" s="577"/>
      <c r="B60" s="577"/>
      <c r="C60" s="577"/>
      <c r="D60" s="577"/>
      <c r="E60" s="577"/>
      <c r="F60" s="577"/>
      <c r="G60" s="577"/>
      <c r="H60" s="577"/>
      <c r="I60" s="577"/>
      <c r="J60" s="577"/>
      <c r="K60" s="577"/>
      <c r="N60" s="936">
        <f t="shared" si="24"/>
        <v>2014</v>
      </c>
      <c r="O60" s="937">
        <f t="shared" si="25"/>
        <v>2788652.8472375898</v>
      </c>
      <c r="P60" s="937">
        <f t="shared" si="26"/>
        <v>1236693.2682361822</v>
      </c>
    </row>
    <row r="61" spans="1:16" x14ac:dyDescent="0.25">
      <c r="A61" s="577"/>
      <c r="B61" s="577"/>
      <c r="C61" s="577"/>
      <c r="D61" s="577"/>
      <c r="E61" s="577"/>
      <c r="F61" s="577"/>
      <c r="G61" s="577"/>
      <c r="H61" s="577"/>
      <c r="I61" s="577"/>
      <c r="J61" s="577"/>
      <c r="K61" s="577"/>
      <c r="N61" s="936">
        <f t="shared" si="24"/>
        <v>2015</v>
      </c>
      <c r="O61" s="937">
        <f t="shared" si="25"/>
        <v>2880093.06</v>
      </c>
      <c r="P61" s="937">
        <f t="shared" si="26"/>
        <v>1291318.33</v>
      </c>
    </row>
    <row r="62" spans="1:16" x14ac:dyDescent="0.25">
      <c r="A62" s="577"/>
      <c r="B62" s="577"/>
      <c r="C62" s="577"/>
      <c r="D62" s="577"/>
      <c r="E62" s="577"/>
      <c r="F62" s="577"/>
      <c r="G62" s="577"/>
      <c r="H62" s="577"/>
      <c r="I62" s="577"/>
      <c r="J62" s="577"/>
      <c r="K62" s="577"/>
      <c r="N62" s="936">
        <f t="shared" si="24"/>
        <v>2016</v>
      </c>
      <c r="O62" s="937">
        <f t="shared" si="25"/>
        <v>2947578.3042463912</v>
      </c>
      <c r="P62" s="937">
        <f t="shared" si="26"/>
        <v>1501878.1512877787</v>
      </c>
    </row>
    <row r="63" spans="1:16" x14ac:dyDescent="0.25">
      <c r="A63" s="577"/>
      <c r="B63" s="577"/>
      <c r="C63" s="577"/>
      <c r="D63" s="577"/>
      <c r="E63" s="577"/>
      <c r="F63" s="577"/>
      <c r="G63" s="577"/>
      <c r="H63" s="577"/>
      <c r="I63" s="577"/>
      <c r="J63" s="577"/>
      <c r="K63" s="577"/>
      <c r="N63" s="936">
        <f t="shared" si="24"/>
        <v>2017</v>
      </c>
      <c r="O63" s="937">
        <f t="shared" si="25"/>
        <v>2915208.574825678</v>
      </c>
      <c r="P63" s="937">
        <f t="shared" si="26"/>
        <v>1564489.5915317368</v>
      </c>
    </row>
    <row r="64" spans="1:16" x14ac:dyDescent="0.25">
      <c r="A64" s="577"/>
      <c r="B64" s="577"/>
      <c r="C64" s="577"/>
      <c r="D64" s="577"/>
      <c r="E64" s="577"/>
      <c r="F64" s="577"/>
      <c r="G64" s="577"/>
      <c r="H64" s="577"/>
      <c r="I64" s="577"/>
      <c r="J64" s="577"/>
      <c r="K64" s="577"/>
      <c r="N64" s="936">
        <v>2018</v>
      </c>
      <c r="O64" s="937">
        <f t="shared" si="25"/>
        <v>3048268.389888241</v>
      </c>
      <c r="P64" s="937">
        <f t="shared" si="26"/>
        <v>1684287.6966351643</v>
      </c>
    </row>
    <row r="65" spans="1:16" x14ac:dyDescent="0.25">
      <c r="A65" s="577"/>
      <c r="B65" s="577"/>
      <c r="C65" s="577"/>
      <c r="D65" s="577"/>
      <c r="E65" s="577"/>
      <c r="F65" s="577"/>
      <c r="G65" s="577"/>
      <c r="H65" s="577"/>
      <c r="I65" s="577"/>
      <c r="J65" s="577"/>
      <c r="K65" s="577"/>
      <c r="N65" s="936">
        <v>2019</v>
      </c>
      <c r="O65" s="937">
        <f t="shared" si="25"/>
        <v>3151419.017</v>
      </c>
      <c r="P65" s="937">
        <f t="shared" si="26"/>
        <v>1781290.22</v>
      </c>
    </row>
    <row r="66" spans="1:16" x14ac:dyDescent="0.25">
      <c r="A66" s="577"/>
      <c r="B66" s="577"/>
      <c r="C66" s="577"/>
      <c r="D66" s="577"/>
      <c r="E66" s="577"/>
      <c r="F66" s="577"/>
      <c r="G66" s="577"/>
      <c r="H66" s="577"/>
      <c r="I66" s="577"/>
      <c r="J66" s="577"/>
      <c r="K66" s="577"/>
      <c r="N66" s="936">
        <v>2020</v>
      </c>
      <c r="O66" s="937">
        <f t="shared" ref="O66:P66" si="27">+D32</f>
        <v>2963478.2963127429</v>
      </c>
      <c r="P66" s="937">
        <f t="shared" si="27"/>
        <v>1618568.1120463987</v>
      </c>
    </row>
    <row r="67" spans="1:16" x14ac:dyDescent="0.25">
      <c r="A67" s="577"/>
      <c r="B67" s="577"/>
      <c r="C67" s="577"/>
      <c r="D67" s="577"/>
      <c r="E67" s="577"/>
      <c r="F67" s="577"/>
      <c r="G67" s="577"/>
      <c r="H67" s="577"/>
      <c r="I67" s="577"/>
      <c r="J67" s="577"/>
      <c r="K67" s="577"/>
      <c r="N67" s="936">
        <v>2021</v>
      </c>
      <c r="O67" s="937">
        <f t="shared" ref="O67:P67" si="28">+D33</f>
        <v>3007639.784990543</v>
      </c>
      <c r="P67" s="937">
        <f t="shared" si="28"/>
        <v>1775326.3285122376</v>
      </c>
    </row>
    <row r="68" spans="1:16" x14ac:dyDescent="0.25">
      <c r="A68" s="577"/>
      <c r="B68" s="577"/>
      <c r="C68" s="577"/>
      <c r="D68" s="577"/>
      <c r="E68" s="577"/>
      <c r="F68" s="577"/>
      <c r="G68" s="577"/>
      <c r="H68" s="577"/>
      <c r="I68" s="577"/>
      <c r="J68" s="577"/>
      <c r="K68" s="577"/>
      <c r="N68" s="936">
        <v>2022</v>
      </c>
      <c r="O68" s="937">
        <f t="shared" ref="O68" si="29">+D34</f>
        <v>3398643.7506960984</v>
      </c>
      <c r="P68" s="937">
        <f t="shared" ref="P68" si="30">+E34</f>
        <v>2110823.7264196002</v>
      </c>
    </row>
    <row r="69" spans="1:16" x14ac:dyDescent="0.25">
      <c r="A69" s="577"/>
      <c r="B69" s="577"/>
      <c r="C69" s="577"/>
      <c r="D69" s="577"/>
      <c r="E69" s="577"/>
      <c r="F69" s="577"/>
      <c r="G69" s="577"/>
      <c r="H69" s="577"/>
      <c r="I69" s="577"/>
      <c r="J69" s="577"/>
      <c r="K69" s="577"/>
      <c r="N69" s="936">
        <v>2023</v>
      </c>
      <c r="O69" s="937">
        <f t="shared" ref="O69" si="31">+D35</f>
        <v>3679456.587423421</v>
      </c>
      <c r="P69" s="937">
        <f t="shared" ref="P69" si="32">+E35</f>
        <v>2363697.2148497053</v>
      </c>
    </row>
    <row r="70" spans="1:16" x14ac:dyDescent="0.25">
      <c r="A70" s="577"/>
      <c r="B70" s="577"/>
      <c r="C70" s="577"/>
      <c r="D70" s="577"/>
      <c r="E70" s="577"/>
      <c r="F70" s="577"/>
      <c r="G70" s="577"/>
      <c r="H70" s="577"/>
      <c r="I70" s="577"/>
      <c r="J70" s="577"/>
      <c r="K70" s="577"/>
    </row>
    <row r="71" spans="1:16" x14ac:dyDescent="0.25">
      <c r="A71" s="577"/>
      <c r="B71" s="577"/>
      <c r="C71" s="577"/>
      <c r="D71" s="577"/>
      <c r="E71" s="577"/>
      <c r="F71" s="577"/>
      <c r="G71" s="577"/>
      <c r="H71" s="577"/>
      <c r="I71" s="577"/>
      <c r="J71" s="577"/>
      <c r="K71" s="577"/>
      <c r="O71" s="939" t="s">
        <v>10</v>
      </c>
      <c r="P71" s="939" t="s">
        <v>11</v>
      </c>
    </row>
    <row r="72" spans="1:16" x14ac:dyDescent="0.25">
      <c r="A72" s="577"/>
      <c r="B72" s="577"/>
      <c r="C72" s="577"/>
      <c r="D72" s="577"/>
      <c r="E72" s="577"/>
      <c r="F72" s="577"/>
      <c r="G72" s="577"/>
      <c r="H72" s="577"/>
      <c r="I72" s="577"/>
      <c r="J72" s="577"/>
      <c r="K72" s="577"/>
      <c r="N72" s="936">
        <f t="shared" ref="N72:N97" si="33">+B7</f>
        <v>1995</v>
      </c>
      <c r="O72" s="937">
        <f t="shared" ref="O72:O96" si="34">+F7</f>
        <v>776779.19139398972</v>
      </c>
      <c r="P72" s="937">
        <f t="shared" ref="P72:P95" si="35">+I7</f>
        <v>49896.810295752563</v>
      </c>
    </row>
    <row r="73" spans="1:16" x14ac:dyDescent="0.25">
      <c r="A73" s="577"/>
      <c r="B73" s="577"/>
      <c r="C73" s="577"/>
      <c r="D73" s="577"/>
      <c r="E73" s="577"/>
      <c r="F73" s="577"/>
      <c r="G73" s="577"/>
      <c r="H73" s="577"/>
      <c r="I73" s="577"/>
      <c r="J73" s="577"/>
      <c r="K73" s="577"/>
      <c r="N73" s="936">
        <f t="shared" si="33"/>
        <v>1996</v>
      </c>
      <c r="O73" s="937">
        <f t="shared" si="34"/>
        <v>822460.27859264216</v>
      </c>
      <c r="P73" s="937">
        <f t="shared" si="35"/>
        <v>70910.116548175167</v>
      </c>
    </row>
    <row r="74" spans="1:16" x14ac:dyDescent="0.25">
      <c r="A74" s="577"/>
      <c r="B74" s="577"/>
      <c r="C74" s="577"/>
      <c r="D74" s="577"/>
      <c r="E74" s="577"/>
      <c r="F74" s="577"/>
      <c r="G74" s="577"/>
      <c r="H74" s="577"/>
      <c r="I74" s="577"/>
      <c r="J74" s="577"/>
      <c r="K74" s="577"/>
      <c r="N74" s="936">
        <f t="shared" si="33"/>
        <v>1997</v>
      </c>
      <c r="O74" s="937">
        <f t="shared" si="34"/>
        <v>859351.67959043023</v>
      </c>
      <c r="P74" s="937">
        <f t="shared" si="35"/>
        <v>160185.85702650671</v>
      </c>
    </row>
    <row r="75" spans="1:16" x14ac:dyDescent="0.25">
      <c r="A75" s="577"/>
      <c r="B75" s="577"/>
      <c r="C75" s="577"/>
      <c r="D75" s="577"/>
      <c r="E75" s="577"/>
      <c r="F75" s="577"/>
      <c r="G75" s="577"/>
      <c r="H75" s="577"/>
      <c r="I75" s="577"/>
      <c r="J75" s="577"/>
      <c r="K75" s="577"/>
      <c r="N75" s="936">
        <f t="shared" si="33"/>
        <v>1998</v>
      </c>
      <c r="O75" s="937">
        <f t="shared" si="34"/>
        <v>786060.99965563859</v>
      </c>
      <c r="P75" s="937">
        <f t="shared" si="35"/>
        <v>202083.97088961289</v>
      </c>
    </row>
    <row r="76" spans="1:16" x14ac:dyDescent="0.25">
      <c r="A76" s="577"/>
      <c r="B76" s="577"/>
      <c r="C76" s="577"/>
      <c r="D76" s="577"/>
      <c r="E76" s="577"/>
      <c r="F76" s="577"/>
      <c r="G76" s="577"/>
      <c r="H76" s="577"/>
      <c r="I76" s="577"/>
      <c r="J76" s="577"/>
      <c r="K76" s="577"/>
      <c r="N76" s="936">
        <f t="shared" si="33"/>
        <v>1999</v>
      </c>
      <c r="O76" s="937">
        <f t="shared" si="34"/>
        <v>778389.13985393988</v>
      </c>
      <c r="P76" s="937">
        <f t="shared" si="35"/>
        <v>213570.22841279037</v>
      </c>
    </row>
    <row r="77" spans="1:16" x14ac:dyDescent="0.25">
      <c r="A77" s="577"/>
      <c r="B77" s="577"/>
      <c r="C77" s="577"/>
      <c r="D77" s="577"/>
      <c r="E77" s="577"/>
      <c r="F77" s="577"/>
      <c r="G77" s="577"/>
      <c r="H77" s="577"/>
      <c r="I77" s="577"/>
      <c r="J77" s="577"/>
      <c r="K77" s="577"/>
      <c r="N77" s="936">
        <f t="shared" si="33"/>
        <v>2000</v>
      </c>
      <c r="O77" s="937">
        <f t="shared" si="34"/>
        <v>866072.13672822504</v>
      </c>
      <c r="P77" s="937">
        <f t="shared" si="35"/>
        <v>246997.36354015436</v>
      </c>
    </row>
    <row r="78" spans="1:16" x14ac:dyDescent="0.25">
      <c r="A78" s="577"/>
      <c r="B78" s="577"/>
      <c r="C78" s="577"/>
      <c r="D78" s="577"/>
      <c r="E78" s="577"/>
      <c r="F78" s="577"/>
      <c r="G78" s="577"/>
      <c r="H78" s="577"/>
      <c r="I78" s="577"/>
      <c r="J78" s="577"/>
      <c r="K78" s="577"/>
      <c r="N78" s="936">
        <f t="shared" si="33"/>
        <v>2001</v>
      </c>
      <c r="O78" s="937">
        <f t="shared" si="34"/>
        <v>862632.28368588316</v>
      </c>
      <c r="P78" s="937">
        <f t="shared" si="35"/>
        <v>276726.23015266506</v>
      </c>
    </row>
    <row r="79" spans="1:16" x14ac:dyDescent="0.25">
      <c r="A79" s="577"/>
      <c r="B79" s="577"/>
      <c r="C79" s="577"/>
      <c r="D79" s="577"/>
      <c r="E79" s="577"/>
      <c r="F79" s="577"/>
      <c r="G79" s="577"/>
      <c r="H79" s="577"/>
      <c r="I79" s="577"/>
      <c r="J79" s="577"/>
      <c r="K79" s="577"/>
      <c r="N79" s="936">
        <f t="shared" si="33"/>
        <v>2002</v>
      </c>
      <c r="O79" s="937">
        <f t="shared" si="34"/>
        <v>862228.11757443007</v>
      </c>
      <c r="P79" s="937">
        <f t="shared" si="35"/>
        <v>294839.04269330332</v>
      </c>
    </row>
    <row r="80" spans="1:16" x14ac:dyDescent="0.25">
      <c r="A80" s="577"/>
      <c r="B80" s="577"/>
      <c r="C80" s="577"/>
      <c r="D80" s="577"/>
      <c r="E80" s="577"/>
      <c r="F80" s="577"/>
      <c r="G80" s="577"/>
      <c r="H80" s="577"/>
      <c r="I80" s="577"/>
      <c r="J80" s="577"/>
      <c r="K80" s="577"/>
      <c r="N80" s="936">
        <f t="shared" si="33"/>
        <v>2003</v>
      </c>
      <c r="O80" s="937">
        <f t="shared" si="34"/>
        <v>901096.17241545301</v>
      </c>
      <c r="P80" s="937">
        <f t="shared" si="35"/>
        <v>316113.97125522856</v>
      </c>
    </row>
    <row r="81" spans="1:16" x14ac:dyDescent="0.25">
      <c r="A81" s="577"/>
      <c r="B81" s="577"/>
      <c r="C81" s="577"/>
      <c r="D81" s="577"/>
      <c r="E81" s="577"/>
      <c r="F81" s="577"/>
      <c r="G81" s="577"/>
      <c r="H81" s="577"/>
      <c r="I81" s="577"/>
      <c r="J81" s="577"/>
      <c r="K81" s="577"/>
      <c r="N81" s="936">
        <f t="shared" si="33"/>
        <v>2004</v>
      </c>
      <c r="O81" s="937">
        <f t="shared" si="34"/>
        <v>986870.11767828721</v>
      </c>
      <c r="P81" s="937">
        <f t="shared" si="35"/>
        <v>395429.89413182059</v>
      </c>
    </row>
    <row r="82" spans="1:16" x14ac:dyDescent="0.25">
      <c r="A82" s="577"/>
      <c r="B82" s="577"/>
      <c r="C82" s="577"/>
      <c r="D82" s="577"/>
      <c r="E82" s="577"/>
      <c r="F82" s="577"/>
      <c r="G82" s="577"/>
      <c r="H82" s="577"/>
      <c r="I82" s="577"/>
      <c r="J82" s="577"/>
      <c r="K82" s="577"/>
      <c r="N82" s="936">
        <f t="shared" si="33"/>
        <v>2005</v>
      </c>
      <c r="O82" s="937">
        <f t="shared" si="34"/>
        <v>1147775.8928376874</v>
      </c>
      <c r="P82" s="937">
        <f t="shared" si="35"/>
        <v>431433.37825869262</v>
      </c>
    </row>
    <row r="83" spans="1:16" x14ac:dyDescent="0.25">
      <c r="A83" s="577"/>
      <c r="B83" s="577"/>
      <c r="C83" s="577"/>
      <c r="D83" s="577"/>
      <c r="E83" s="577"/>
      <c r="F83" s="577"/>
      <c r="G83" s="577"/>
      <c r="H83" s="577"/>
      <c r="I83" s="577"/>
      <c r="J83" s="577"/>
      <c r="K83" s="577"/>
      <c r="N83" s="936">
        <f t="shared" si="33"/>
        <v>2006</v>
      </c>
      <c r="O83" s="937">
        <f t="shared" si="34"/>
        <v>1222413.6377595204</v>
      </c>
      <c r="P83" s="937">
        <f t="shared" si="35"/>
        <v>460755.2665463867</v>
      </c>
    </row>
    <row r="84" spans="1:16" x14ac:dyDescent="0.25">
      <c r="A84" s="577"/>
      <c r="B84" s="577"/>
      <c r="C84" s="577"/>
      <c r="D84" s="577"/>
      <c r="E84" s="577"/>
      <c r="F84" s="577"/>
      <c r="G84" s="577"/>
      <c r="H84" s="577"/>
      <c r="I84" s="577"/>
      <c r="J84" s="577"/>
      <c r="K84" s="577"/>
      <c r="N84" s="936">
        <f t="shared" si="33"/>
        <v>2007</v>
      </c>
      <c r="O84" s="937">
        <f t="shared" si="34"/>
        <v>1305447.8754961956</v>
      </c>
      <c r="P84" s="937">
        <f t="shared" si="35"/>
        <v>525183.78793804673</v>
      </c>
    </row>
    <row r="85" spans="1:16" x14ac:dyDescent="0.25">
      <c r="A85" s="577"/>
      <c r="B85" s="577"/>
      <c r="C85" s="577"/>
      <c r="D85" s="577"/>
      <c r="E85" s="577"/>
      <c r="F85" s="577"/>
      <c r="G85" s="577"/>
      <c r="H85" s="577"/>
      <c r="I85" s="577"/>
      <c r="J85" s="577"/>
      <c r="K85" s="577"/>
      <c r="N85" s="936">
        <f t="shared" si="33"/>
        <v>2008</v>
      </c>
      <c r="O85" s="937">
        <f t="shared" si="34"/>
        <v>1501002.7378177985</v>
      </c>
      <c r="P85" s="937">
        <f t="shared" si="35"/>
        <v>715097.23536556808</v>
      </c>
    </row>
    <row r="86" spans="1:16" x14ac:dyDescent="0.25">
      <c r="A86" s="577"/>
      <c r="B86" s="577"/>
      <c r="C86" s="577"/>
      <c r="D86" s="577"/>
      <c r="E86" s="577"/>
      <c r="F86" s="577"/>
      <c r="G86" s="577"/>
      <c r="H86" s="577"/>
      <c r="I86" s="577"/>
      <c r="J86" s="577"/>
      <c r="K86" s="577"/>
      <c r="N86" s="936">
        <f t="shared" si="33"/>
        <v>2009</v>
      </c>
      <c r="O86" s="937">
        <f t="shared" si="34"/>
        <v>1675664.7528214001</v>
      </c>
      <c r="P86" s="937">
        <f t="shared" si="35"/>
        <v>560393.40099600004</v>
      </c>
    </row>
    <row r="87" spans="1:16" x14ac:dyDescent="0.25">
      <c r="A87" s="577"/>
      <c r="B87" s="577"/>
      <c r="C87" s="577"/>
      <c r="D87" s="577"/>
      <c r="E87" s="577"/>
      <c r="F87" s="577"/>
      <c r="G87" s="577"/>
      <c r="H87" s="577"/>
      <c r="I87" s="577"/>
      <c r="J87" s="577"/>
      <c r="K87" s="577"/>
      <c r="N87" s="936">
        <f t="shared" si="33"/>
        <v>2010</v>
      </c>
      <c r="O87" s="937">
        <f t="shared" si="34"/>
        <v>1841104.1163105767</v>
      </c>
      <c r="P87" s="937">
        <f t="shared" si="35"/>
        <v>607430.91189238196</v>
      </c>
    </row>
    <row r="88" spans="1:16" x14ac:dyDescent="0.25">
      <c r="A88" s="577"/>
      <c r="B88" s="577"/>
      <c r="C88" s="577"/>
      <c r="D88" s="577"/>
      <c r="E88" s="577"/>
      <c r="F88" s="577"/>
      <c r="G88" s="577"/>
      <c r="H88" s="577"/>
      <c r="I88" s="577"/>
      <c r="J88" s="577"/>
      <c r="K88" s="577"/>
      <c r="N88" s="936">
        <f t="shared" si="33"/>
        <v>2011</v>
      </c>
      <c r="O88" s="937">
        <f t="shared" si="34"/>
        <v>2130475.7425380684</v>
      </c>
      <c r="P88" s="937">
        <f t="shared" si="35"/>
        <v>729915.81282072817</v>
      </c>
    </row>
    <row r="89" spans="1:16" x14ac:dyDescent="0.25">
      <c r="A89" s="577"/>
      <c r="B89" s="577"/>
      <c r="C89" s="577"/>
      <c r="D89" s="577"/>
      <c r="E89" s="577"/>
      <c r="F89" s="577"/>
      <c r="G89" s="577"/>
      <c r="H89" s="577"/>
      <c r="I89" s="577"/>
      <c r="J89" s="577"/>
      <c r="K89" s="577"/>
      <c r="N89" s="936">
        <f t="shared" si="33"/>
        <v>2012</v>
      </c>
      <c r="O89" s="937">
        <f t="shared" si="34"/>
        <v>2474533.5608113473</v>
      </c>
      <c r="P89" s="937">
        <f t="shared" si="35"/>
        <v>824591.93851566559</v>
      </c>
    </row>
    <row r="90" spans="1:16" x14ac:dyDescent="0.25">
      <c r="A90" s="577"/>
      <c r="B90" s="577"/>
      <c r="C90" s="577"/>
      <c r="D90" s="577"/>
      <c r="E90" s="577"/>
      <c r="F90" s="577"/>
      <c r="G90" s="577"/>
      <c r="H90" s="577"/>
      <c r="I90" s="577"/>
      <c r="J90" s="577"/>
      <c r="K90" s="577"/>
      <c r="N90" s="936">
        <f t="shared" si="33"/>
        <v>2013</v>
      </c>
      <c r="O90" s="937">
        <f t="shared" si="34"/>
        <v>2617666.0377430008</v>
      </c>
      <c r="P90" s="937">
        <f t="shared" si="35"/>
        <v>918560.29170848709</v>
      </c>
    </row>
    <row r="91" spans="1:16" x14ac:dyDescent="0.25">
      <c r="N91" s="936">
        <f t="shared" si="33"/>
        <v>2014</v>
      </c>
      <c r="O91" s="937">
        <f t="shared" si="34"/>
        <v>2974214.4336705087</v>
      </c>
      <c r="P91" s="937">
        <f t="shared" si="35"/>
        <v>1051131.6818032633</v>
      </c>
    </row>
    <row r="92" spans="1:16" x14ac:dyDescent="0.25">
      <c r="N92" s="936">
        <f t="shared" si="33"/>
        <v>2015</v>
      </c>
      <c r="O92" s="937">
        <f t="shared" si="34"/>
        <v>3054173.97</v>
      </c>
      <c r="P92" s="937">
        <f t="shared" si="35"/>
        <v>1117237.4200000002</v>
      </c>
    </row>
    <row r="93" spans="1:16" x14ac:dyDescent="0.25">
      <c r="N93" s="936">
        <f t="shared" si="33"/>
        <v>2016</v>
      </c>
      <c r="O93" s="937">
        <f t="shared" si="34"/>
        <v>3107945.2125680889</v>
      </c>
      <c r="P93" s="937">
        <f t="shared" si="35"/>
        <v>1341511.2429660808</v>
      </c>
    </row>
    <row r="94" spans="1:16" x14ac:dyDescent="0.25">
      <c r="N94" s="936">
        <f t="shared" si="33"/>
        <v>2017</v>
      </c>
      <c r="O94" s="937">
        <f t="shared" si="34"/>
        <v>3135319.541849813</v>
      </c>
      <c r="P94" s="937">
        <f t="shared" si="35"/>
        <v>1344378.6245076021</v>
      </c>
    </row>
    <row r="95" spans="1:16" x14ac:dyDescent="0.25">
      <c r="N95" s="936">
        <f t="shared" si="33"/>
        <v>2018</v>
      </c>
      <c r="O95" s="937">
        <f t="shared" si="34"/>
        <v>3262079.7526476942</v>
      </c>
      <c r="P95" s="937">
        <f t="shared" si="35"/>
        <v>1470476.3338757108</v>
      </c>
    </row>
    <row r="96" spans="1:16" x14ac:dyDescent="0.25">
      <c r="N96" s="936">
        <f t="shared" si="33"/>
        <v>2019</v>
      </c>
      <c r="O96" s="937">
        <f t="shared" si="34"/>
        <v>3390349.5109999999</v>
      </c>
      <c r="P96" s="937">
        <f t="shared" ref="P96" si="36">+I31</f>
        <v>1542359.726</v>
      </c>
    </row>
    <row r="97" spans="14:16" x14ac:dyDescent="0.25">
      <c r="N97" s="936">
        <f t="shared" si="33"/>
        <v>2020</v>
      </c>
      <c r="O97" s="937">
        <f t="shared" ref="O97:O98" si="37">+F32</f>
        <v>3177626.5078863143</v>
      </c>
      <c r="P97" s="937">
        <f t="shared" ref="P97:P98" si="38">+I32</f>
        <v>1404419.9004728275</v>
      </c>
    </row>
    <row r="98" spans="14:16" x14ac:dyDescent="0.25">
      <c r="N98" s="936">
        <v>2021</v>
      </c>
      <c r="O98" s="937">
        <f t="shared" si="37"/>
        <v>3247662.6154217161</v>
      </c>
      <c r="P98" s="937">
        <f t="shared" si="38"/>
        <v>1535303.4980810643</v>
      </c>
    </row>
    <row r="99" spans="14:16" x14ac:dyDescent="0.25">
      <c r="N99" s="936">
        <v>2022</v>
      </c>
      <c r="O99" s="937">
        <f t="shared" ref="O99" si="39">+F34</f>
        <v>3703281.9869758985</v>
      </c>
      <c r="P99" s="937">
        <f t="shared" ref="P99" si="40">+I34</f>
        <v>1806185.4901398001</v>
      </c>
    </row>
    <row r="100" spans="14:16" x14ac:dyDescent="0.25">
      <c r="N100" s="936">
        <v>2023</v>
      </c>
      <c r="O100" s="937">
        <f t="shared" ref="O100" si="41">+F35</f>
        <v>4049915.5446629217</v>
      </c>
      <c r="P100" s="937">
        <f t="shared" ref="P100" si="42">+I35</f>
        <v>1993238.2576102046</v>
      </c>
    </row>
  </sheetData>
  <mergeCells count="4">
    <mergeCell ref="B4:B5"/>
    <mergeCell ref="C4:E4"/>
    <mergeCell ref="F4:H4"/>
    <mergeCell ref="I4:K4"/>
  </mergeCells>
  <phoneticPr fontId="16" type="noConversion"/>
  <printOptions horizontalCentered="1" verticalCentered="1"/>
  <pageMargins left="0.76" right="0.44" top="1" bottom="1" header="0" footer="0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3"/>
  <sheetViews>
    <sheetView showGridLines="0" view="pageBreakPreview" zoomScale="90" zoomScaleNormal="85" zoomScaleSheetLayoutView="90" workbookViewId="0">
      <selection activeCell="A2" sqref="A2"/>
    </sheetView>
  </sheetViews>
  <sheetFormatPr baseColWidth="10" defaultRowHeight="13.5" x14ac:dyDescent="0.25"/>
  <cols>
    <col min="1" max="1" width="2.85546875" style="437" customWidth="1"/>
    <col min="2" max="2" width="22.140625" style="437" customWidth="1"/>
    <col min="3" max="3" width="15" style="437" customWidth="1"/>
    <col min="4" max="4" width="13.28515625" style="437" customWidth="1"/>
    <col min="5" max="5" width="12.7109375" style="437" customWidth="1"/>
    <col min="6" max="6" width="14" style="437" customWidth="1"/>
    <col min="7" max="7" width="11" style="437" customWidth="1"/>
    <col min="8" max="8" width="12.42578125" style="437" customWidth="1"/>
    <col min="9" max="9" width="11.7109375" style="437" customWidth="1"/>
    <col min="10" max="10" width="11" style="437" customWidth="1"/>
    <col min="11" max="11" width="12.28515625" style="437" customWidth="1"/>
    <col min="12" max="12" width="11.42578125" style="437"/>
    <col min="13" max="13" width="15.5703125" style="437" customWidth="1"/>
    <col min="14" max="14" width="15.5703125" style="438" customWidth="1"/>
    <col min="15" max="16" width="11.42578125" style="438"/>
    <col min="17" max="18" width="11.42578125" style="437"/>
    <col min="19" max="19" width="11.85546875" style="437" bestFit="1" customWidth="1"/>
    <col min="20" max="22" width="12.85546875" style="437" bestFit="1" customWidth="1"/>
    <col min="23" max="16384" width="11.42578125" style="437"/>
  </cols>
  <sheetData>
    <row r="1" spans="1:16" ht="15.75" x14ac:dyDescent="0.25">
      <c r="A1" s="851" t="s">
        <v>350</v>
      </c>
    </row>
    <row r="2" spans="1:16" ht="15" x14ac:dyDescent="0.25">
      <c r="C2" s="940"/>
      <c r="D2" s="940"/>
      <c r="E2" s="940"/>
      <c r="F2" s="940"/>
      <c r="G2" s="940"/>
      <c r="H2" s="941"/>
      <c r="I2" s="941"/>
      <c r="J2" s="941"/>
      <c r="K2" s="941"/>
    </row>
    <row r="3" spans="1:16" ht="14.25" thickBot="1" x14ac:dyDescent="0.3"/>
    <row r="4" spans="1:16" s="583" customFormat="1" ht="14.25" customHeight="1" x14ac:dyDescent="0.2">
      <c r="B4" s="852" t="s">
        <v>18</v>
      </c>
      <c r="C4" s="942" t="s">
        <v>49</v>
      </c>
      <c r="D4" s="943"/>
      <c r="E4" s="943"/>
      <c r="F4" s="942" t="s">
        <v>10</v>
      </c>
      <c r="G4" s="943"/>
      <c r="H4" s="944"/>
      <c r="I4" s="943" t="s">
        <v>11</v>
      </c>
      <c r="J4" s="943"/>
      <c r="K4" s="945"/>
      <c r="N4" s="946"/>
      <c r="O4" s="946"/>
      <c r="P4" s="946"/>
    </row>
    <row r="5" spans="1:16" s="583" customFormat="1" ht="14.25" customHeight="1" x14ac:dyDescent="0.2">
      <c r="B5" s="857"/>
      <c r="C5" s="947" t="s">
        <v>0</v>
      </c>
      <c r="D5" s="948" t="s">
        <v>16</v>
      </c>
      <c r="E5" s="949" t="s">
        <v>17</v>
      </c>
      <c r="F5" s="950" t="s">
        <v>12</v>
      </c>
      <c r="G5" s="951" t="s">
        <v>16</v>
      </c>
      <c r="H5" s="951" t="s">
        <v>17</v>
      </c>
      <c r="I5" s="949" t="s">
        <v>0</v>
      </c>
      <c r="J5" s="948" t="s">
        <v>16</v>
      </c>
      <c r="K5" s="952" t="s">
        <v>17</v>
      </c>
      <c r="N5" s="946"/>
      <c r="O5" s="946" t="s">
        <v>16</v>
      </c>
      <c r="P5" s="946" t="s">
        <v>17</v>
      </c>
    </row>
    <row r="6" spans="1:16" x14ac:dyDescent="0.25">
      <c r="B6" s="864"/>
      <c r="C6" s="865"/>
      <c r="D6" s="866"/>
      <c r="E6" s="867"/>
      <c r="F6" s="868"/>
      <c r="G6" s="866"/>
      <c r="H6" s="869"/>
      <c r="I6" s="870"/>
      <c r="J6" s="866"/>
      <c r="K6" s="867"/>
    </row>
    <row r="7" spans="1:16" x14ac:dyDescent="0.25">
      <c r="B7" s="766">
        <v>1995</v>
      </c>
      <c r="C7" s="767">
        <v>8.3932836241269282</v>
      </c>
      <c r="D7" s="768">
        <f>G7</f>
        <v>10.148610371781364</v>
      </c>
      <c r="E7" s="769">
        <v>5.0917768788358657</v>
      </c>
      <c r="F7" s="770">
        <v>8.9555606852646115</v>
      </c>
      <c r="G7" s="768">
        <v>10.148610371781364</v>
      </c>
      <c r="H7" s="771">
        <v>5.5357375593344766</v>
      </c>
      <c r="I7" s="953">
        <f>K7</f>
        <v>4.2445573090579085</v>
      </c>
      <c r="J7" s="768"/>
      <c r="K7" s="769">
        <v>4.2445573090579085</v>
      </c>
      <c r="M7" s="954"/>
      <c r="N7" s="525">
        <v>95</v>
      </c>
      <c r="O7" s="459">
        <f>+D7</f>
        <v>10.148610371781364</v>
      </c>
      <c r="P7" s="459">
        <f>+E7</f>
        <v>5.0917768788358657</v>
      </c>
    </row>
    <row r="8" spans="1:16" x14ac:dyDescent="0.25">
      <c r="B8" s="484">
        <v>1996</v>
      </c>
      <c r="C8" s="955">
        <v>8.647606873247458</v>
      </c>
      <c r="D8" s="956">
        <f t="shared" ref="D8:D25" si="0">G8</f>
        <v>10.37984664865154</v>
      </c>
      <c r="E8" s="957">
        <v>5.3374765504742943</v>
      </c>
      <c r="F8" s="958">
        <v>9.3774573213785253</v>
      </c>
      <c r="G8" s="956">
        <v>10.37984664865154</v>
      </c>
      <c r="H8" s="959">
        <v>5.9592969871676909</v>
      </c>
      <c r="I8" s="960">
        <f t="shared" ref="I8:I22" si="1">K8</f>
        <v>4.5448535324028105</v>
      </c>
      <c r="J8" s="956"/>
      <c r="K8" s="957">
        <v>4.5448535324028105</v>
      </c>
      <c r="M8" s="954"/>
      <c r="N8" s="525">
        <v>96</v>
      </c>
      <c r="O8" s="459">
        <f t="shared" ref="O8:O28" si="2">+D8</f>
        <v>10.37984664865154</v>
      </c>
      <c r="P8" s="459">
        <f t="shared" ref="P8:P28" si="3">+E8</f>
        <v>5.3374765504742943</v>
      </c>
    </row>
    <row r="9" spans="1:16" x14ac:dyDescent="0.25">
      <c r="B9" s="766">
        <v>1997</v>
      </c>
      <c r="C9" s="767">
        <v>8.1882474543939985</v>
      </c>
      <c r="D9" s="768">
        <f t="shared" si="0"/>
        <v>10.146978053246057</v>
      </c>
      <c r="E9" s="769">
        <v>5.4201200311090698</v>
      </c>
      <c r="F9" s="770">
        <v>9.1635885122824927</v>
      </c>
      <c r="G9" s="768">
        <v>10.146978053246057</v>
      </c>
      <c r="H9" s="771">
        <v>5.7265372648894912</v>
      </c>
      <c r="I9" s="953">
        <f t="shared" si="1"/>
        <v>5.2121175208150961</v>
      </c>
      <c r="J9" s="768"/>
      <c r="K9" s="769">
        <v>5.2121175208150961</v>
      </c>
      <c r="M9" s="954"/>
      <c r="N9" s="525">
        <v>97</v>
      </c>
      <c r="O9" s="459">
        <f t="shared" si="2"/>
        <v>10.146978053246057</v>
      </c>
      <c r="P9" s="459">
        <f t="shared" si="3"/>
        <v>5.4201200311090698</v>
      </c>
    </row>
    <row r="10" spans="1:16" x14ac:dyDescent="0.25">
      <c r="B10" s="484">
        <v>1998</v>
      </c>
      <c r="C10" s="955">
        <v>7.0538569551395423</v>
      </c>
      <c r="D10" s="956">
        <f t="shared" si="0"/>
        <v>8.753240333635766</v>
      </c>
      <c r="E10" s="957">
        <v>4.9459578496514798</v>
      </c>
      <c r="F10" s="958">
        <v>7.9571609356886182</v>
      </c>
      <c r="G10" s="956">
        <v>8.753240333635766</v>
      </c>
      <c r="H10" s="959">
        <v>5.0486463977806757</v>
      </c>
      <c r="I10" s="960">
        <f t="shared" si="1"/>
        <v>4.8931747664703975</v>
      </c>
      <c r="J10" s="956"/>
      <c r="K10" s="957">
        <v>4.8931747664703975</v>
      </c>
      <c r="M10" s="954"/>
      <c r="N10" s="525">
        <v>98</v>
      </c>
      <c r="O10" s="459">
        <f t="shared" si="2"/>
        <v>8.753240333635766</v>
      </c>
      <c r="P10" s="459">
        <f t="shared" si="3"/>
        <v>4.9459578496514798</v>
      </c>
    </row>
    <row r="11" spans="1:16" x14ac:dyDescent="0.25">
      <c r="B11" s="766">
        <v>1999</v>
      </c>
      <c r="C11" s="767">
        <v>6.7979710943220208</v>
      </c>
      <c r="D11" s="768">
        <f t="shared" si="0"/>
        <v>8.3066426364644457</v>
      </c>
      <c r="E11" s="769">
        <v>4.9301915818936246</v>
      </c>
      <c r="F11" s="770">
        <v>7.6320210282889089</v>
      </c>
      <c r="G11" s="768">
        <v>8.3066426364644457</v>
      </c>
      <c r="H11" s="771">
        <v>5.0718506766791807</v>
      </c>
      <c r="I11" s="953">
        <f t="shared" si="1"/>
        <v>4.8616026075361827</v>
      </c>
      <c r="J11" s="768"/>
      <c r="K11" s="769">
        <v>4.8616026075361827</v>
      </c>
      <c r="M11" s="954"/>
      <c r="N11" s="525">
        <v>99</v>
      </c>
      <c r="O11" s="459">
        <f t="shared" si="2"/>
        <v>8.3066426364644457</v>
      </c>
      <c r="P11" s="459">
        <f t="shared" si="3"/>
        <v>4.9301915818936246</v>
      </c>
    </row>
    <row r="12" spans="1:16" x14ac:dyDescent="0.25">
      <c r="B12" s="484">
        <v>2000</v>
      </c>
      <c r="C12" s="955">
        <v>7.1600313284956645</v>
      </c>
      <c r="D12" s="956">
        <f t="shared" si="0"/>
        <v>8.8063395358146757</v>
      </c>
      <c r="E12" s="957">
        <v>5.2213140505014408</v>
      </c>
      <c r="F12" s="958">
        <v>8.0465527241033001</v>
      </c>
      <c r="G12" s="956">
        <v>8.8063395358146757</v>
      </c>
      <c r="H12" s="959">
        <v>5.3360143471179855</v>
      </c>
      <c r="I12" s="960">
        <f t="shared" si="1"/>
        <v>5.1647954842633439</v>
      </c>
      <c r="J12" s="956"/>
      <c r="K12" s="957">
        <v>5.1647954842633439</v>
      </c>
      <c r="M12" s="954"/>
      <c r="N12" s="525" t="s">
        <v>148</v>
      </c>
      <c r="O12" s="459">
        <f t="shared" si="2"/>
        <v>8.8063395358146757</v>
      </c>
      <c r="P12" s="459">
        <f t="shared" si="3"/>
        <v>5.2213140505014408</v>
      </c>
    </row>
    <row r="13" spans="1:16" x14ac:dyDescent="0.25">
      <c r="B13" s="766">
        <v>2001</v>
      </c>
      <c r="C13" s="767">
        <v>6.8517181867515884</v>
      </c>
      <c r="D13" s="768">
        <f t="shared" si="0"/>
        <v>8.7949736111824013</v>
      </c>
      <c r="E13" s="769">
        <v>4.7425532789429576</v>
      </c>
      <c r="F13" s="770">
        <v>8.1980760639170676</v>
      </c>
      <c r="G13" s="768">
        <v>8.7949736111824013</v>
      </c>
      <c r="H13" s="771">
        <v>5.4318103535360782</v>
      </c>
      <c r="I13" s="953">
        <f t="shared" si="1"/>
        <v>4.5317559390314024</v>
      </c>
      <c r="J13" s="768"/>
      <c r="K13" s="769">
        <v>4.5317559390314024</v>
      </c>
      <c r="M13" s="954"/>
      <c r="N13" s="525" t="s">
        <v>149</v>
      </c>
      <c r="O13" s="459">
        <f t="shared" si="2"/>
        <v>8.7949736111824013</v>
      </c>
      <c r="P13" s="459">
        <f t="shared" si="3"/>
        <v>4.7425532789429576</v>
      </c>
    </row>
    <row r="14" spans="1:16" x14ac:dyDescent="0.25">
      <c r="B14" s="484">
        <v>2002</v>
      </c>
      <c r="C14" s="955">
        <v>6.5722564065548337</v>
      </c>
      <c r="D14" s="956">
        <f t="shared" si="0"/>
        <v>8.2905260118522683</v>
      </c>
      <c r="E14" s="957">
        <v>4.6821377072021297</v>
      </c>
      <c r="F14" s="958">
        <v>7.758352080828165</v>
      </c>
      <c r="G14" s="956">
        <v>8.2905260118522683</v>
      </c>
      <c r="H14" s="959">
        <v>5.1639888849993891</v>
      </c>
      <c r="I14" s="960">
        <f t="shared" si="1"/>
        <v>4.5417296862557039</v>
      </c>
      <c r="J14" s="961"/>
      <c r="K14" s="957">
        <v>4.5417296862557039</v>
      </c>
      <c r="M14" s="954"/>
      <c r="N14" s="525" t="s">
        <v>150</v>
      </c>
      <c r="O14" s="459">
        <f t="shared" si="2"/>
        <v>8.2905260118522683</v>
      </c>
      <c r="P14" s="459">
        <f t="shared" si="3"/>
        <v>4.6821377072021297</v>
      </c>
    </row>
    <row r="15" spans="1:16" x14ac:dyDescent="0.25">
      <c r="B15" s="766">
        <v>2003</v>
      </c>
      <c r="C15" s="767">
        <v>6.6241519760682381</v>
      </c>
      <c r="D15" s="768">
        <f t="shared" si="0"/>
        <v>8.4395468219330851</v>
      </c>
      <c r="E15" s="769">
        <v>4.6334748884993324</v>
      </c>
      <c r="F15" s="770">
        <v>7.971753161907678</v>
      </c>
      <c r="G15" s="768">
        <v>8.4395468219330851</v>
      </c>
      <c r="H15" s="771">
        <v>5.315913767730283</v>
      </c>
      <c r="I15" s="953">
        <f t="shared" si="1"/>
        <v>4.4701131993241967</v>
      </c>
      <c r="J15" s="768"/>
      <c r="K15" s="769">
        <v>4.4701131993241967</v>
      </c>
      <c r="M15" s="954"/>
      <c r="N15" s="525" t="s">
        <v>151</v>
      </c>
      <c r="O15" s="459">
        <f t="shared" si="2"/>
        <v>8.4395468219330851</v>
      </c>
      <c r="P15" s="459">
        <f t="shared" si="3"/>
        <v>4.6334748884993324</v>
      </c>
    </row>
    <row r="16" spans="1:16" x14ac:dyDescent="0.25">
      <c r="B16" s="484">
        <v>2004</v>
      </c>
      <c r="C16" s="955">
        <v>7.0379541088956712</v>
      </c>
      <c r="D16" s="956">
        <f t="shared" si="0"/>
        <v>8.6742016054190874</v>
      </c>
      <c r="E16" s="957">
        <v>5.2142013164260836</v>
      </c>
      <c r="F16" s="958">
        <v>8.2230231770089492</v>
      </c>
      <c r="G16" s="956">
        <v>8.6742016054190874</v>
      </c>
      <c r="H16" s="959">
        <v>5.3901465775055355</v>
      </c>
      <c r="I16" s="960">
        <f t="shared" si="1"/>
        <v>5.1762271900611463</v>
      </c>
      <c r="J16" s="961"/>
      <c r="K16" s="957">
        <v>5.1762271900611463</v>
      </c>
      <c r="M16" s="954"/>
      <c r="N16" s="525" t="s">
        <v>152</v>
      </c>
      <c r="O16" s="459">
        <f t="shared" si="2"/>
        <v>8.6742016054190874</v>
      </c>
      <c r="P16" s="459">
        <f t="shared" si="3"/>
        <v>5.2142013164260836</v>
      </c>
    </row>
    <row r="17" spans="2:16" x14ac:dyDescent="0.25">
      <c r="B17" s="766">
        <v>2005</v>
      </c>
      <c r="C17" s="767">
        <v>7.6295174613677208</v>
      </c>
      <c r="D17" s="768">
        <f t="shared" si="0"/>
        <v>9.4007778088619069</v>
      </c>
      <c r="E17" s="769">
        <v>5.5617579225654694</v>
      </c>
      <c r="F17" s="770">
        <v>8.8884914595819442</v>
      </c>
      <c r="G17" s="768">
        <v>9.4007778088619069</v>
      </c>
      <c r="H17" s="771">
        <v>5.650701414642656</v>
      </c>
      <c r="I17" s="953">
        <f t="shared" si="1"/>
        <v>5.5416076080909722</v>
      </c>
      <c r="J17" s="768"/>
      <c r="K17" s="769">
        <v>5.5416076080909722</v>
      </c>
      <c r="M17" s="954"/>
      <c r="N17" s="525" t="s">
        <v>153</v>
      </c>
      <c r="O17" s="459">
        <f t="shared" si="2"/>
        <v>9.4007778088619069</v>
      </c>
      <c r="P17" s="459">
        <f t="shared" si="3"/>
        <v>5.5617579225654694</v>
      </c>
    </row>
    <row r="18" spans="2:16" x14ac:dyDescent="0.25">
      <c r="B18" s="484">
        <v>2006</v>
      </c>
      <c r="C18" s="955">
        <v>7.5478896322436135</v>
      </c>
      <c r="D18" s="956">
        <f t="shared" si="0"/>
        <v>9.2054198190234704</v>
      </c>
      <c r="E18" s="957">
        <v>5.5547819540921299</v>
      </c>
      <c r="F18" s="958">
        <v>8.7025840778489254</v>
      </c>
      <c r="G18" s="956">
        <v>9.2054198190234704</v>
      </c>
      <c r="H18" s="959">
        <v>5.4374484419028404</v>
      </c>
      <c r="I18" s="960">
        <f t="shared" si="1"/>
        <v>5.581447756240201</v>
      </c>
      <c r="J18" s="961"/>
      <c r="K18" s="957">
        <v>5.581447756240201</v>
      </c>
      <c r="M18" s="954"/>
      <c r="N18" s="525" t="s">
        <v>154</v>
      </c>
      <c r="O18" s="459">
        <f t="shared" si="2"/>
        <v>9.2054198190234704</v>
      </c>
      <c r="P18" s="459">
        <f t="shared" si="3"/>
        <v>5.5547819540921299</v>
      </c>
    </row>
    <row r="19" spans="2:16" x14ac:dyDescent="0.25">
      <c r="B19" s="766">
        <v>2007</v>
      </c>
      <c r="C19" s="767">
        <v>7.4049441102825799</v>
      </c>
      <c r="D19" s="768">
        <f t="shared" si="0"/>
        <v>9.0939060573690185</v>
      </c>
      <c r="E19" s="769">
        <v>5.4233986202754707</v>
      </c>
      <c r="F19" s="770">
        <v>8.6843545064319656</v>
      </c>
      <c r="G19" s="768">
        <v>9.0939060573690185</v>
      </c>
      <c r="H19" s="771">
        <v>5.4423840053332935</v>
      </c>
      <c r="I19" s="953">
        <f t="shared" si="1"/>
        <v>5.4200951405339648</v>
      </c>
      <c r="J19" s="768"/>
      <c r="K19" s="769">
        <v>5.4200951405339648</v>
      </c>
      <c r="M19" s="954"/>
      <c r="N19" s="525" t="s">
        <v>155</v>
      </c>
      <c r="O19" s="459">
        <f t="shared" si="2"/>
        <v>9.0939060573690185</v>
      </c>
      <c r="P19" s="459">
        <f t="shared" si="3"/>
        <v>5.4233986202754707</v>
      </c>
    </row>
    <row r="20" spans="2:16" x14ac:dyDescent="0.25">
      <c r="B20" s="484">
        <v>2008</v>
      </c>
      <c r="C20" s="955">
        <v>8.2186096245238396</v>
      </c>
      <c r="D20" s="956">
        <f t="shared" si="0"/>
        <v>9.5638093579048657</v>
      </c>
      <c r="E20" s="957">
        <v>6.63741891099464</v>
      </c>
      <c r="F20" s="958">
        <v>9.2102011270063144</v>
      </c>
      <c r="G20" s="956">
        <v>9.5638093579048657</v>
      </c>
      <c r="H20" s="959">
        <v>6.2283301309714529</v>
      </c>
      <c r="I20" s="960">
        <f t="shared" si="1"/>
        <v>6.703677483775019</v>
      </c>
      <c r="J20" s="961"/>
      <c r="K20" s="957">
        <v>6.703677483775019</v>
      </c>
      <c r="M20" s="954"/>
      <c r="N20" s="525" t="s">
        <v>156</v>
      </c>
      <c r="O20" s="459">
        <f t="shared" si="2"/>
        <v>9.5638093579048657</v>
      </c>
      <c r="P20" s="459">
        <f t="shared" si="3"/>
        <v>6.63741891099464</v>
      </c>
    </row>
    <row r="21" spans="2:16" x14ac:dyDescent="0.25">
      <c r="B21" s="766">
        <v>2009</v>
      </c>
      <c r="C21" s="767">
        <v>8.2550953480745317</v>
      </c>
      <c r="D21" s="768">
        <f t="shared" si="0"/>
        <v>10.220209425572106</v>
      </c>
      <c r="E21" s="769">
        <v>5.7155802776107931</v>
      </c>
      <c r="F21" s="770">
        <v>9.8347670342884221</v>
      </c>
      <c r="G21" s="768">
        <v>10.220209425572106</v>
      </c>
      <c r="H21" s="771">
        <v>6.5731995125609881</v>
      </c>
      <c r="I21" s="953">
        <f t="shared" si="1"/>
        <v>5.6537603270098931</v>
      </c>
      <c r="J21" s="768"/>
      <c r="K21" s="769">
        <v>5.6537603270098931</v>
      </c>
      <c r="M21" s="954"/>
      <c r="N21" s="525" t="s">
        <v>157</v>
      </c>
      <c r="O21" s="459">
        <f t="shared" si="2"/>
        <v>10.220209425572106</v>
      </c>
      <c r="P21" s="459">
        <f t="shared" si="3"/>
        <v>5.7155802776107931</v>
      </c>
    </row>
    <row r="22" spans="2:16" x14ac:dyDescent="0.25">
      <c r="B22" s="484">
        <v>2010</v>
      </c>
      <c r="C22" s="955">
        <v>8.3181154409106988</v>
      </c>
      <c r="D22" s="956">
        <f t="shared" si="0"/>
        <v>10.459527312900395</v>
      </c>
      <c r="E22" s="957">
        <v>5.6126682737488451</v>
      </c>
      <c r="F22" s="958">
        <v>10.118555763056673</v>
      </c>
      <c r="G22" s="956">
        <v>10.459527312900395</v>
      </c>
      <c r="H22" s="959">
        <v>6.9434163707427059</v>
      </c>
      <c r="I22" s="960">
        <f t="shared" si="1"/>
        <v>5.4037809461686521</v>
      </c>
      <c r="J22" s="961"/>
      <c r="K22" s="957">
        <v>5.4037809461686521</v>
      </c>
      <c r="M22" s="954"/>
      <c r="N22" s="525" t="s">
        <v>158</v>
      </c>
      <c r="O22" s="459">
        <f t="shared" si="2"/>
        <v>10.459527312900395</v>
      </c>
      <c r="P22" s="459">
        <f t="shared" si="3"/>
        <v>5.6126682737488451</v>
      </c>
    </row>
    <row r="23" spans="2:16" x14ac:dyDescent="0.25">
      <c r="B23" s="766">
        <v>2011</v>
      </c>
      <c r="C23" s="767">
        <v>8.9891892545910128</v>
      </c>
      <c r="D23" s="768">
        <v>11.091278800848533</v>
      </c>
      <c r="E23" s="769">
        <v>6.2890521736374838</v>
      </c>
      <c r="F23" s="770">
        <v>10.785887035062256</v>
      </c>
      <c r="G23" s="768">
        <v>11.091278800848533</v>
      </c>
      <c r="H23" s="771">
        <v>7.8471430858597868</v>
      </c>
      <c r="I23" s="953">
        <v>6.0487035318323148</v>
      </c>
      <c r="J23" s="768"/>
      <c r="K23" s="769">
        <v>6.048703533336055</v>
      </c>
      <c r="M23" s="954"/>
      <c r="N23" s="525" t="s">
        <v>159</v>
      </c>
      <c r="O23" s="459">
        <f t="shared" si="2"/>
        <v>11.091278800848533</v>
      </c>
      <c r="P23" s="459">
        <f t="shared" si="3"/>
        <v>6.2890521736374838</v>
      </c>
    </row>
    <row r="24" spans="2:16" x14ac:dyDescent="0.25">
      <c r="B24" s="484">
        <v>2012</v>
      </c>
      <c r="C24" s="955">
        <v>9.8047648265499703</v>
      </c>
      <c r="D24" s="956">
        <f t="shared" si="0"/>
        <v>12.201537385477197</v>
      </c>
      <c r="E24" s="957">
        <v>6.7101196509343097</v>
      </c>
      <c r="F24" s="958">
        <v>11.813141103914758</v>
      </c>
      <c r="G24" s="956">
        <v>12.201537385477197</v>
      </c>
      <c r="H24" s="959">
        <v>8.1031305793669972</v>
      </c>
      <c r="I24" s="962">
        <v>6.4923946475231222</v>
      </c>
      <c r="J24" s="961"/>
      <c r="K24" s="957">
        <v>6.4923946475231222</v>
      </c>
      <c r="M24" s="954"/>
      <c r="N24" s="525" t="s">
        <v>160</v>
      </c>
      <c r="O24" s="459">
        <f t="shared" si="2"/>
        <v>12.201537385477197</v>
      </c>
      <c r="P24" s="459">
        <f t="shared" si="3"/>
        <v>6.7101196509343097</v>
      </c>
    </row>
    <row r="25" spans="2:16" x14ac:dyDescent="0.25">
      <c r="B25" s="766">
        <v>2013</v>
      </c>
      <c r="C25" s="767">
        <v>9.9302969097620828</v>
      </c>
      <c r="D25" s="768">
        <f t="shared" si="0"/>
        <v>12.233886288512146</v>
      </c>
      <c r="E25" s="769">
        <v>7.018250600117379</v>
      </c>
      <c r="F25" s="770">
        <v>11.933029674417638</v>
      </c>
      <c r="G25" s="768">
        <v>12.233886288512146</v>
      </c>
      <c r="H25" s="771">
        <v>9.0206498419619479</v>
      </c>
      <c r="I25" s="953">
        <v>6.7174837111051282</v>
      </c>
      <c r="J25" s="768"/>
      <c r="K25" s="769">
        <v>6.7174837111051282</v>
      </c>
      <c r="M25" s="954"/>
      <c r="N25" s="525" t="s">
        <v>161</v>
      </c>
      <c r="O25" s="459">
        <f t="shared" si="2"/>
        <v>12.233886288512146</v>
      </c>
      <c r="P25" s="459">
        <f t="shared" si="3"/>
        <v>7.018250600117379</v>
      </c>
    </row>
    <row r="26" spans="2:16" x14ac:dyDescent="0.25">
      <c r="B26" s="484">
        <v>2014</v>
      </c>
      <c r="C26" s="955">
        <v>10.783782050828528</v>
      </c>
      <c r="D26" s="956">
        <v>13.430247970776314</v>
      </c>
      <c r="E26" s="957">
        <v>7.4662387275736641</v>
      </c>
      <c r="F26" s="958">
        <v>13.055122860006383</v>
      </c>
      <c r="G26" s="956">
        <v>13.430247970776314</v>
      </c>
      <c r="H26" s="959">
        <v>9.1953187125424485</v>
      </c>
      <c r="I26" s="962">
        <v>7.2263562019802521</v>
      </c>
      <c r="J26" s="961"/>
      <c r="K26" s="957">
        <v>7.2263562019802521</v>
      </c>
      <c r="N26" s="438">
        <v>14</v>
      </c>
      <c r="O26" s="459">
        <f t="shared" si="2"/>
        <v>13.430247970776314</v>
      </c>
      <c r="P26" s="459">
        <f t="shared" si="3"/>
        <v>7.4662387275736641</v>
      </c>
    </row>
    <row r="27" spans="2:16" x14ac:dyDescent="0.25">
      <c r="B27" s="766">
        <v>2015</v>
      </c>
      <c r="C27" s="767">
        <v>10.487588121433216</v>
      </c>
      <c r="D27" s="768">
        <v>13.400122753255285</v>
      </c>
      <c r="E27" s="769">
        <v>7.0634440169455273</v>
      </c>
      <c r="F27" s="770">
        <v>12.999798046403393</v>
      </c>
      <c r="G27" s="768">
        <v>13.400122753255285</v>
      </c>
      <c r="H27" s="771">
        <v>8.6997999976011684</v>
      </c>
      <c r="I27" s="953">
        <v>6.8623284465367806</v>
      </c>
      <c r="J27" s="768"/>
      <c r="K27" s="769">
        <v>6.8623284465367806</v>
      </c>
      <c r="N27" s="525">
        <v>15</v>
      </c>
      <c r="O27" s="459">
        <f t="shared" si="2"/>
        <v>13.400122753255285</v>
      </c>
      <c r="P27" s="459">
        <f t="shared" si="3"/>
        <v>7.0634440169455273</v>
      </c>
    </row>
    <row r="28" spans="2:16" x14ac:dyDescent="0.25">
      <c r="B28" s="484">
        <v>2016</v>
      </c>
      <c r="C28" s="963">
        <v>10.260005411433578</v>
      </c>
      <c r="D28" s="956">
        <v>14.126765809264075</v>
      </c>
      <c r="E28" s="957">
        <v>6.6744810766796219</v>
      </c>
      <c r="F28" s="958">
        <v>13.579918199627539</v>
      </c>
      <c r="G28" s="964">
        <v>14.126765809264075</v>
      </c>
      <c r="H28" s="965">
        <v>7.9345181325819762</v>
      </c>
      <c r="I28" s="962">
        <v>6.550134616721996</v>
      </c>
      <c r="J28" s="961"/>
      <c r="K28" s="966">
        <v>6.550134616721996</v>
      </c>
      <c r="N28" s="525">
        <v>16</v>
      </c>
      <c r="O28" s="459">
        <f t="shared" si="2"/>
        <v>14.126765809264075</v>
      </c>
      <c r="P28" s="459">
        <f t="shared" si="3"/>
        <v>6.6744810766796219</v>
      </c>
    </row>
    <row r="29" spans="2:16" x14ac:dyDescent="0.25">
      <c r="B29" s="792">
        <v>2017</v>
      </c>
      <c r="C29" s="767">
        <v>10.129734655357632</v>
      </c>
      <c r="D29" s="768">
        <v>14.975888443120429</v>
      </c>
      <c r="E29" s="769">
        <v>6.3193218652866952</v>
      </c>
      <c r="F29" s="770">
        <v>13.997247654672359</v>
      </c>
      <c r="G29" s="768">
        <v>14.975888443120429</v>
      </c>
      <c r="H29" s="771">
        <v>7.5032824093331696</v>
      </c>
      <c r="I29" s="953">
        <v>6.1601746495097007</v>
      </c>
      <c r="J29" s="768"/>
      <c r="K29" s="769">
        <v>6.1601746495097007</v>
      </c>
      <c r="N29" s="525">
        <v>17</v>
      </c>
      <c r="O29" s="459">
        <f>+D29</f>
        <v>14.975888443120429</v>
      </c>
      <c r="P29" s="459">
        <f>+E29</f>
        <v>6.3193218652866952</v>
      </c>
    </row>
    <row r="30" spans="2:16" x14ac:dyDescent="0.25">
      <c r="B30" s="495">
        <v>2018</v>
      </c>
      <c r="C30" s="967">
        <f>('10.7 Facturacion'!C30*100000)/('10.6 Ventas'!C30*1000000)</f>
        <v>10.317820651839479</v>
      </c>
      <c r="D30" s="964">
        <f>('10.7 Facturacion'!D30*100000)/('10.6 Ventas'!D30*1000000)</f>
        <v>15.917877337999185</v>
      </c>
      <c r="E30" s="966">
        <f>('10.7 Facturacion'!E30*100000)/('10.6 Ventas'!E30*1000000)</f>
        <v>6.3039862385552512</v>
      </c>
      <c r="F30" s="968">
        <f>('10.7 Facturacion'!F30*100000)/('10.6 Ventas'!F30*1000000)</f>
        <v>14.778011489255359</v>
      </c>
      <c r="G30" s="964">
        <f>('10.7 Facturacion'!G30*100000)/('10.6 Ventas'!G30*1000000)</f>
        <v>15.917877337999185</v>
      </c>
      <c r="H30" s="965">
        <f>('10.7 Facturacion'!H30*100000)/('10.6 Ventas'!H30*1000000)</f>
        <v>7.3125227943033844</v>
      </c>
      <c r="I30" s="969">
        <f>('10.7 Facturacion'!I30*100000)/('10.6 Ventas'!I30*1000000)</f>
        <v>6.1800525650171405</v>
      </c>
      <c r="J30" s="970"/>
      <c r="K30" s="966">
        <f>('10.7 Facturacion'!K30*100000)/('10.6 Ventas'!K30*1000000)</f>
        <v>6.1800525650171405</v>
      </c>
      <c r="N30" s="525">
        <v>18</v>
      </c>
      <c r="O30" s="459">
        <f>+D30</f>
        <v>15.917877337999185</v>
      </c>
      <c r="P30" s="459">
        <f>+E30</f>
        <v>6.3039862385552512</v>
      </c>
    </row>
    <row r="31" spans="2:16" x14ac:dyDescent="0.25">
      <c r="B31" s="792">
        <v>2019</v>
      </c>
      <c r="C31" s="767">
        <f>('10.7 Facturacion'!C31*100000)/('10.6 Ventas'!C31*1000000)</f>
        <v>10.402008602552257</v>
      </c>
      <c r="D31" s="768">
        <f>('10.7 Facturacion'!D31*100000)/('10.6 Ventas'!D31*1000000)</f>
        <v>16.466857230678755</v>
      </c>
      <c r="E31" s="769">
        <f>('10.7 Facturacion'!E31*100000)/('10.6 Ventas'!E31*1000000)</f>
        <v>6.2981424214598221</v>
      </c>
      <c r="F31" s="770">
        <f>('10.7 Facturacion'!F31*100000)/('10.6 Ventas'!F31*1000000)</f>
        <v>15.165939480098434</v>
      </c>
      <c r="G31" s="768">
        <f>('10.7 Facturacion'!G31*100000)/('10.6 Ventas'!G31*1000000)</f>
        <v>16.466857230678755</v>
      </c>
      <c r="H31" s="771">
        <f>('10.7 Facturacion'!H31*100000)/('10.6 Ventas'!H31*1000000)</f>
        <v>7.4269505793011339</v>
      </c>
      <c r="I31" s="953">
        <f>('10.7 Facturacion'!I31*100000)/('10.6 Ventas'!I31*1000000)</f>
        <v>6.1532648627104196</v>
      </c>
      <c r="J31" s="768"/>
      <c r="K31" s="769">
        <f>('10.7 Facturacion'!K31*100000)/('10.6 Ventas'!K31*1000000)</f>
        <v>6.1532648627104196</v>
      </c>
      <c r="N31" s="525">
        <v>19</v>
      </c>
      <c r="O31" s="459">
        <f t="shared" ref="O31" si="4">+D31</f>
        <v>16.466857230678755</v>
      </c>
      <c r="P31" s="459">
        <f t="shared" ref="P31" si="5">+E31</f>
        <v>6.2981424214598221</v>
      </c>
    </row>
    <row r="32" spans="2:16" x14ac:dyDescent="0.25">
      <c r="B32" s="495">
        <v>2020</v>
      </c>
      <c r="C32" s="967">
        <f>('10.7 Facturacion'!C32*100000)/('10.6 Ventas'!C32*1000000)</f>
        <v>10.472992945161666</v>
      </c>
      <c r="D32" s="964">
        <f>('10.7 Facturacion'!D32*100000)/('10.6 Ventas'!D32*1000000)</f>
        <v>12.964896805744168</v>
      </c>
      <c r="E32" s="966">
        <f>('10.7 Facturacion'!E32*100000)/('10.6 Ventas'!E32*1000000)</f>
        <v>7.7468058327006188</v>
      </c>
      <c r="F32" s="968">
        <f>('10.7 Facturacion'!F32*100000)/('10.6 Ventas'!F32*1000000)</f>
        <v>12.289117833773547</v>
      </c>
      <c r="G32" s="964">
        <f>('10.7 Facturacion'!G32*100000)/('10.6 Ventas'!G32*1000000)</f>
        <v>12.964896805744168</v>
      </c>
      <c r="H32" s="965">
        <f>('10.7 Facturacion'!H32*100000)/('10.6 Ventas'!H32*1000000)</f>
        <v>7.1393918028486558</v>
      </c>
      <c r="I32" s="969">
        <f>('10.7 Facturacion'!I32*100000)/('10.6 Ventas'!I32*1000000)</f>
        <v>7.848626215708002</v>
      </c>
      <c r="J32" s="970"/>
      <c r="K32" s="966">
        <f>('10.7 Facturacion'!K32*100000)/('10.6 Ventas'!K32*1000000)</f>
        <v>7.848626215708002</v>
      </c>
      <c r="N32" s="525">
        <v>20</v>
      </c>
      <c r="O32" s="459">
        <f t="shared" ref="O32:O33" si="6">+D32</f>
        <v>12.964896805744168</v>
      </c>
      <c r="P32" s="459">
        <f t="shared" ref="P32:P33" si="7">+E32</f>
        <v>7.7468058327006188</v>
      </c>
    </row>
    <row r="33" spans="2:16" x14ac:dyDescent="0.25">
      <c r="B33" s="792">
        <v>2021</v>
      </c>
      <c r="C33" s="767">
        <f>('10.7 Facturacion'!C33*100000)/('10.6 Ventas'!C33*1000000)</f>
        <v>9.953368283223833</v>
      </c>
      <c r="D33" s="768">
        <f>('10.7 Facturacion'!D33*100000)/('10.6 Ventas'!D33*1000000)</f>
        <v>16.370746357517383</v>
      </c>
      <c r="E33" s="769">
        <f>('10.7 Facturacion'!E33*100000)/('10.6 Ventas'!E33*1000000)</f>
        <v>5.9812139664453241</v>
      </c>
      <c r="F33" s="770">
        <f>('10.7 Facturacion'!F33*100000)/('10.6 Ventas'!F33*1000000)</f>
        <v>14.789460652520869</v>
      </c>
      <c r="G33" s="768">
        <f>('10.7 Facturacion'!G33*100000)/('10.6 Ventas'!G33*1000000)</f>
        <v>16.370746357517383</v>
      </c>
      <c r="H33" s="771">
        <f>('10.7 Facturacion'!H33*100000)/('10.6 Ventas'!H33*1000000)</f>
        <v>6.690968896757342</v>
      </c>
      <c r="I33" s="953">
        <f>('10.7 Facturacion'!I33*100000)/('10.6 Ventas'!I33*1000000)</f>
        <v>5.8836422426445338</v>
      </c>
      <c r="J33" s="768"/>
      <c r="K33" s="769">
        <f>('10.7 Facturacion'!K33*100000)/('10.6 Ventas'!K33*1000000)</f>
        <v>5.8836422426445338</v>
      </c>
      <c r="N33" s="525">
        <v>21</v>
      </c>
      <c r="O33" s="459">
        <f t="shared" si="6"/>
        <v>16.370746357517383</v>
      </c>
      <c r="P33" s="459">
        <f t="shared" si="7"/>
        <v>5.9812139664453241</v>
      </c>
    </row>
    <row r="34" spans="2:16" x14ac:dyDescent="0.25">
      <c r="B34" s="495">
        <v>2022</v>
      </c>
      <c r="C34" s="967">
        <f>('10.7 Facturacion'!C34*100000)/('10.6 Ventas'!C34*1000000)</f>
        <v>10.924311533046927</v>
      </c>
      <c r="D34" s="964">
        <f>('10.7 Facturacion'!D34*100000)/('10.6 Ventas'!D34*1000000)</f>
        <v>18.234810477312728</v>
      </c>
      <c r="E34" s="966">
        <f>('10.7 Facturacion'!E34*100000)/('10.6 Ventas'!E34*1000000)</f>
        <v>6.6388818033093679</v>
      </c>
      <c r="F34" s="968">
        <f>('10.7 Facturacion'!F34*100000)/('10.6 Ventas'!F34*1000000)</f>
        <v>16.347421721474632</v>
      </c>
      <c r="G34" s="964">
        <f>('10.7 Facturacion'!G34*100000)/('10.6 Ventas'!G34*1000000)</f>
        <v>18.234810477312728</v>
      </c>
      <c r="H34" s="965">
        <f>('10.7 Facturacion'!H34*100000)/('10.6 Ventas'!H34*1000000)</f>
        <v>7.586752738234261</v>
      </c>
      <c r="I34" s="969">
        <f>('10.7 Facturacion'!I34*100000)/('10.6 Ventas'!I34*1000000)</f>
        <v>6.5018713473942018</v>
      </c>
      <c r="J34" s="970"/>
      <c r="K34" s="966">
        <f>('10.7 Facturacion'!K34*100000)/('10.6 Ventas'!K34*1000000)</f>
        <v>6.5018713473942018</v>
      </c>
      <c r="N34" s="525">
        <v>22</v>
      </c>
      <c r="O34" s="459">
        <f t="shared" ref="O34" si="8">+D34</f>
        <v>18.234810477312728</v>
      </c>
      <c r="P34" s="459">
        <f t="shared" ref="P34" si="9">+E34</f>
        <v>6.6388818033093679</v>
      </c>
    </row>
    <row r="35" spans="2:16" x14ac:dyDescent="0.25">
      <c r="B35" s="850">
        <v>2023</v>
      </c>
      <c r="C35" s="767">
        <f>('10.7 Facturacion'!C35*100000)/('10.6 Ventas'!C35*1000000)</f>
        <v>11.483870357276016</v>
      </c>
      <c r="D35" s="768">
        <f>('10.7 Facturacion'!D35*100000)/('10.6 Ventas'!D35*1000000)</f>
        <v>18.946368646440781</v>
      </c>
      <c r="E35" s="769">
        <f>('10.7 Facturacion'!E35*100000)/('10.6 Ventas'!E35*1000000)</f>
        <v>7.1190140502998682</v>
      </c>
      <c r="F35" s="770">
        <f>('10.7 Facturacion'!F35*100000)/('10.6 Ventas'!F35*1000000)</f>
        <v>16.966342112450498</v>
      </c>
      <c r="G35" s="768">
        <f>('10.7 Facturacion'!G35*100000)/('10.6 Ventas'!G35*1000000)</f>
        <v>18.946368646440781</v>
      </c>
      <c r="H35" s="771">
        <f>('10.7 Facturacion'!H35*100000)/('10.6 Ventas'!H35*1000000)</f>
        <v>8.3250814927539771</v>
      </c>
      <c r="I35" s="953">
        <f>('10.7 Facturacion'!I35*100000)/('10.6 Ventas'!I35*1000000)</f>
        <v>6.9323567876313898</v>
      </c>
      <c r="J35" s="768"/>
      <c r="K35" s="769">
        <f>('10.7 Facturacion'!K35*100000)/('10.6 Ventas'!K35*1000000)</f>
        <v>6.9323567876313898</v>
      </c>
      <c r="N35" s="525">
        <v>23</v>
      </c>
      <c r="O35" s="459">
        <f t="shared" ref="O35" si="10">+D35</f>
        <v>18.946368646440781</v>
      </c>
      <c r="P35" s="459">
        <f t="shared" ref="P35" si="11">+E35</f>
        <v>7.1190140502998682</v>
      </c>
    </row>
    <row r="36" spans="2:16" ht="14.25" thickBot="1" x14ac:dyDescent="0.3">
      <c r="B36" s="890"/>
      <c r="C36" s="971"/>
      <c r="D36" s="972"/>
      <c r="E36" s="973"/>
      <c r="F36" s="974"/>
      <c r="G36" s="972"/>
      <c r="H36" s="975"/>
      <c r="I36" s="976"/>
      <c r="J36" s="977"/>
      <c r="K36" s="973"/>
    </row>
    <row r="37" spans="2:16" x14ac:dyDescent="0.25">
      <c r="B37" s="897" t="s">
        <v>326</v>
      </c>
      <c r="C37" s="800">
        <f>(C35/C34)-1</f>
        <v>5.1221426863961028E-2</v>
      </c>
      <c r="D37" s="801">
        <f t="shared" ref="D37:I37" si="12">(D35/D34)-1</f>
        <v>3.902196680428105E-2</v>
      </c>
      <c r="E37" s="978">
        <f t="shared" si="12"/>
        <v>7.2321252466215347E-2</v>
      </c>
      <c r="F37" s="802">
        <f t="shared" si="12"/>
        <v>3.7860428483522002E-2</v>
      </c>
      <c r="G37" s="801">
        <f t="shared" si="12"/>
        <v>3.902196680428105E-2</v>
      </c>
      <c r="H37" s="803">
        <f t="shared" si="12"/>
        <v>9.7318151783018836E-2</v>
      </c>
      <c r="I37" s="804">
        <f t="shared" si="12"/>
        <v>6.6209467588083992E-2</v>
      </c>
      <c r="J37" s="805"/>
      <c r="K37" s="806">
        <f>(K35/K34)-1</f>
        <v>6.6209467588083992E-2</v>
      </c>
    </row>
    <row r="38" spans="2:16" x14ac:dyDescent="0.25">
      <c r="B38" s="906" t="s">
        <v>327</v>
      </c>
      <c r="C38" s="808">
        <f>((C35/C30)^(1/5))-1</f>
        <v>2.1645111566993114E-2</v>
      </c>
      <c r="D38" s="809">
        <f t="shared" ref="D38:I38" si="13">((D35/D30)^(1/5))-1</f>
        <v>3.5447695576619642E-2</v>
      </c>
      <c r="E38" s="810">
        <f t="shared" si="13"/>
        <v>2.461549361751536E-2</v>
      </c>
      <c r="F38" s="811">
        <f t="shared" si="13"/>
        <v>2.800314666871051E-2</v>
      </c>
      <c r="G38" s="809">
        <f t="shared" si="13"/>
        <v>3.5447695576619642E-2</v>
      </c>
      <c r="H38" s="812">
        <f t="shared" si="13"/>
        <v>2.627618737963533E-2</v>
      </c>
      <c r="I38" s="813">
        <f t="shared" si="13"/>
        <v>2.3240561816756378E-2</v>
      </c>
      <c r="J38" s="814"/>
      <c r="K38" s="815">
        <f>((K35/K30)^(1/5))-1</f>
        <v>2.3240561816756378E-2</v>
      </c>
    </row>
    <row r="39" spans="2:16" x14ac:dyDescent="0.25">
      <c r="B39" s="915" t="s">
        <v>328</v>
      </c>
      <c r="C39" s="816">
        <f>(C35/C25)-1</f>
        <v>0.15644783450398925</v>
      </c>
      <c r="D39" s="817">
        <f t="shared" ref="D39:I39" si="14">(D35/D25)-1</f>
        <v>0.54867947924542881</v>
      </c>
      <c r="E39" s="818">
        <f t="shared" si="14"/>
        <v>1.4357345715299008E-2</v>
      </c>
      <c r="F39" s="819">
        <f t="shared" si="14"/>
        <v>0.4217966916501863</v>
      </c>
      <c r="G39" s="817">
        <f t="shared" si="14"/>
        <v>0.54867947924542881</v>
      </c>
      <c r="H39" s="820">
        <f t="shared" si="14"/>
        <v>-7.7108452427933738E-2</v>
      </c>
      <c r="I39" s="821">
        <f t="shared" si="14"/>
        <v>3.1987137709175384E-2</v>
      </c>
      <c r="J39" s="822"/>
      <c r="K39" s="823">
        <f>(K35/K25)-1</f>
        <v>3.1987137709175384E-2</v>
      </c>
    </row>
    <row r="40" spans="2:16" ht="14.25" thickBot="1" x14ac:dyDescent="0.3">
      <c r="B40" s="924" t="s">
        <v>329</v>
      </c>
      <c r="C40" s="824">
        <f>((C35/C25)^(1/10))-1</f>
        <v>1.4641460834037501E-2</v>
      </c>
      <c r="D40" s="825">
        <f t="shared" ref="D40:I40" si="15">((D35/D25)^(1/10))-1</f>
        <v>4.4710968397279949E-2</v>
      </c>
      <c r="E40" s="826">
        <f t="shared" si="15"/>
        <v>1.4265420479111501E-3</v>
      </c>
      <c r="F40" s="827">
        <f t="shared" si="15"/>
        <v>3.5818706464154859E-2</v>
      </c>
      <c r="G40" s="825">
        <f t="shared" si="15"/>
        <v>4.4710968397279949E-2</v>
      </c>
      <c r="H40" s="828">
        <f t="shared" si="15"/>
        <v>-7.9922459354512254E-3</v>
      </c>
      <c r="I40" s="829">
        <f t="shared" si="15"/>
        <v>3.1535824637893839E-3</v>
      </c>
      <c r="J40" s="830"/>
      <c r="K40" s="831">
        <f>((K35/K25)^(1/10))-1</f>
        <v>3.1535824637893839E-3</v>
      </c>
    </row>
    <row r="41" spans="2:16" x14ac:dyDescent="0.25">
      <c r="C41" s="979"/>
    </row>
    <row r="42" spans="2:16" x14ac:dyDescent="0.25">
      <c r="B42" s="524"/>
      <c r="O42" s="438" t="s">
        <v>10</v>
      </c>
      <c r="P42" s="438" t="s">
        <v>11</v>
      </c>
    </row>
    <row r="43" spans="2:16" x14ac:dyDescent="0.25">
      <c r="O43" s="459"/>
      <c r="P43" s="459"/>
    </row>
    <row r="44" spans="2:16" x14ac:dyDescent="0.25">
      <c r="B44" s="877"/>
      <c r="C44" s="877"/>
      <c r="D44" s="877"/>
      <c r="E44" s="877"/>
      <c r="F44" s="877"/>
      <c r="G44" s="877"/>
      <c r="H44" s="877"/>
      <c r="I44" s="877"/>
      <c r="J44" s="877"/>
      <c r="K44" s="877"/>
      <c r="O44" s="459"/>
      <c r="P44" s="459"/>
    </row>
    <row r="45" spans="2:16" x14ac:dyDescent="0.25">
      <c r="N45" s="438">
        <v>95</v>
      </c>
      <c r="O45" s="459">
        <f>+F7</f>
        <v>8.9555606852646115</v>
      </c>
      <c r="P45" s="459">
        <f>+I7</f>
        <v>4.2445573090579085</v>
      </c>
    </row>
    <row r="46" spans="2:16" x14ac:dyDescent="0.25">
      <c r="N46" s="438">
        <v>96</v>
      </c>
      <c r="O46" s="459">
        <f t="shared" ref="O46:O66" si="16">+F8</f>
        <v>9.3774573213785253</v>
      </c>
      <c r="P46" s="459">
        <f t="shared" ref="P46:P66" si="17">+I8</f>
        <v>4.5448535324028105</v>
      </c>
    </row>
    <row r="47" spans="2:16" x14ac:dyDescent="0.25">
      <c r="N47" s="438">
        <v>97</v>
      </c>
      <c r="O47" s="459">
        <f t="shared" si="16"/>
        <v>9.1635885122824927</v>
      </c>
      <c r="P47" s="459">
        <f t="shared" si="17"/>
        <v>5.2121175208150961</v>
      </c>
    </row>
    <row r="48" spans="2:16" x14ac:dyDescent="0.25">
      <c r="N48" s="438">
        <v>98</v>
      </c>
      <c r="O48" s="459">
        <f t="shared" si="16"/>
        <v>7.9571609356886182</v>
      </c>
      <c r="P48" s="459">
        <f t="shared" si="17"/>
        <v>4.8931747664703975</v>
      </c>
    </row>
    <row r="49" spans="14:16" x14ac:dyDescent="0.25">
      <c r="N49" s="438">
        <v>99</v>
      </c>
      <c r="O49" s="459">
        <f t="shared" si="16"/>
        <v>7.6320210282889089</v>
      </c>
      <c r="P49" s="459">
        <f t="shared" si="17"/>
        <v>4.8616026075361827</v>
      </c>
    </row>
    <row r="50" spans="14:16" x14ac:dyDescent="0.25">
      <c r="N50" s="980" t="s">
        <v>148</v>
      </c>
      <c r="O50" s="459">
        <f t="shared" si="16"/>
        <v>8.0465527241033001</v>
      </c>
      <c r="P50" s="459">
        <f t="shared" si="17"/>
        <v>5.1647954842633439</v>
      </c>
    </row>
    <row r="51" spans="14:16" x14ac:dyDescent="0.25">
      <c r="N51" s="980" t="s">
        <v>149</v>
      </c>
      <c r="O51" s="459">
        <f t="shared" si="16"/>
        <v>8.1980760639170676</v>
      </c>
      <c r="P51" s="459">
        <f t="shared" si="17"/>
        <v>4.5317559390314024</v>
      </c>
    </row>
    <row r="52" spans="14:16" x14ac:dyDescent="0.25">
      <c r="N52" s="980" t="s">
        <v>150</v>
      </c>
      <c r="O52" s="459">
        <f t="shared" si="16"/>
        <v>7.758352080828165</v>
      </c>
      <c r="P52" s="459">
        <f t="shared" si="17"/>
        <v>4.5417296862557039</v>
      </c>
    </row>
    <row r="53" spans="14:16" x14ac:dyDescent="0.25">
      <c r="N53" s="980" t="s">
        <v>151</v>
      </c>
      <c r="O53" s="459">
        <f t="shared" si="16"/>
        <v>7.971753161907678</v>
      </c>
      <c r="P53" s="459">
        <f t="shared" si="17"/>
        <v>4.4701131993241967</v>
      </c>
    </row>
    <row r="54" spans="14:16" x14ac:dyDescent="0.25">
      <c r="N54" s="980" t="s">
        <v>152</v>
      </c>
      <c r="O54" s="459">
        <f t="shared" si="16"/>
        <v>8.2230231770089492</v>
      </c>
      <c r="P54" s="459">
        <f t="shared" si="17"/>
        <v>5.1762271900611463</v>
      </c>
    </row>
    <row r="55" spans="14:16" x14ac:dyDescent="0.25">
      <c r="N55" s="980" t="s">
        <v>153</v>
      </c>
      <c r="O55" s="459">
        <f t="shared" si="16"/>
        <v>8.8884914595819442</v>
      </c>
      <c r="P55" s="459">
        <f t="shared" si="17"/>
        <v>5.5416076080909722</v>
      </c>
    </row>
    <row r="56" spans="14:16" x14ac:dyDescent="0.25">
      <c r="N56" s="980" t="s">
        <v>154</v>
      </c>
      <c r="O56" s="459">
        <f t="shared" si="16"/>
        <v>8.7025840778489254</v>
      </c>
      <c r="P56" s="459">
        <f t="shared" si="17"/>
        <v>5.581447756240201</v>
      </c>
    </row>
    <row r="57" spans="14:16" x14ac:dyDescent="0.25">
      <c r="N57" s="980" t="s">
        <v>155</v>
      </c>
      <c r="O57" s="459">
        <f t="shared" si="16"/>
        <v>8.6843545064319656</v>
      </c>
      <c r="P57" s="459">
        <f t="shared" si="17"/>
        <v>5.4200951405339648</v>
      </c>
    </row>
    <row r="58" spans="14:16" x14ac:dyDescent="0.25">
      <c r="N58" s="980" t="s">
        <v>156</v>
      </c>
      <c r="O58" s="459">
        <f t="shared" si="16"/>
        <v>9.2102011270063144</v>
      </c>
      <c r="P58" s="459">
        <f t="shared" si="17"/>
        <v>6.703677483775019</v>
      </c>
    </row>
    <row r="59" spans="14:16" x14ac:dyDescent="0.25">
      <c r="N59" s="980" t="s">
        <v>157</v>
      </c>
      <c r="O59" s="459">
        <f t="shared" si="16"/>
        <v>9.8347670342884221</v>
      </c>
      <c r="P59" s="459">
        <f t="shared" si="17"/>
        <v>5.6537603270098931</v>
      </c>
    </row>
    <row r="60" spans="14:16" x14ac:dyDescent="0.25">
      <c r="N60" s="980" t="s">
        <v>158</v>
      </c>
      <c r="O60" s="459">
        <f t="shared" si="16"/>
        <v>10.118555763056673</v>
      </c>
      <c r="P60" s="459">
        <f t="shared" si="17"/>
        <v>5.4037809461686521</v>
      </c>
    </row>
    <row r="61" spans="14:16" x14ac:dyDescent="0.25">
      <c r="N61" s="980" t="s">
        <v>159</v>
      </c>
      <c r="O61" s="459">
        <f t="shared" si="16"/>
        <v>10.785887035062256</v>
      </c>
      <c r="P61" s="459">
        <f t="shared" si="17"/>
        <v>6.0487035318323148</v>
      </c>
    </row>
    <row r="62" spans="14:16" x14ac:dyDescent="0.25">
      <c r="N62" s="980" t="s">
        <v>160</v>
      </c>
      <c r="O62" s="459">
        <f t="shared" si="16"/>
        <v>11.813141103914758</v>
      </c>
      <c r="P62" s="459">
        <f t="shared" si="17"/>
        <v>6.4923946475231222</v>
      </c>
    </row>
    <row r="63" spans="14:16" x14ac:dyDescent="0.25">
      <c r="N63" s="980" t="s">
        <v>161</v>
      </c>
      <c r="O63" s="459">
        <f t="shared" si="16"/>
        <v>11.933029674417638</v>
      </c>
      <c r="P63" s="459">
        <f t="shared" si="17"/>
        <v>6.7174837111051282</v>
      </c>
    </row>
    <row r="64" spans="14:16" x14ac:dyDescent="0.25">
      <c r="N64" s="980" t="s">
        <v>205</v>
      </c>
      <c r="O64" s="459">
        <f t="shared" si="16"/>
        <v>13.055122860006383</v>
      </c>
      <c r="P64" s="459">
        <f t="shared" si="17"/>
        <v>7.2263562019802521</v>
      </c>
    </row>
    <row r="65" spans="14:16" x14ac:dyDescent="0.25">
      <c r="N65" s="980" t="s">
        <v>209</v>
      </c>
      <c r="O65" s="459">
        <f t="shared" si="16"/>
        <v>12.999798046403393</v>
      </c>
      <c r="P65" s="459">
        <f t="shared" si="17"/>
        <v>6.8623284465367806</v>
      </c>
    </row>
    <row r="66" spans="14:16" x14ac:dyDescent="0.25">
      <c r="N66" s="980" t="s">
        <v>219</v>
      </c>
      <c r="O66" s="459">
        <f t="shared" si="16"/>
        <v>13.579918199627539</v>
      </c>
      <c r="P66" s="459">
        <f t="shared" si="17"/>
        <v>6.550134616721996</v>
      </c>
    </row>
    <row r="67" spans="14:16" x14ac:dyDescent="0.25">
      <c r="N67" s="980" t="s">
        <v>280</v>
      </c>
      <c r="O67" s="459">
        <f>+F29</f>
        <v>13.997247654672359</v>
      </c>
      <c r="P67" s="459">
        <f>+I29</f>
        <v>6.1601746495097007</v>
      </c>
    </row>
    <row r="68" spans="14:16" x14ac:dyDescent="0.25">
      <c r="N68" s="980" t="s">
        <v>292</v>
      </c>
      <c r="O68" s="459">
        <f>+F30</f>
        <v>14.778011489255359</v>
      </c>
      <c r="P68" s="459">
        <f>+I30</f>
        <v>6.1800525650171405</v>
      </c>
    </row>
    <row r="69" spans="14:16" x14ac:dyDescent="0.25">
      <c r="N69" s="980" t="s">
        <v>296</v>
      </c>
      <c r="O69" s="459">
        <f t="shared" ref="O69" si="18">+F31</f>
        <v>15.165939480098434</v>
      </c>
      <c r="P69" s="459">
        <f t="shared" ref="P69" si="19">+I31</f>
        <v>6.1532648627104196</v>
      </c>
    </row>
    <row r="70" spans="14:16" x14ac:dyDescent="0.25">
      <c r="N70" s="980" t="s">
        <v>297</v>
      </c>
      <c r="O70" s="459">
        <f t="shared" ref="O70:O71" si="20">+F32</f>
        <v>12.289117833773547</v>
      </c>
      <c r="P70" s="459">
        <f t="shared" ref="P70:P71" si="21">+I32</f>
        <v>7.848626215708002</v>
      </c>
    </row>
    <row r="71" spans="14:16" x14ac:dyDescent="0.25">
      <c r="N71" s="438">
        <v>21</v>
      </c>
      <c r="O71" s="459">
        <f t="shared" si="20"/>
        <v>14.789460652520869</v>
      </c>
      <c r="P71" s="459">
        <f t="shared" si="21"/>
        <v>5.8836422426445338</v>
      </c>
    </row>
    <row r="72" spans="14:16" x14ac:dyDescent="0.25">
      <c r="N72" s="438">
        <v>22</v>
      </c>
      <c r="O72" s="459">
        <f t="shared" ref="O72" si="22">+F34</f>
        <v>16.347421721474632</v>
      </c>
      <c r="P72" s="459">
        <f t="shared" ref="P72" si="23">+I34</f>
        <v>6.5018713473942018</v>
      </c>
    </row>
    <row r="73" spans="14:16" x14ac:dyDescent="0.25">
      <c r="N73" s="438">
        <v>23</v>
      </c>
      <c r="O73" s="459">
        <f t="shared" ref="O73" si="24">+F35</f>
        <v>16.966342112450498</v>
      </c>
      <c r="P73" s="459">
        <f t="shared" ref="P73" si="25">+I35</f>
        <v>6.9323567876313898</v>
      </c>
    </row>
  </sheetData>
  <mergeCells count="4">
    <mergeCell ref="B4:B5"/>
    <mergeCell ref="C4:E4"/>
    <mergeCell ref="F4:H4"/>
    <mergeCell ref="I4:K4"/>
  </mergeCells>
  <phoneticPr fontId="8" type="noConversion"/>
  <printOptions horizontalCentered="1" verticalCentered="1"/>
  <pageMargins left="0.66" right="0.64" top="1" bottom="1" header="0" footer="0"/>
  <pageSetup paperSize="9" scale="61" orientation="portrait" r:id="rId1"/>
  <headerFooter alignWithMargins="0"/>
  <ignoredErrors>
    <ignoredError sqref="N12:N25 N50:N68 N69:N70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>
    <pageSetUpPr fitToPage="1"/>
  </sheetPr>
  <dimension ref="A1:O68"/>
  <sheetViews>
    <sheetView showGridLines="0" view="pageBreakPreview" zoomScale="90" zoomScaleNormal="70" zoomScaleSheetLayoutView="90" workbookViewId="0">
      <selection activeCell="O31" sqref="O31"/>
    </sheetView>
  </sheetViews>
  <sheetFormatPr baseColWidth="10" defaultRowHeight="12.75" x14ac:dyDescent="0.2"/>
  <cols>
    <col min="1" max="1" width="2.85546875" customWidth="1"/>
    <col min="2" max="2" width="21.42578125" customWidth="1"/>
    <col min="3" max="3" width="15.7109375" customWidth="1"/>
    <col min="4" max="4" width="6.28515625" customWidth="1"/>
    <col min="5" max="5" width="15.7109375" customWidth="1"/>
    <col min="6" max="6" width="6.85546875" customWidth="1"/>
    <col min="7" max="7" width="15.7109375" customWidth="1"/>
    <col min="8" max="8" width="7" customWidth="1"/>
    <col min="9" max="9" width="15.7109375" customWidth="1"/>
    <col min="10" max="10" width="5.7109375" customWidth="1"/>
    <col min="11" max="11" width="20" customWidth="1"/>
    <col min="12" max="12" width="3.5703125" customWidth="1"/>
    <col min="13" max="13" width="10.7109375" customWidth="1"/>
    <col min="15" max="15" width="18.85546875" bestFit="1" customWidth="1"/>
  </cols>
  <sheetData>
    <row r="1" spans="1:13" ht="15.75" x14ac:dyDescent="0.25">
      <c r="A1" s="126" t="s">
        <v>349</v>
      </c>
      <c r="B1" s="115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ht="15" x14ac:dyDescent="0.25">
      <c r="A2" s="115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3" ht="13.5" thickBot="1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3" x14ac:dyDescent="0.2">
      <c r="A4" s="115"/>
      <c r="B4" s="1039" t="s">
        <v>18</v>
      </c>
      <c r="C4" s="1040" t="s">
        <v>40</v>
      </c>
      <c r="D4" s="1040"/>
      <c r="E4" s="1040" t="s">
        <v>41</v>
      </c>
      <c r="F4" s="1040"/>
      <c r="G4" s="1040" t="s">
        <v>42</v>
      </c>
      <c r="H4" s="1040"/>
      <c r="I4" s="1041" t="s">
        <v>43</v>
      </c>
      <c r="J4" s="1041"/>
      <c r="K4" s="1042" t="s">
        <v>0</v>
      </c>
      <c r="L4" s="115"/>
      <c r="M4" s="1"/>
    </row>
    <row r="5" spans="1:13" ht="13.5" thickBot="1" x14ac:dyDescent="0.25">
      <c r="A5" s="115"/>
      <c r="B5" s="1043"/>
      <c r="C5" s="1044"/>
      <c r="D5" s="1044"/>
      <c r="E5" s="1044"/>
      <c r="F5" s="1044"/>
      <c r="G5" s="1044"/>
      <c r="H5" s="1044"/>
      <c r="I5" s="1045"/>
      <c r="J5" s="1045"/>
      <c r="K5" s="1046"/>
      <c r="L5" s="115"/>
      <c r="M5" s="1"/>
    </row>
    <row r="6" spans="1:13" x14ac:dyDescent="0.2">
      <c r="A6" s="115"/>
      <c r="B6" s="136"/>
      <c r="C6" s="116"/>
      <c r="D6" s="148"/>
      <c r="E6" s="137"/>
      <c r="F6" s="138"/>
      <c r="G6" s="137"/>
      <c r="H6" s="138"/>
      <c r="I6" s="137"/>
      <c r="J6" s="138"/>
      <c r="K6" s="139"/>
      <c r="L6" s="115"/>
      <c r="M6" s="1"/>
    </row>
    <row r="7" spans="1:13" x14ac:dyDescent="0.2">
      <c r="A7" s="115"/>
      <c r="B7" s="151">
        <v>1995</v>
      </c>
      <c r="C7" s="117">
        <v>3963.76629</v>
      </c>
      <c r="D7" s="152">
        <f t="shared" ref="D7:F22" si="0">+C7/$K7</f>
        <v>0.40244321387216575</v>
      </c>
      <c r="E7" s="153">
        <f>1375.844691+872.823814</f>
        <v>2248.6685050000001</v>
      </c>
      <c r="F7" s="154">
        <f t="shared" si="0"/>
        <v>0.22830846065985344</v>
      </c>
      <c r="G7" s="153">
        <v>3154.1445019999996</v>
      </c>
      <c r="H7" s="154">
        <f t="shared" ref="H7:H22" si="1">+G7/$K7</f>
        <v>0.32024190063993446</v>
      </c>
      <c r="I7" s="153">
        <v>482.67683</v>
      </c>
      <c r="J7" s="154">
        <f t="shared" ref="J7:J22" si="2">+I7/$K7</f>
        <v>4.9006424828046305E-2</v>
      </c>
      <c r="K7" s="155">
        <f t="shared" ref="K7:K17" si="3">C7+E7+G7+I7</f>
        <v>9849.2561270000006</v>
      </c>
      <c r="L7" s="115"/>
      <c r="M7" s="1"/>
    </row>
    <row r="8" spans="1:13" x14ac:dyDescent="0.2">
      <c r="A8" s="115"/>
      <c r="B8" s="136">
        <v>1996</v>
      </c>
      <c r="C8" s="116">
        <v>4305.2964009999996</v>
      </c>
      <c r="D8" s="149">
        <f t="shared" si="0"/>
        <v>0.41674407809981401</v>
      </c>
      <c r="E8" s="137">
        <f>1475.713399+875.27503</f>
        <v>2350.988429</v>
      </c>
      <c r="F8" s="138">
        <f t="shared" si="0"/>
        <v>0.2275709763535361</v>
      </c>
      <c r="G8" s="137">
        <v>3185.061631</v>
      </c>
      <c r="H8" s="138">
        <f t="shared" si="1"/>
        <v>0.30830759359422444</v>
      </c>
      <c r="I8" s="137">
        <v>489.44556999999998</v>
      </c>
      <c r="J8" s="138">
        <f t="shared" si="2"/>
        <v>4.7377351952425539E-2</v>
      </c>
      <c r="K8" s="139">
        <f t="shared" si="3"/>
        <v>10330.792030999999</v>
      </c>
      <c r="L8" s="115"/>
      <c r="M8" s="1"/>
    </row>
    <row r="9" spans="1:13" x14ac:dyDescent="0.2">
      <c r="A9" s="115"/>
      <c r="B9" s="151">
        <v>1997</v>
      </c>
      <c r="C9" s="117">
        <v>6058.1311180000002</v>
      </c>
      <c r="D9" s="152">
        <f t="shared" si="0"/>
        <v>0.48654878927923489</v>
      </c>
      <c r="E9" s="153">
        <v>2480.103368</v>
      </c>
      <c r="F9" s="154">
        <f t="shared" si="0"/>
        <v>0.19918540346583377</v>
      </c>
      <c r="G9" s="153">
        <f>3385523/1000</f>
        <v>3385.5230000000001</v>
      </c>
      <c r="H9" s="154">
        <f t="shared" si="1"/>
        <v>0.27190268494400111</v>
      </c>
      <c r="I9" s="153">
        <f>527473/1000</f>
        <v>527.47299999999996</v>
      </c>
      <c r="J9" s="154">
        <f t="shared" si="2"/>
        <v>4.2363122310930118E-2</v>
      </c>
      <c r="K9" s="155">
        <f t="shared" si="3"/>
        <v>12451.230486000002</v>
      </c>
      <c r="L9" s="115"/>
      <c r="M9" s="1"/>
    </row>
    <row r="10" spans="1:13" x14ac:dyDescent="0.2">
      <c r="A10" s="115"/>
      <c r="B10" s="136">
        <v>1998</v>
      </c>
      <c r="C10" s="116">
        <v>7473.8484369999996</v>
      </c>
      <c r="D10" s="149">
        <f t="shared" si="0"/>
        <v>0.53351684451584092</v>
      </c>
      <c r="E10" s="137">
        <v>2360.432139</v>
      </c>
      <c r="F10" s="138">
        <f t="shared" si="0"/>
        <v>0.1684982398436958</v>
      </c>
      <c r="G10" s="137">
        <v>3639.3</v>
      </c>
      <c r="H10" s="138">
        <f t="shared" si="1"/>
        <v>0.2597895673980069</v>
      </c>
      <c r="I10" s="137">
        <v>535.06510000000003</v>
      </c>
      <c r="J10" s="138">
        <f t="shared" si="2"/>
        <v>3.819534824245633E-2</v>
      </c>
      <c r="K10" s="139">
        <f t="shared" si="3"/>
        <v>14008.645676</v>
      </c>
      <c r="L10" s="115"/>
      <c r="M10" s="1"/>
    </row>
    <row r="11" spans="1:13" x14ac:dyDescent="0.2">
      <c r="A11" s="115"/>
      <c r="B11" s="151">
        <v>1999</v>
      </c>
      <c r="C11" s="117">
        <v>7855.6</v>
      </c>
      <c r="D11" s="152">
        <f t="shared" si="0"/>
        <v>0.53835347007586398</v>
      </c>
      <c r="E11" s="153">
        <v>2420.3000000000002</v>
      </c>
      <c r="F11" s="154">
        <f t="shared" si="0"/>
        <v>0.16586599414743797</v>
      </c>
      <c r="G11" s="153">
        <v>3772.7</v>
      </c>
      <c r="H11" s="154">
        <f t="shared" si="1"/>
        <v>0.25854755035327814</v>
      </c>
      <c r="I11" s="153">
        <v>543.29999999999995</v>
      </c>
      <c r="J11" s="154">
        <f t="shared" si="2"/>
        <v>3.7232985423419837E-2</v>
      </c>
      <c r="K11" s="155">
        <f t="shared" si="3"/>
        <v>14591.900000000001</v>
      </c>
      <c r="L11" s="115"/>
      <c r="M11" s="1"/>
    </row>
    <row r="12" spans="1:13" x14ac:dyDescent="0.2">
      <c r="A12" s="115"/>
      <c r="B12" s="136">
        <v>2000</v>
      </c>
      <c r="C12" s="116">
        <v>8375.0166531150007</v>
      </c>
      <c r="D12" s="149">
        <f t="shared" si="0"/>
        <v>0.53873886329622889</v>
      </c>
      <c r="E12" s="137">
        <v>2693.3458028849996</v>
      </c>
      <c r="F12" s="138">
        <f t="shared" si="0"/>
        <v>0.17325458759180443</v>
      </c>
      <c r="G12" s="137">
        <v>3936.241469000001</v>
      </c>
      <c r="H12" s="138">
        <f t="shared" si="1"/>
        <v>0.2532062134921011</v>
      </c>
      <c r="I12" s="137">
        <v>540.99195400000008</v>
      </c>
      <c r="J12" s="138">
        <f t="shared" si="2"/>
        <v>3.4800335619865633E-2</v>
      </c>
      <c r="K12" s="139">
        <f t="shared" si="3"/>
        <v>15545.595879</v>
      </c>
      <c r="L12" s="115"/>
      <c r="M12" s="1"/>
    </row>
    <row r="13" spans="1:13" x14ac:dyDescent="0.2">
      <c r="A13" s="115"/>
      <c r="B13" s="151">
        <v>2001</v>
      </c>
      <c r="C13" s="117">
        <v>9280.5600399650011</v>
      </c>
      <c r="D13" s="152">
        <f t="shared" si="0"/>
        <v>0.55810313446573678</v>
      </c>
      <c r="E13" s="153">
        <v>2762.2040670349998</v>
      </c>
      <c r="F13" s="154">
        <f t="shared" si="0"/>
        <v>0.16611009908967231</v>
      </c>
      <c r="G13" s="153">
        <v>4043.9688309999992</v>
      </c>
      <c r="H13" s="154">
        <f t="shared" si="1"/>
        <v>0.24319132364250642</v>
      </c>
      <c r="I13" s="153">
        <v>542.02161799999999</v>
      </c>
      <c r="J13" s="154">
        <f t="shared" si="2"/>
        <v>3.2595442802084498E-2</v>
      </c>
      <c r="K13" s="155">
        <f t="shared" si="3"/>
        <v>16628.754556</v>
      </c>
      <c r="L13" s="115"/>
      <c r="M13" s="1"/>
    </row>
    <row r="14" spans="1:13" x14ac:dyDescent="0.2">
      <c r="A14" s="115"/>
      <c r="B14" s="136">
        <v>2002</v>
      </c>
      <c r="C14" s="116">
        <v>9567.6060768480002</v>
      </c>
      <c r="D14" s="149">
        <f t="shared" si="0"/>
        <v>0.54344953051192524</v>
      </c>
      <c r="E14" s="137">
        <v>3013.1152699999998</v>
      </c>
      <c r="F14" s="138">
        <f t="shared" si="0"/>
        <v>0.17114794084407697</v>
      </c>
      <c r="G14" s="137">
        <v>4464.8754000000008</v>
      </c>
      <c r="H14" s="138">
        <f t="shared" si="1"/>
        <v>0.25360935854119337</v>
      </c>
      <c r="I14" s="137">
        <v>559.72912000000008</v>
      </c>
      <c r="J14" s="138">
        <f t="shared" si="2"/>
        <v>3.1793170102804358E-2</v>
      </c>
      <c r="K14" s="139">
        <f t="shared" si="3"/>
        <v>17605.325866848001</v>
      </c>
      <c r="L14" s="115"/>
      <c r="M14" s="1"/>
    </row>
    <row r="15" spans="1:13" x14ac:dyDescent="0.2">
      <c r="A15" s="115"/>
      <c r="B15" s="151">
        <v>2003</v>
      </c>
      <c r="C15" s="117">
        <v>10038.680803439998</v>
      </c>
      <c r="D15" s="152">
        <f t="shared" si="0"/>
        <v>0.54631279745128047</v>
      </c>
      <c r="E15" s="153">
        <v>3341.0911065599998</v>
      </c>
      <c r="F15" s="154">
        <f t="shared" si="0"/>
        <v>0.18182477007725067</v>
      </c>
      <c r="G15" s="153">
        <v>4425.3378269999994</v>
      </c>
      <c r="H15" s="154">
        <f t="shared" si="1"/>
        <v>0.24083031777510891</v>
      </c>
      <c r="I15" s="153">
        <v>570.22551099999998</v>
      </c>
      <c r="J15" s="154">
        <f t="shared" si="2"/>
        <v>3.1032114696359851E-2</v>
      </c>
      <c r="K15" s="155">
        <f t="shared" si="3"/>
        <v>18375.335247999999</v>
      </c>
      <c r="L15" s="115"/>
      <c r="M15" s="1"/>
    </row>
    <row r="16" spans="1:13" x14ac:dyDescent="0.2">
      <c r="A16" s="115"/>
      <c r="B16" s="136">
        <v>2004</v>
      </c>
      <c r="C16" s="116">
        <v>11074.758817645607</v>
      </c>
      <c r="D16" s="149">
        <f t="shared" si="0"/>
        <v>0.5638692299771525</v>
      </c>
      <c r="E16" s="137">
        <v>3243.4254471762724</v>
      </c>
      <c r="F16" s="138">
        <f t="shared" si="0"/>
        <v>0.16513838716502063</v>
      </c>
      <c r="G16" s="137">
        <v>4720.0091641781228</v>
      </c>
      <c r="H16" s="138">
        <f t="shared" si="1"/>
        <v>0.24031836509610105</v>
      </c>
      <c r="I16" s="137">
        <v>602.45768099999987</v>
      </c>
      <c r="J16" s="138">
        <f t="shared" si="2"/>
        <v>3.0674017761725812E-2</v>
      </c>
      <c r="K16" s="139">
        <f t="shared" si="3"/>
        <v>19640.651110000003</v>
      </c>
      <c r="L16" s="115"/>
      <c r="M16" s="1"/>
    </row>
    <row r="17" spans="1:13" x14ac:dyDescent="0.2">
      <c r="A17" s="115"/>
      <c r="B17" s="151">
        <v>2005</v>
      </c>
      <c r="C17" s="117">
        <v>11588.277687039452</v>
      </c>
      <c r="D17" s="152">
        <f t="shared" si="0"/>
        <v>0.55978278137692483</v>
      </c>
      <c r="E17" s="153">
        <v>3460.3428933112218</v>
      </c>
      <c r="F17" s="154">
        <f t="shared" si="0"/>
        <v>0.16715515641310993</v>
      </c>
      <c r="G17" s="153">
        <v>5020.7356088993247</v>
      </c>
      <c r="H17" s="154">
        <f t="shared" si="1"/>
        <v>0.2425314114496214</v>
      </c>
      <c r="I17" s="153">
        <v>632.02669097222224</v>
      </c>
      <c r="J17" s="154">
        <f t="shared" si="2"/>
        <v>3.053065076034368E-2</v>
      </c>
      <c r="K17" s="155">
        <f t="shared" si="3"/>
        <v>20701.382880222223</v>
      </c>
      <c r="L17" s="115"/>
      <c r="M17" s="1"/>
    </row>
    <row r="18" spans="1:13" x14ac:dyDescent="0.2">
      <c r="A18" s="115"/>
      <c r="B18" s="136">
        <v>2006</v>
      </c>
      <c r="C18" s="116">
        <v>12481.42189750605</v>
      </c>
      <c r="D18" s="149">
        <f t="shared" si="0"/>
        <v>0.55995458297906853</v>
      </c>
      <c r="E18" s="137">
        <v>3760.3484728262438</v>
      </c>
      <c r="F18" s="138">
        <f t="shared" si="0"/>
        <v>0.16870067995843707</v>
      </c>
      <c r="G18" s="137">
        <v>5404.368964667703</v>
      </c>
      <c r="H18" s="138">
        <f t="shared" si="1"/>
        <v>0.24245644404346256</v>
      </c>
      <c r="I18" s="137">
        <v>643.9218179999998</v>
      </c>
      <c r="J18" s="138">
        <f t="shared" si="2"/>
        <v>2.8888293019031713E-2</v>
      </c>
      <c r="K18" s="139">
        <f t="shared" ref="K18:K25" si="4">C18+E18+G18+I18</f>
        <v>22290.061152999999</v>
      </c>
      <c r="L18" s="115"/>
      <c r="M18" s="1"/>
    </row>
    <row r="19" spans="1:13" x14ac:dyDescent="0.2">
      <c r="A19" s="115"/>
      <c r="B19" s="151">
        <v>2007</v>
      </c>
      <c r="C19" s="117">
        <v>14165.658529274375</v>
      </c>
      <c r="D19" s="152">
        <f t="shared" si="0"/>
        <v>0.57300390783059563</v>
      </c>
      <c r="E19" s="153">
        <v>4023.5192699368326</v>
      </c>
      <c r="F19" s="154">
        <f t="shared" si="0"/>
        <v>0.16275221234092582</v>
      </c>
      <c r="G19" s="153">
        <v>5877.1253377887997</v>
      </c>
      <c r="H19" s="154">
        <f t="shared" si="1"/>
        <v>0.23773097300092091</v>
      </c>
      <c r="I19" s="153">
        <v>655.44541600000002</v>
      </c>
      <c r="J19" s="154">
        <f t="shared" si="2"/>
        <v>2.6512906827557761E-2</v>
      </c>
      <c r="K19" s="155">
        <f t="shared" si="4"/>
        <v>24721.748553000005</v>
      </c>
      <c r="L19" s="115"/>
      <c r="M19" s="1"/>
    </row>
    <row r="20" spans="1:13" x14ac:dyDescent="0.2">
      <c r="A20" s="115"/>
      <c r="B20" s="136">
        <v>2008</v>
      </c>
      <c r="C20" s="116">
        <v>15437.253867346535</v>
      </c>
      <c r="D20" s="149">
        <f t="shared" si="0"/>
        <v>0.57250469178131325</v>
      </c>
      <c r="E20" s="137">
        <v>4494.8960123117677</v>
      </c>
      <c r="F20" s="138">
        <f t="shared" si="0"/>
        <v>0.16669733349147337</v>
      </c>
      <c r="G20" s="137">
        <v>6357.3192643417178</v>
      </c>
      <c r="H20" s="138">
        <f t="shared" si="1"/>
        <v>0.2357670047576253</v>
      </c>
      <c r="I20" s="137">
        <v>674.94545200000016</v>
      </c>
      <c r="J20" s="138">
        <f t="shared" si="2"/>
        <v>2.5030969969588122E-2</v>
      </c>
      <c r="K20" s="139">
        <f t="shared" si="4"/>
        <v>26964.414596000021</v>
      </c>
      <c r="L20" s="115"/>
      <c r="M20" s="1"/>
    </row>
    <row r="21" spans="1:13" x14ac:dyDescent="0.2">
      <c r="A21" s="115"/>
      <c r="B21" s="151">
        <v>2009</v>
      </c>
      <c r="C21" s="117">
        <v>14942.95020594519</v>
      </c>
      <c r="D21" s="152">
        <f t="shared" si="0"/>
        <v>0.55166489529948282</v>
      </c>
      <c r="E21" s="153">
        <v>4815.0810091037401</v>
      </c>
      <c r="F21" s="154">
        <f t="shared" si="0"/>
        <v>0.1777635021288437</v>
      </c>
      <c r="G21" s="153">
        <v>6644.5992379510635</v>
      </c>
      <c r="H21" s="154">
        <f t="shared" si="1"/>
        <v>0.24530578583156273</v>
      </c>
      <c r="I21" s="153">
        <v>684.37532399999998</v>
      </c>
      <c r="J21" s="154">
        <f t="shared" si="2"/>
        <v>2.5265816740110636E-2</v>
      </c>
      <c r="K21" s="155">
        <f t="shared" si="4"/>
        <v>27087.005776999995</v>
      </c>
      <c r="L21" s="115"/>
      <c r="M21" s="1"/>
    </row>
    <row r="22" spans="1:13" x14ac:dyDescent="0.2">
      <c r="A22" s="115"/>
      <c r="B22" s="136">
        <v>2010</v>
      </c>
      <c r="C22" s="116">
        <v>16434.708415297537</v>
      </c>
      <c r="D22" s="149">
        <f t="shared" si="0"/>
        <v>0.55831670881377293</v>
      </c>
      <c r="E22" s="137">
        <v>5205.8243711895484</v>
      </c>
      <c r="F22" s="138">
        <f t="shared" si="0"/>
        <v>0.17685125017975306</v>
      </c>
      <c r="G22" s="137">
        <v>7086.2453335129212</v>
      </c>
      <c r="H22" s="138">
        <f t="shared" si="1"/>
        <v>0.24073254434932814</v>
      </c>
      <c r="I22" s="137">
        <v>709.39700400000015</v>
      </c>
      <c r="J22" s="138">
        <f t="shared" si="2"/>
        <v>2.4099496657145926E-2</v>
      </c>
      <c r="K22" s="139">
        <f t="shared" si="4"/>
        <v>29436.175124000005</v>
      </c>
      <c r="L22" s="115"/>
      <c r="M22" s="1"/>
    </row>
    <row r="23" spans="1:13" x14ac:dyDescent="0.2">
      <c r="A23" s="115"/>
      <c r="B23" s="151">
        <v>2011</v>
      </c>
      <c r="C23" s="117">
        <v>17841.423398594416</v>
      </c>
      <c r="D23" s="152">
        <f t="shared" ref="D23:D29" si="5">+C23/$K23</f>
        <v>0.56069222830975718</v>
      </c>
      <c r="E23" s="153">
        <v>5563.1179861174478</v>
      </c>
      <c r="F23" s="154">
        <f t="shared" ref="F23:F29" si="6">+E23/$K23</f>
        <v>0.17482893322468979</v>
      </c>
      <c r="G23" s="153">
        <v>7663.0902881815</v>
      </c>
      <c r="H23" s="154">
        <f t="shared" ref="H23:H29" si="7">+G23/$K23</f>
        <v>0.24082356398525034</v>
      </c>
      <c r="I23" s="153">
        <v>752.71913235773729</v>
      </c>
      <c r="J23" s="154">
        <f t="shared" ref="J23:J29" si="8">+I23/$K23</f>
        <v>2.3655274480302746E-2</v>
      </c>
      <c r="K23" s="155">
        <f t="shared" si="4"/>
        <v>31820.350805251099</v>
      </c>
      <c r="L23" s="115"/>
      <c r="M23" s="1"/>
    </row>
    <row r="24" spans="1:13" x14ac:dyDescent="0.2">
      <c r="A24" s="115"/>
      <c r="B24" s="136">
        <v>2012</v>
      </c>
      <c r="C24" s="116">
        <v>18690.461999999996</v>
      </c>
      <c r="D24" s="149">
        <f t="shared" si="5"/>
        <v>0.55546715059171381</v>
      </c>
      <c r="E24" s="137">
        <v>6061.7719999999999</v>
      </c>
      <c r="F24" s="138">
        <f t="shared" si="6"/>
        <v>0.18015152436449322</v>
      </c>
      <c r="G24" s="137">
        <v>8110.4380000000001</v>
      </c>
      <c r="H24" s="138">
        <f t="shared" si="7"/>
        <v>0.24103641129420764</v>
      </c>
      <c r="I24" s="137">
        <v>785.51400000000012</v>
      </c>
      <c r="J24" s="138">
        <f t="shared" si="8"/>
        <v>2.3344913749585194E-2</v>
      </c>
      <c r="K24" s="139">
        <f t="shared" si="4"/>
        <v>33648.186000000002</v>
      </c>
      <c r="L24" s="115"/>
      <c r="M24" s="1"/>
    </row>
    <row r="25" spans="1:13" x14ac:dyDescent="0.2">
      <c r="A25" s="115"/>
      <c r="B25" s="151">
        <v>2013</v>
      </c>
      <c r="C25" s="117">
        <v>19214.618997431797</v>
      </c>
      <c r="D25" s="152">
        <f t="shared" si="5"/>
        <v>0.53959018242131329</v>
      </c>
      <c r="E25" s="153">
        <v>6760.1032092000005</v>
      </c>
      <c r="F25" s="154">
        <f t="shared" si="6"/>
        <v>0.18983906599067507</v>
      </c>
      <c r="G25" s="153">
        <v>8757.8845147454758</v>
      </c>
      <c r="H25" s="154">
        <f t="shared" si="7"/>
        <v>0.24594130664614966</v>
      </c>
      <c r="I25" s="153">
        <v>877.0459806227276</v>
      </c>
      <c r="J25" s="154">
        <f t="shared" si="8"/>
        <v>2.4629444941861749E-2</v>
      </c>
      <c r="K25" s="155">
        <f t="shared" si="4"/>
        <v>35609.652702000007</v>
      </c>
      <c r="L25" s="115"/>
      <c r="M25" s="1"/>
    </row>
    <row r="26" spans="1:13" x14ac:dyDescent="0.2">
      <c r="A26" s="115"/>
      <c r="B26" s="136">
        <v>2014</v>
      </c>
      <c r="C26" s="116">
        <f>20737.1722222699+1.975936</f>
        <v>20739.148158269898</v>
      </c>
      <c r="D26" s="149">
        <f t="shared" si="5"/>
        <v>0.55559558667244568</v>
      </c>
      <c r="E26" s="137">
        <v>6802.8150635601469</v>
      </c>
      <c r="F26" s="138">
        <f t="shared" si="6"/>
        <v>0.1822453843050299</v>
      </c>
      <c r="G26" s="137">
        <v>8920.5096610756154</v>
      </c>
      <c r="H26" s="138">
        <f t="shared" si="7"/>
        <v>0.23897779025153471</v>
      </c>
      <c r="I26" s="137">
        <v>865.30411129276445</v>
      </c>
      <c r="J26" s="138">
        <f t="shared" si="8"/>
        <v>2.318123877098955E-2</v>
      </c>
      <c r="K26" s="139">
        <f>C26+E26+G26+I26</f>
        <v>37327.77699419843</v>
      </c>
      <c r="L26" s="115"/>
      <c r="M26" s="1"/>
    </row>
    <row r="27" spans="1:13" x14ac:dyDescent="0.2">
      <c r="A27" s="115"/>
      <c r="B27" s="151">
        <v>2015</v>
      </c>
      <c r="C27" s="117">
        <v>22440.162</v>
      </c>
      <c r="D27" s="152">
        <f t="shared" si="5"/>
        <v>0.56418117138582446</v>
      </c>
      <c r="E27" s="153">
        <v>7201.7056000000002</v>
      </c>
      <c r="F27" s="154">
        <f t="shared" si="6"/>
        <v>0.18106227135899697</v>
      </c>
      <c r="G27" s="153">
        <v>9177.1515000000018</v>
      </c>
      <c r="H27" s="154">
        <f t="shared" si="7"/>
        <v>0.23072810629687865</v>
      </c>
      <c r="I27" s="153">
        <v>955.7254999999999</v>
      </c>
      <c r="J27" s="154">
        <f t="shared" si="8"/>
        <v>2.40284509582998E-2</v>
      </c>
      <c r="K27" s="155">
        <f>C27+E27+G27+I27</f>
        <v>39774.744600000005</v>
      </c>
      <c r="L27" s="115"/>
      <c r="M27" s="1"/>
    </row>
    <row r="28" spans="1:13" x14ac:dyDescent="0.2">
      <c r="A28" s="115"/>
      <c r="B28" s="140">
        <v>2016</v>
      </c>
      <c r="C28" s="116">
        <v>25483.049576663041</v>
      </c>
      <c r="D28" s="149">
        <f t="shared" si="5"/>
        <v>0.58761385614010808</v>
      </c>
      <c r="E28" s="137">
        <v>7558.3953055872307</v>
      </c>
      <c r="F28" s="138">
        <f t="shared" si="6"/>
        <v>0.17428910140389087</v>
      </c>
      <c r="G28" s="137">
        <v>9360.7744521665827</v>
      </c>
      <c r="H28" s="138">
        <f t="shared" si="7"/>
        <v>0.21585017741882431</v>
      </c>
      <c r="I28" s="137">
        <v>964.77977628310441</v>
      </c>
      <c r="J28" s="138">
        <f t="shared" si="8"/>
        <v>2.2246865037176711E-2</v>
      </c>
      <c r="K28" s="139">
        <f>C28+E28+G28+I28</f>
        <v>43366.999110699959</v>
      </c>
      <c r="L28" s="115"/>
      <c r="M28" s="1"/>
    </row>
    <row r="29" spans="1:13" x14ac:dyDescent="0.2">
      <c r="A29" s="115"/>
      <c r="B29" s="212">
        <v>2017</v>
      </c>
      <c r="C29" s="117">
        <v>26022.125011752887</v>
      </c>
      <c r="D29" s="152">
        <f t="shared" si="5"/>
        <v>0.5884262996047811</v>
      </c>
      <c r="E29" s="153">
        <v>7624.0574832144757</v>
      </c>
      <c r="F29" s="154">
        <f t="shared" si="6"/>
        <v>0.17239929217140587</v>
      </c>
      <c r="G29" s="153">
        <v>9614.2816077234274</v>
      </c>
      <c r="H29" s="154">
        <f t="shared" si="7"/>
        <v>0.21740331149880671</v>
      </c>
      <c r="I29" s="153">
        <v>962.7887145791899</v>
      </c>
      <c r="J29" s="154">
        <f t="shared" si="8"/>
        <v>2.177109672500625E-2</v>
      </c>
      <c r="K29" s="155">
        <f>C29+E29+G29+I29</f>
        <v>44223.252817269982</v>
      </c>
      <c r="L29" s="115"/>
      <c r="M29" s="1"/>
    </row>
    <row r="30" spans="1:13" x14ac:dyDescent="0.2">
      <c r="A30" s="115"/>
      <c r="B30" s="140">
        <v>2018</v>
      </c>
      <c r="C30" s="116">
        <v>27133.007183966703</v>
      </c>
      <c r="D30" s="149">
        <f>+C30/$K30</f>
        <v>0.59154819668476022</v>
      </c>
      <c r="E30" s="137">
        <v>7797.5141442171644</v>
      </c>
      <c r="F30" s="138">
        <f>+E30/$K30</f>
        <v>0.16999978658322959</v>
      </c>
      <c r="G30" s="137">
        <v>9904.6664415354062</v>
      </c>
      <c r="H30" s="138">
        <f>+G30/$K30</f>
        <v>0.21593948405824151</v>
      </c>
      <c r="I30" s="137">
        <v>1032.6000724708028</v>
      </c>
      <c r="J30" s="138">
        <f>+I30/$K30</f>
        <v>2.2512532673768879E-2</v>
      </c>
      <c r="K30" s="139">
        <f>C30+E30+G30+I30</f>
        <v>45867.787842190068</v>
      </c>
      <c r="L30" s="115"/>
      <c r="M30" s="1"/>
    </row>
    <row r="31" spans="1:13" x14ac:dyDescent="0.2">
      <c r="A31" s="115"/>
      <c r="B31" s="212">
        <v>2019</v>
      </c>
      <c r="C31" s="117">
        <v>28004.48880091</v>
      </c>
      <c r="D31" s="152">
        <f t="shared" ref="D31:D35" si="9">+C31/$K31</f>
        <v>0.59055362758708296</v>
      </c>
      <c r="E31" s="153">
        <v>8122.9008766600236</v>
      </c>
      <c r="F31" s="154">
        <f t="shared" ref="F31:F35" si="10">+E31/$K31</f>
        <v>0.17129427404816602</v>
      </c>
      <c r="G31" s="153">
        <v>10186.869619900006</v>
      </c>
      <c r="H31" s="154">
        <f t="shared" ref="H31:H35" si="11">+G31/$K31</f>
        <v>0.21481887602222943</v>
      </c>
      <c r="I31" s="153">
        <v>1106.4786215099998</v>
      </c>
      <c r="J31" s="154">
        <f t="shared" ref="J31:J34" si="12">+I31/$K31</f>
        <v>2.3333222342521467E-2</v>
      </c>
      <c r="K31" s="155">
        <f t="shared" ref="K31:K34" si="13">C31+E31+G31+I31</f>
        <v>47420.737918980034</v>
      </c>
      <c r="L31" s="115"/>
      <c r="M31" s="1"/>
    </row>
    <row r="32" spans="1:13" x14ac:dyDescent="0.2">
      <c r="A32" s="115"/>
      <c r="B32" s="140">
        <v>2020</v>
      </c>
      <c r="C32" s="116">
        <v>25333.041677940018</v>
      </c>
      <c r="D32" s="149">
        <f t="shared" si="9"/>
        <v>0.57902679965994186</v>
      </c>
      <c r="E32" s="137">
        <v>7035.4279755799917</v>
      </c>
      <c r="F32" s="138">
        <f t="shared" si="10"/>
        <v>0.16080585176968623</v>
      </c>
      <c r="G32" s="137">
        <v>10260.323185790006</v>
      </c>
      <c r="H32" s="138">
        <f t="shared" si="11"/>
        <v>0.2345159406151415</v>
      </c>
      <c r="I32" s="137">
        <v>1122.276528840001</v>
      </c>
      <c r="J32" s="138">
        <f t="shared" si="12"/>
        <v>2.5651407955230413E-2</v>
      </c>
      <c r="K32" s="139">
        <f t="shared" si="13"/>
        <v>43751.06936815002</v>
      </c>
      <c r="L32" s="115"/>
      <c r="M32" s="1"/>
    </row>
    <row r="33" spans="1:15" x14ac:dyDescent="0.2">
      <c r="A33" s="115"/>
      <c r="B33" s="212">
        <v>2021</v>
      </c>
      <c r="C33" s="117">
        <v>28970.630198329949</v>
      </c>
      <c r="D33" s="152">
        <f t="shared" si="9"/>
        <v>0.60287977150205163</v>
      </c>
      <c r="E33" s="153">
        <v>7388.229548409995</v>
      </c>
      <c r="F33" s="154">
        <f t="shared" si="10"/>
        <v>0.15374930098023526</v>
      </c>
      <c r="G33" s="153">
        <v>10550.053065859998</v>
      </c>
      <c r="H33" s="154">
        <f t="shared" si="11"/>
        <v>0.21954695283248793</v>
      </c>
      <c r="I33" s="153">
        <v>1144.83118042</v>
      </c>
      <c r="J33" s="154">
        <f t="shared" ref="J33:J35" si="14">+I33/$K33</f>
        <v>2.3823974685225208E-2</v>
      </c>
      <c r="K33" s="155">
        <f t="shared" ref="K33:K35" si="15">C33+E33+G33+I33</f>
        <v>48053.74399301994</v>
      </c>
      <c r="L33" s="115"/>
      <c r="M33" s="1"/>
      <c r="O33" s="321"/>
    </row>
    <row r="34" spans="1:15" x14ac:dyDescent="0.2">
      <c r="A34" s="115"/>
      <c r="B34" s="140">
        <v>2022</v>
      </c>
      <c r="C34" s="116">
        <v>30643.095136260043</v>
      </c>
      <c r="D34" s="149">
        <f t="shared" si="9"/>
        <v>0.60759904472754833</v>
      </c>
      <c r="E34" s="137">
        <v>8015.7974521200113</v>
      </c>
      <c r="F34" s="138">
        <f t="shared" si="10"/>
        <v>0.15893926031233346</v>
      </c>
      <c r="G34" s="137">
        <v>10606.353907180015</v>
      </c>
      <c r="H34" s="138">
        <f t="shared" si="11"/>
        <v>0.21030546925461169</v>
      </c>
      <c r="I34" s="137">
        <v>1167.8399323500005</v>
      </c>
      <c r="J34" s="138">
        <f t="shared" si="12"/>
        <v>2.3156225705506465E-2</v>
      </c>
      <c r="K34" s="139">
        <f t="shared" si="13"/>
        <v>50433.086427910072</v>
      </c>
      <c r="L34" s="115"/>
      <c r="M34" s="1"/>
      <c r="O34" s="321"/>
    </row>
    <row r="35" spans="1:15" x14ac:dyDescent="0.2">
      <c r="A35" s="115"/>
      <c r="B35" s="981">
        <v>2023</v>
      </c>
      <c r="C35" s="117">
        <v>31676.093374700053</v>
      </c>
      <c r="D35" s="152">
        <f t="shared" si="9"/>
        <v>0.6019442192637916</v>
      </c>
      <c r="E35" s="153">
        <v>8842.6108452500139</v>
      </c>
      <c r="F35" s="154">
        <f t="shared" si="10"/>
        <v>0.16803708773471684</v>
      </c>
      <c r="G35" s="153">
        <v>10940.481221620026</v>
      </c>
      <c r="H35" s="154">
        <f t="shared" si="11"/>
        <v>0.20790314479178099</v>
      </c>
      <c r="I35" s="153">
        <v>1163.7858587299993</v>
      </c>
      <c r="J35" s="154">
        <f t="shared" si="14"/>
        <v>2.2115548209710508E-2</v>
      </c>
      <c r="K35" s="155">
        <f t="shared" si="15"/>
        <v>52622.971300300094</v>
      </c>
      <c r="L35" s="115"/>
      <c r="M35" s="1"/>
      <c r="O35" s="321"/>
    </row>
    <row r="36" spans="1:15" ht="13.5" thickBot="1" x14ac:dyDescent="0.25">
      <c r="A36" s="115"/>
      <c r="B36" s="141"/>
      <c r="C36" s="147"/>
      <c r="D36" s="150"/>
      <c r="E36" s="142"/>
      <c r="F36" s="143"/>
      <c r="G36" s="142"/>
      <c r="H36" s="138"/>
      <c r="I36" s="142"/>
      <c r="J36" s="138"/>
      <c r="K36" s="144"/>
      <c r="L36" s="115"/>
      <c r="M36" s="1"/>
    </row>
    <row r="37" spans="1:15" x14ac:dyDescent="0.2">
      <c r="A37" s="115"/>
      <c r="B37" s="156" t="s">
        <v>326</v>
      </c>
      <c r="C37" s="158">
        <f>(C35/C34)-1</f>
        <v>3.3710636404272964E-2</v>
      </c>
      <c r="D37" s="159"/>
      <c r="E37" s="160">
        <f>(E35/E34)-1</f>
        <v>0.10314798971265526</v>
      </c>
      <c r="F37" s="161"/>
      <c r="G37" s="160">
        <f>(G35/G34)-1</f>
        <v>3.1502561329187939E-2</v>
      </c>
      <c r="H37" s="161"/>
      <c r="I37" s="160">
        <f>(I35/I34)-1</f>
        <v>-3.4714291810893361E-3</v>
      </c>
      <c r="J37" s="161"/>
      <c r="K37" s="162">
        <f>(K35/K34)-1</f>
        <v>4.342159140944668E-2</v>
      </c>
      <c r="L37" s="132"/>
      <c r="M37" s="1"/>
    </row>
    <row r="38" spans="1:15" x14ac:dyDescent="0.2">
      <c r="A38" s="115"/>
      <c r="B38" s="145" t="s">
        <v>327</v>
      </c>
      <c r="C38" s="163">
        <f>((C35/C30)^(1/5))-1</f>
        <v>3.1446572258899019E-2</v>
      </c>
      <c r="D38" s="164"/>
      <c r="E38" s="165">
        <f>((E35/E30)^(1/5))-1</f>
        <v>2.5474506681611775E-2</v>
      </c>
      <c r="F38" s="166"/>
      <c r="G38" s="165">
        <f>((G35/G30)^(1/5))-1</f>
        <v>2.0091935331115973E-2</v>
      </c>
      <c r="H38" s="166"/>
      <c r="I38" s="165">
        <f>((I35/I30)^(1/5))-1</f>
        <v>2.4208049904340445E-2</v>
      </c>
      <c r="J38" s="166"/>
      <c r="K38" s="167">
        <f>((K35/K30)^(1/5))-1</f>
        <v>2.7858932144221749E-2</v>
      </c>
      <c r="L38" s="132"/>
      <c r="M38" s="1"/>
    </row>
    <row r="39" spans="1:15" x14ac:dyDescent="0.2">
      <c r="A39" s="115"/>
      <c r="B39" s="157" t="s">
        <v>328</v>
      </c>
      <c r="C39" s="168">
        <f>(C35/C25)-1</f>
        <v>0.6485413204880015</v>
      </c>
      <c r="D39" s="169"/>
      <c r="E39" s="170">
        <f>(E35/E25)-1</f>
        <v>0.30805855644568769</v>
      </c>
      <c r="F39" s="171"/>
      <c r="G39" s="170">
        <f>(G35/G25)-1</f>
        <v>0.24921505909329533</v>
      </c>
      <c r="H39" s="171"/>
      <c r="I39" s="170">
        <f>(I35/I25)-1</f>
        <v>0.3269382500375615</v>
      </c>
      <c r="J39" s="171"/>
      <c r="K39" s="172">
        <f>(K35/K25)-1</f>
        <v>0.47777266295395626</v>
      </c>
      <c r="L39" s="132"/>
      <c r="M39" s="1"/>
    </row>
    <row r="40" spans="1:15" ht="13.5" thickBot="1" x14ac:dyDescent="0.25">
      <c r="A40" s="115"/>
      <c r="B40" s="146" t="s">
        <v>329</v>
      </c>
      <c r="C40" s="173">
        <f>((C35/C25)^(1/10))-1</f>
        <v>5.1259621680314282E-2</v>
      </c>
      <c r="D40" s="174"/>
      <c r="E40" s="175">
        <f>((E35/E25)^(1/10))-1</f>
        <v>2.7218230950749156E-2</v>
      </c>
      <c r="F40" s="176"/>
      <c r="G40" s="175">
        <f>((G35/G25)^(1/10))-1</f>
        <v>2.2500952152009646E-2</v>
      </c>
      <c r="H40" s="176"/>
      <c r="I40" s="175">
        <f>((I35/I25)^(1/10))-1</f>
        <v>2.869131052683116E-2</v>
      </c>
      <c r="J40" s="176"/>
      <c r="K40" s="177">
        <f>((K35/K25)^(1/10))-1</f>
        <v>3.9826216501332778E-2</v>
      </c>
      <c r="L40" s="132"/>
      <c r="M40" s="1"/>
    </row>
    <row r="41" spans="1:15" x14ac:dyDescent="0.2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33"/>
      <c r="M41" s="1"/>
    </row>
    <row r="42" spans="1:15" ht="15.75" x14ac:dyDescent="0.25">
      <c r="A42" s="115"/>
      <c r="B42" s="115"/>
      <c r="C42" s="115"/>
      <c r="D42" s="134"/>
      <c r="E42" s="134"/>
      <c r="F42" s="134"/>
      <c r="G42" s="134"/>
      <c r="H42" s="134"/>
      <c r="I42" s="135"/>
      <c r="J42" s="135"/>
      <c r="K42" s="133"/>
      <c r="L42" s="115"/>
      <c r="M42" s="1"/>
    </row>
    <row r="43" spans="1:15" x14ac:dyDescent="0.2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"/>
    </row>
    <row r="44" spans="1:15" x14ac:dyDescent="0.2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5" x14ac:dyDescent="0.2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  <row r="46" spans="1:15" x14ac:dyDescent="0.2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</row>
    <row r="47" spans="1:15" x14ac:dyDescent="0.2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</row>
    <row r="48" spans="1:15" x14ac:dyDescent="0.2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</row>
    <row r="49" spans="1:12" x14ac:dyDescent="0.2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</row>
    <row r="50" spans="1:12" x14ac:dyDescent="0.2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</row>
    <row r="51" spans="1:12" x14ac:dyDescent="0.2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</row>
    <row r="52" spans="1:12" x14ac:dyDescent="0.2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</row>
    <row r="53" spans="1:12" x14ac:dyDescent="0.2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</row>
    <row r="54" spans="1:12" x14ac:dyDescent="0.2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</row>
    <row r="55" spans="1:12" x14ac:dyDescent="0.2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</row>
    <row r="56" spans="1:12" x14ac:dyDescent="0.2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</row>
    <row r="57" spans="1:12" x14ac:dyDescent="0.2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</row>
    <row r="58" spans="1:12" x14ac:dyDescent="0.2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</row>
    <row r="59" spans="1:12" x14ac:dyDescent="0.2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</row>
    <row r="60" spans="1:12" x14ac:dyDescent="0.2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</row>
    <row r="61" spans="1:12" x14ac:dyDescent="0.2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</row>
    <row r="62" spans="1:12" x14ac:dyDescent="0.2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</row>
    <row r="63" spans="1:12" x14ac:dyDescent="0.2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</row>
    <row r="64" spans="1:12" x14ac:dyDescent="0.2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</row>
    <row r="65" spans="1:12" x14ac:dyDescent="0.2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</row>
    <row r="66" spans="1:12" x14ac:dyDescent="0.2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</row>
    <row r="67" spans="1:12" x14ac:dyDescent="0.2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</row>
    <row r="68" spans="1:12" x14ac:dyDescent="0.2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</row>
  </sheetData>
  <mergeCells count="6">
    <mergeCell ref="I4:J5"/>
    <mergeCell ref="K4:K5"/>
    <mergeCell ref="C4:D5"/>
    <mergeCell ref="B4:B5"/>
    <mergeCell ref="E4:F5"/>
    <mergeCell ref="G4:H5"/>
  </mergeCells>
  <phoneticPr fontId="0" type="noConversion"/>
  <pageMargins left="0.9055118110236221" right="0.19685039370078741" top="0.94488188976377963" bottom="0.98425196850393704" header="0" footer="0"/>
  <pageSetup paperSize="9" scale="68" orientation="portrait" r:id="rId1"/>
  <headerFooter alignWithMargins="0"/>
  <ignoredErrors>
    <ignoredError sqref="I9 G9 E7:E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10.1 P Inst</vt:lpstr>
      <vt:lpstr>10.2 Efect</vt:lpstr>
      <vt:lpstr>10.3 Incre PI</vt:lpstr>
      <vt:lpstr>10.4 Prod</vt:lpstr>
      <vt:lpstr>10.5 Lineas</vt:lpstr>
      <vt:lpstr>10.6 Ventas</vt:lpstr>
      <vt:lpstr>10.7 Facturacion</vt:lpstr>
      <vt:lpstr>10.8 Precio medio</vt:lpstr>
      <vt:lpstr>10.9 Ventas-CIIU</vt:lpstr>
      <vt:lpstr>10.10 Fact-CIIU</vt:lpstr>
      <vt:lpstr>10.11  Prec med- CIIU</vt:lpstr>
      <vt:lpstr>10.12 Consumo</vt:lpstr>
      <vt:lpstr>10.13 Clientes</vt:lpstr>
      <vt:lpstr>10.15 Perd y MD</vt:lpstr>
      <vt:lpstr>10.17.1Inversiones</vt:lpstr>
      <vt:lpstr>10.17.2 Inversion Privada</vt:lpstr>
      <vt:lpstr>10.17.3 y 4 Publica y Gub.</vt:lpstr>
      <vt:lpstr>10.17.5 Evo.Graficos</vt:lpstr>
      <vt:lpstr>'10.1 P Inst'!Área_de_impresión</vt:lpstr>
      <vt:lpstr>'10.10 Fact-CIIU'!Área_de_impresión</vt:lpstr>
      <vt:lpstr>'10.11  Prec med- CIIU'!Área_de_impresión</vt:lpstr>
      <vt:lpstr>'10.12 Consumo'!Área_de_impresión</vt:lpstr>
      <vt:lpstr>'10.13 Clientes'!Área_de_impresión</vt:lpstr>
      <vt:lpstr>'10.15 Perd y MD'!Área_de_impresión</vt:lpstr>
      <vt:lpstr>'10.17.1Inversiones'!Área_de_impresión</vt:lpstr>
      <vt:lpstr>'10.17.2 Inversion Privada'!Área_de_impresión</vt:lpstr>
      <vt:lpstr>'10.17.3 y 4 Publica y Gub.'!Área_de_impresión</vt:lpstr>
      <vt:lpstr>'10.17.5 Evo.Graficos'!Área_de_impresión</vt:lpstr>
      <vt:lpstr>'10.2 Efect'!Área_de_impresión</vt:lpstr>
      <vt:lpstr>'10.3 Incre PI'!Área_de_impresión</vt:lpstr>
      <vt:lpstr>'10.4 Prod'!Área_de_impresión</vt:lpstr>
      <vt:lpstr>'10.5 Lineas'!Área_de_impresión</vt:lpstr>
      <vt:lpstr>'10.6 Ventas'!Área_de_impresión</vt:lpstr>
      <vt:lpstr>'10.7 Facturacion'!Área_de_impresión</vt:lpstr>
      <vt:lpstr>'10.8 Precio medio'!Área_de_impresión</vt:lpstr>
      <vt:lpstr>'10.9 Ventas-CIIU'!Área_de_impresión</vt:lpstr>
    </vt:vector>
  </TitlesOfParts>
  <Company>MEM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Evoluciones 2002</dc:title>
  <dc:creator>Neyra Vilca, Anival Wenceslao</dc:creator>
  <dc:description>Contiene Pot.; Prod.; Incre. y Crec. Med; Vent. y Núm.Clien.</dc:description>
  <cp:lastModifiedBy>Neyra Vilca Anival Wenceslao</cp:lastModifiedBy>
  <cp:lastPrinted>2023-06-19T20:33:41Z</cp:lastPrinted>
  <dcterms:created xsi:type="dcterms:W3CDTF">2001-10-29T20:06:41Z</dcterms:created>
  <dcterms:modified xsi:type="dcterms:W3CDTF">2025-01-23T23:28:26Z</dcterms:modified>
</cp:coreProperties>
</file>